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Information Management\Cluster Analysis Report\Rakhine\2017\May\"/>
    </mc:Choice>
  </mc:AlternateContent>
  <bookViews>
    <workbookView xWindow="0" yWindow="0" windowWidth="25200" windowHeight="11985" tabRatio="838" firstSheet="1" activeTab="5"/>
  </bookViews>
  <sheets>
    <sheet name="File_details" sheetId="70" state="hidden" r:id="rId1"/>
    <sheet name="Home" sheetId="35" r:id="rId2"/>
    <sheet name="Definition_TCL" sheetId="68" state="hidden" r:id="rId3"/>
    <sheet name="Definition" sheetId="49" state="hidden"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Tracking'!$A$5:$P$319</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leaning_Kit_Bucket_Sanitarypad_broom_Track">'NFI Tracking'!#REF!</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Definition!$A$2:$F$16</definedName>
    <definedName name="NFI_Adult_Clothes_Track">'NFI Tracking'!$AI:$AI</definedName>
    <definedName name="NFI_Blanket_Pipeline">'NFI Pipeline'!$Y:$Y</definedName>
    <definedName name="NFI_Blanket_Stock">'NFI Pipeline'!$X:$X</definedName>
    <definedName name="NFI_Blanket_Track">'NFI Tracking'!$AC:$AC</definedName>
    <definedName name="NFI_CampStatus">'NFI Tracking'!$AN:$AN</definedName>
    <definedName name="NFI_Children_Clothes_Track">'NFI Tracking'!$AJ:$AJ</definedName>
    <definedName name="NFI_Complementary_Pipeline">'NFI Pipeline'!$AE:$AE</definedName>
    <definedName name="NFI_Complementary_Stock">'NFI Pipeline'!$AD:$AD</definedName>
    <definedName name="NFI_Complementary_Track">'NFI Tracking'!$AE:$AE</definedName>
    <definedName name="NFI_Core_Pipeline">'NFI Pipeline'!$J:$J</definedName>
    <definedName name="NFI_Core_Stock">'NFI Pipeline'!$I:$I</definedName>
    <definedName name="NFI_Core_Track">'NFI Tracking'!$Y:$Y</definedName>
    <definedName name="NFI_Expiration">'NFI Tracking'!$J$1</definedName>
    <definedName name="NFI_Hygiene_Pipeline">'NFI Pipeline'!$G:$G</definedName>
    <definedName name="NFI_Hygiene_Stock">'NFI Pipeline'!$F:$F</definedName>
    <definedName name="NFI_Hygiene_Track">'NFI Tracking'!$X:$X</definedName>
    <definedName name="NFI_JerryCan_Pipeline">'NFI Pipeline'!$AN:$AN</definedName>
    <definedName name="NFI_JerryCan_Stock">'NFI Pipeline'!$AM:$AM</definedName>
    <definedName name="NFI_JerryCan_Track">'NFI Tracking'!$AG:$AG</definedName>
    <definedName name="NFI_Kitchen_Pipeline">'NFI Pipeline'!$AB:$AB</definedName>
    <definedName name="NFI_Kitchen_Stock">'NFI Pipeline'!$AA:$AA</definedName>
    <definedName name="NFI_Kitchen_Track">'NFI Tracking'!$AD:$AD</definedName>
    <definedName name="NFI_Month">'NFI Tracking'!$A:$A</definedName>
    <definedName name="NFI_Mosquito_Pipeline">'NFI Pipeline'!$S:$S</definedName>
    <definedName name="NFI_Mosquito_Stock">'NFI Pipeline'!$R:$R</definedName>
    <definedName name="NFI_Mosquito_Track">'NFI Tracking'!$AA:$AA</definedName>
    <definedName name="NFI_Org">'NFI Tracking'!$D:$D</definedName>
    <definedName name="NFI_Pipeline_State">'NFI Pipeline'!$D:$D</definedName>
    <definedName name="NFI_Pipeline_Township">'NFI Pipeline'!$E:$E</definedName>
    <definedName name="NFI_Plastic_Bucket_Pipeline">'NFI Pipeline'!$AH:$AH</definedName>
    <definedName name="NFI_Plastic_Bucket_Stock">'NFI Pipeline'!$AG:$AG</definedName>
    <definedName name="NFI_Plastic_Bucket_Track">'NFI Tracking'!$AF:$AF</definedName>
    <definedName name="NFI_Plastic_Mat_Pipeline">'NFI Pipeline'!$AK:$AK</definedName>
    <definedName name="NFI_Plastic_Mat_Stock">'NFI Pipeline'!$AJ:$AJ</definedName>
    <definedName name="NFI_Plastic_Mat_Track">'NFI Tracking'!$AH:$AH</definedName>
    <definedName name="NFI_Sanitary_Pipeline">'NFI Pipeline'!$M:$M</definedName>
    <definedName name="NFI_Sanitary_Stock">'NFI Pipeline'!$L:$L</definedName>
    <definedName name="NFI_Sanitary_Track">'NFI Tracking'!$Z:$Z</definedName>
    <definedName name="NFI_Sewing_Kit_Track">'NFI Tracking'!$AK:$AK</definedName>
    <definedName name="NFI_Solar_Lantern_Track">'NFI Tracking'!$AL:$AL</definedName>
    <definedName name="NFI_Solor_Lantern_Track">'NFI Tracking'!$AL:$AL</definedName>
    <definedName name="NFI_State">'NFI Tracking'!$F:$F</definedName>
    <definedName name="NFI_Tarpaulin_Pipeline">'NFI Pipeline'!$V:$V</definedName>
    <definedName name="NFI_Tarpaulin_Stock">'NFI Pipeline'!$U:$U</definedName>
    <definedName name="NFI_Tarpaulin_Track">'NFI Tracking'!$AB:$AB</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Dashboard'!$A$3:$Q$52</definedName>
    <definedName name="_xlnm.Print_Area" localSheetId="15">'Displacement Areas'!$B$3:$O$57</definedName>
    <definedName name="_xlnm.Print_Area" localSheetId="26">'NFI Distribution (by Tship)'!$A$2:$J$47</definedName>
    <definedName name="_xlnm.Print_Area" localSheetId="25">'NFI Pipeline'!$A$5:$AI$9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Definition!$A$23</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0" r:id="rId30"/>
    <pivotCache cacheId="1" r:id="rId31"/>
    <pivotCache cacheId="2" r:id="rId32"/>
    <pivotCache cacheId="3" r:id="rId33"/>
    <pivotCache cacheId="4" r:id="rId34"/>
    <pivotCache cacheId="5" r:id="rId35"/>
    <pivotCache cacheId="19"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N66" i="91" l="1"/>
  <c r="N67" i="91"/>
  <c r="N68" i="91"/>
  <c r="N69" i="91"/>
  <c r="N65" i="91"/>
  <c r="M66" i="91"/>
  <c r="M67" i="91"/>
  <c r="M68" i="91"/>
  <c r="M69" i="91"/>
  <c r="M65" i="91"/>
  <c r="L66" i="91"/>
  <c r="L67" i="91"/>
  <c r="L68" i="91"/>
  <c r="L69" i="91"/>
  <c r="L65" i="91"/>
  <c r="K66" i="91"/>
  <c r="K67" i="91"/>
  <c r="K68" i="91"/>
  <c r="K69" i="91"/>
  <c r="K65" i="91"/>
  <c r="J66" i="91"/>
  <c r="J67" i="91"/>
  <c r="J68" i="91"/>
  <c r="J69" i="91"/>
  <c r="J65" i="91"/>
  <c r="I66" i="91"/>
  <c r="I67" i="91"/>
  <c r="I68" i="91"/>
  <c r="I69" i="91"/>
  <c r="I65" i="91"/>
  <c r="H66" i="91"/>
  <c r="H67" i="91"/>
  <c r="H68" i="91"/>
  <c r="H69" i="91"/>
  <c r="H65" i="91"/>
  <c r="G66" i="91"/>
  <c r="G67" i="91"/>
  <c r="G68" i="91"/>
  <c r="G69" i="91"/>
  <c r="F66" i="91"/>
  <c r="F67" i="91"/>
  <c r="F68" i="91"/>
  <c r="F69" i="91"/>
  <c r="E66" i="91"/>
  <c r="E67" i="91"/>
  <c r="E68" i="91"/>
  <c r="E69" i="91"/>
  <c r="D66" i="91"/>
  <c r="D67" i="91"/>
  <c r="D68" i="91"/>
  <c r="D69" i="91"/>
  <c r="C66" i="91"/>
  <c r="C67" i="91"/>
  <c r="C68" i="91"/>
  <c r="C69" i="91"/>
  <c r="B67" i="91"/>
  <c r="B68" i="91"/>
  <c r="B69" i="91"/>
  <c r="B66" i="91"/>
  <c r="G65" i="91"/>
  <c r="F65" i="91"/>
  <c r="E65" i="91"/>
  <c r="D65" i="91"/>
  <c r="C65" i="91"/>
  <c r="B65" i="91"/>
  <c r="B70" i="91" l="1"/>
  <c r="F70" i="91"/>
  <c r="D70" i="91"/>
  <c r="H70" i="91"/>
  <c r="J70" i="91"/>
  <c r="L70" i="91"/>
  <c r="N70" i="91"/>
  <c r="C70" i="91"/>
  <c r="K70" i="91"/>
  <c r="G70" i="91"/>
  <c r="E70" i="91"/>
  <c r="I70" i="91"/>
  <c r="M70" i="91"/>
  <c r="A9" i="20" l="1"/>
  <c r="B9" i="20"/>
  <c r="AM9" i="20"/>
  <c r="AN9" i="20"/>
  <c r="A12" i="20"/>
  <c r="B12" i="20"/>
  <c r="AM12" i="20"/>
  <c r="AN12" i="20"/>
  <c r="A11" i="20"/>
  <c r="B11" i="20"/>
  <c r="AM11" i="20"/>
  <c r="AN11" i="20"/>
  <c r="B63" i="37"/>
  <c r="A49" i="37" l="1"/>
  <c r="A60" i="37"/>
  <c r="A61" i="37"/>
  <c r="A62" i="37"/>
  <c r="A63" i="37"/>
  <c r="A64" i="37"/>
  <c r="A65" i="37"/>
  <c r="A67" i="37"/>
  <c r="A68" i="37"/>
  <c r="A69" i="37"/>
  <c r="A70" i="37"/>
  <c r="A6" i="20"/>
  <c r="B6" i="20"/>
  <c r="AM6" i="20"/>
  <c r="AN6" i="20"/>
  <c r="A8" i="20"/>
  <c r="B8" i="20"/>
  <c r="AM8" i="20"/>
  <c r="AN8" i="20"/>
  <c r="A7" i="20"/>
  <c r="B7" i="20"/>
  <c r="AM7" i="20"/>
  <c r="AN7" i="20"/>
  <c r="C68" i="37"/>
  <c r="E68" i="37"/>
  <c r="J60" i="37"/>
  <c r="J68" i="37"/>
  <c r="K68" i="37"/>
  <c r="L60" i="37"/>
  <c r="D63" i="37"/>
  <c r="G63" i="37"/>
  <c r="E64" i="37"/>
  <c r="E60" i="37"/>
  <c r="M63" i="37"/>
  <c r="L68" i="37"/>
  <c r="D49" i="37"/>
  <c r="K69" i="37"/>
  <c r="B69" i="37"/>
  <c r="M68" i="37"/>
  <c r="I63" i="37"/>
  <c r="N69" i="37"/>
  <c r="B62" i="37"/>
  <c r="B68" i="37"/>
  <c r="J65" i="37"/>
  <c r="C49" i="37"/>
  <c r="L69" i="37"/>
  <c r="I68" i="37"/>
  <c r="E63" i="37"/>
  <c r="F63" i="37"/>
  <c r="D60" i="37"/>
  <c r="B49" i="37"/>
  <c r="K61" i="37"/>
  <c r="F68" i="37"/>
  <c r="K64" i="37"/>
  <c r="H63" i="37"/>
  <c r="I61" i="37"/>
  <c r="B61" i="37"/>
  <c r="C65" i="37"/>
  <c r="K60" i="37"/>
  <c r="H64" i="37"/>
  <c r="I64" i="37"/>
  <c r="I65" i="37"/>
  <c r="H68" i="37"/>
  <c r="D68" i="37"/>
  <c r="J63" i="37"/>
  <c r="N64" i="37"/>
  <c r="I60" i="37"/>
  <c r="E69" i="37"/>
  <c r="J64" i="37"/>
  <c r="G68" i="37"/>
  <c r="N60" i="37"/>
  <c r="H69" i="37"/>
  <c r="D70" i="37"/>
  <c r="G69" i="37"/>
  <c r="M70" i="37"/>
  <c r="I69" i="37"/>
  <c r="L65" i="37"/>
  <c r="F61" i="37"/>
  <c r="D64" i="37"/>
  <c r="E65" i="37"/>
  <c r="H61" i="37"/>
  <c r="N68" i="37"/>
  <c r="E49" i="37"/>
  <c r="K63" i="37"/>
  <c r="M61" i="37"/>
  <c r="N63" i="37"/>
  <c r="L63" i="37"/>
  <c r="B60" i="37"/>
  <c r="D61" i="37"/>
  <c r="C70" i="37"/>
  <c r="C63" i="37"/>
  <c r="N65" i="37"/>
  <c r="D65" i="37"/>
  <c r="K65" i="37"/>
  <c r="G70" i="37"/>
  <c r="N62" i="37"/>
  <c r="C62" i="37"/>
  <c r="L61" i="37"/>
  <c r="G65" i="37"/>
  <c r="E70" i="37"/>
  <c r="J62" i="37"/>
  <c r="I67" i="37"/>
  <c r="A13" i="20" l="1"/>
  <c r="B13" i="20"/>
  <c r="AM13" i="20"/>
  <c r="AN13" i="20"/>
  <c r="A10" i="20"/>
  <c r="B10" i="20"/>
  <c r="AM10" i="20"/>
  <c r="AN10" i="20"/>
  <c r="M65" i="37"/>
  <c r="F62" i="37"/>
  <c r="I70" i="37"/>
  <c r="B67" i="37"/>
  <c r="F70" i="37"/>
  <c r="G60" i="37"/>
  <c r="F69" i="37"/>
  <c r="I62" i="37"/>
  <c r="C67" i="37"/>
  <c r="C69" i="37"/>
  <c r="M67" i="37"/>
  <c r="G61" i="37"/>
  <c r="L70" i="37"/>
  <c r="L64" i="37"/>
  <c r="D69" i="37"/>
  <c r="L62" i="37"/>
  <c r="J67" i="37"/>
  <c r="E61" i="37"/>
  <c r="C61" i="37"/>
  <c r="N61" i="37"/>
  <c r="F65" i="37"/>
  <c r="E67" i="37"/>
  <c r="M64" i="37"/>
  <c r="G62" i="37"/>
  <c r="C64" i="37"/>
  <c r="D67" i="37"/>
  <c r="J69" i="37"/>
  <c r="K67" i="37"/>
  <c r="H62" i="37"/>
  <c r="M60" i="37"/>
  <c r="K62" i="37"/>
  <c r="J70" i="37"/>
  <c r="B65" i="37"/>
  <c r="B70" i="37"/>
  <c r="N70" i="37"/>
  <c r="H70" i="37"/>
  <c r="G64" i="37"/>
  <c r="F67" i="37"/>
  <c r="F60" i="37"/>
  <c r="M62" i="37"/>
  <c r="H60" i="37"/>
  <c r="G67" i="37"/>
  <c r="D62" i="37"/>
  <c r="F64" i="37"/>
  <c r="C60" i="37"/>
  <c r="N67" i="37"/>
  <c r="L67" i="37"/>
  <c r="H65" i="37"/>
  <c r="J61" i="37"/>
  <c r="K70" i="37"/>
  <c r="B64" i="37"/>
  <c r="H67" i="37"/>
  <c r="E62" i="37"/>
  <c r="M69" i="37"/>
  <c r="J23" i="40" l="1"/>
  <c r="N60" i="91" l="1"/>
  <c r="N61" i="91"/>
  <c r="N62" i="91"/>
  <c r="N59" i="91"/>
  <c r="N52" i="91"/>
  <c r="N53" i="91"/>
  <c r="N54" i="91"/>
  <c r="N55" i="91"/>
  <c r="N56" i="91"/>
  <c r="N51" i="91"/>
  <c r="N46" i="91"/>
  <c r="N47" i="91"/>
  <c r="N48" i="91"/>
  <c r="N45" i="91"/>
  <c r="N42" i="91"/>
  <c r="N35" i="91"/>
  <c r="N36" i="91"/>
  <c r="N37" i="91"/>
  <c r="N38" i="91"/>
  <c r="N39" i="91"/>
  <c r="N40" i="91"/>
  <c r="N41" i="91"/>
  <c r="N29" i="91"/>
  <c r="N30" i="91"/>
  <c r="N31" i="91"/>
  <c r="N32" i="91"/>
  <c r="N28" i="91"/>
  <c r="N27" i="91"/>
  <c r="M28" i="91"/>
  <c r="M29" i="91"/>
  <c r="M30" i="91"/>
  <c r="M31" i="91"/>
  <c r="M32" i="91"/>
  <c r="N11" i="91"/>
  <c r="N12" i="91"/>
  <c r="N13" i="91"/>
  <c r="N14" i="91"/>
  <c r="N15" i="91"/>
  <c r="N16" i="91"/>
  <c r="A17" i="20"/>
  <c r="B17" i="20"/>
  <c r="AM17" i="20"/>
  <c r="AN17" i="20"/>
  <c r="A16" i="20"/>
  <c r="B16" i="20"/>
  <c r="AM16" i="20"/>
  <c r="AN16" i="20"/>
  <c r="A45" i="37"/>
  <c r="A46" i="37"/>
  <c r="A47" i="37"/>
  <c r="A48" i="37"/>
  <c r="A51" i="37"/>
  <c r="A44" i="37"/>
  <c r="A14" i="20"/>
  <c r="A15" i="20"/>
  <c r="B14" i="20"/>
  <c r="B15" i="20"/>
  <c r="AM14" i="20"/>
  <c r="AM15" i="20"/>
  <c r="AN14" i="20"/>
  <c r="AN15" i="20"/>
  <c r="A18" i="20"/>
  <c r="A19" i="20"/>
  <c r="A20" i="20"/>
  <c r="B18" i="20"/>
  <c r="B19" i="20"/>
  <c r="B20" i="20"/>
  <c r="AM18" i="20"/>
  <c r="AM19" i="20"/>
  <c r="AM20" i="20"/>
  <c r="AN18" i="20"/>
  <c r="AN19" i="20"/>
  <c r="AN20" i="20"/>
  <c r="A22" i="20"/>
  <c r="B22" i="20"/>
  <c r="AM22" i="20"/>
  <c r="AN22" i="20"/>
  <c r="A21" i="20"/>
  <c r="B21" i="20"/>
  <c r="AM21" i="20"/>
  <c r="AN21" i="20"/>
  <c r="L46" i="37"/>
  <c r="J48" i="37"/>
  <c r="E44" i="37"/>
  <c r="L45" i="37"/>
  <c r="L48" i="37"/>
  <c r="K48" i="37"/>
  <c r="F48" i="37"/>
  <c r="B48" i="37"/>
  <c r="I48" i="37"/>
  <c r="D48" i="37"/>
  <c r="H48" i="37"/>
  <c r="C48" i="37"/>
  <c r="D45" i="37"/>
  <c r="G48" i="37"/>
  <c r="G47" i="37"/>
  <c r="M48" i="37"/>
  <c r="E48" i="37"/>
  <c r="N48" i="37"/>
  <c r="J47" i="37"/>
  <c r="F45" i="37"/>
  <c r="N63" i="91" l="1"/>
  <c r="N43" i="91"/>
  <c r="N49" i="91"/>
  <c r="N17" i="91"/>
  <c r="N33" i="91"/>
  <c r="M35" i="91"/>
  <c r="M27" i="91"/>
  <c r="M62" i="91"/>
  <c r="M61" i="91"/>
  <c r="M60" i="91"/>
  <c r="M59" i="91"/>
  <c r="M57" i="91"/>
  <c r="M56" i="91"/>
  <c r="M55" i="91"/>
  <c r="M54" i="91"/>
  <c r="M53" i="91"/>
  <c r="M52" i="91"/>
  <c r="M51" i="91"/>
  <c r="M48" i="91"/>
  <c r="M47" i="91"/>
  <c r="M46" i="91"/>
  <c r="M45" i="91"/>
  <c r="M42" i="91"/>
  <c r="M41" i="91"/>
  <c r="M40" i="91"/>
  <c r="M39" i="91"/>
  <c r="M38" i="91"/>
  <c r="M37" i="91"/>
  <c r="M36" i="91"/>
  <c r="K16" i="91"/>
  <c r="K15" i="91"/>
  <c r="K14" i="91"/>
  <c r="K13" i="91"/>
  <c r="K12" i="91"/>
  <c r="K11" i="91"/>
  <c r="K30" i="91"/>
  <c r="K29" i="91"/>
  <c r="K28" i="91"/>
  <c r="K27" i="91"/>
  <c r="J62" i="91"/>
  <c r="J61" i="91"/>
  <c r="J60" i="91"/>
  <c r="J59" i="91"/>
  <c r="J56" i="91"/>
  <c r="J55" i="91"/>
  <c r="J54" i="91"/>
  <c r="J53" i="91"/>
  <c r="J52" i="91"/>
  <c r="J51" i="91"/>
  <c r="J48" i="91"/>
  <c r="J47" i="91"/>
  <c r="J46" i="91"/>
  <c r="J45" i="91"/>
  <c r="J42" i="91"/>
  <c r="J41" i="91"/>
  <c r="J40" i="91"/>
  <c r="J39" i="91"/>
  <c r="J38" i="91"/>
  <c r="J37" i="91"/>
  <c r="J36" i="91"/>
  <c r="J35" i="91"/>
  <c r="J32" i="91"/>
  <c r="J31" i="91"/>
  <c r="J30" i="91"/>
  <c r="J29" i="91"/>
  <c r="J28" i="91"/>
  <c r="J27" i="91"/>
  <c r="I62" i="91"/>
  <c r="I61" i="91"/>
  <c r="I60" i="91"/>
  <c r="I59" i="91"/>
  <c r="I56" i="91"/>
  <c r="I55" i="91"/>
  <c r="I54" i="91"/>
  <c r="I53" i="91"/>
  <c r="I52" i="91"/>
  <c r="I51" i="91"/>
  <c r="I48" i="91"/>
  <c r="I47" i="91"/>
  <c r="I46" i="91"/>
  <c r="I45" i="91"/>
  <c r="I42" i="91"/>
  <c r="I41" i="91"/>
  <c r="I40" i="91"/>
  <c r="I39" i="91"/>
  <c r="I38" i="91"/>
  <c r="I37" i="91"/>
  <c r="I36" i="91"/>
  <c r="I35" i="91"/>
  <c r="I32" i="91"/>
  <c r="I31" i="91"/>
  <c r="I30" i="91"/>
  <c r="I29" i="91"/>
  <c r="I28" i="91"/>
  <c r="I27" i="91"/>
  <c r="E62" i="91"/>
  <c r="E61" i="91"/>
  <c r="E60" i="91"/>
  <c r="E59" i="91"/>
  <c r="E56" i="91"/>
  <c r="E55" i="91"/>
  <c r="E54" i="91"/>
  <c r="E53" i="91"/>
  <c r="E52" i="91"/>
  <c r="E51" i="91"/>
  <c r="E48" i="91"/>
  <c r="E47" i="91"/>
  <c r="E46" i="91"/>
  <c r="E45" i="91"/>
  <c r="E42" i="91"/>
  <c r="E41" i="91"/>
  <c r="E40" i="91"/>
  <c r="E39" i="91"/>
  <c r="E38" i="91"/>
  <c r="E37" i="91"/>
  <c r="E36" i="91"/>
  <c r="E35" i="91"/>
  <c r="E32" i="91"/>
  <c r="E31" i="91"/>
  <c r="E30" i="91"/>
  <c r="E29" i="91"/>
  <c r="E28" i="91"/>
  <c r="E27" i="91"/>
  <c r="D62" i="91"/>
  <c r="D61" i="91"/>
  <c r="D60" i="91"/>
  <c r="D59" i="91"/>
  <c r="D56" i="91"/>
  <c r="D55" i="91"/>
  <c r="D54" i="91"/>
  <c r="D53" i="91"/>
  <c r="D52" i="91"/>
  <c r="D51" i="91"/>
  <c r="D48" i="91"/>
  <c r="D47" i="91"/>
  <c r="D46" i="91"/>
  <c r="D45" i="91"/>
  <c r="D42" i="91"/>
  <c r="D41" i="91"/>
  <c r="D40" i="91"/>
  <c r="D39" i="91"/>
  <c r="D38" i="91"/>
  <c r="D37" i="91"/>
  <c r="D36" i="91"/>
  <c r="D32" i="91"/>
  <c r="D31" i="91"/>
  <c r="D30" i="91"/>
  <c r="D29" i="91"/>
  <c r="D28" i="91"/>
  <c r="D27" i="91"/>
  <c r="C62" i="91"/>
  <c r="C61" i="91"/>
  <c r="C60" i="91"/>
  <c r="C59" i="91"/>
  <c r="C56" i="91"/>
  <c r="C55" i="91"/>
  <c r="C54" i="91"/>
  <c r="C53" i="91"/>
  <c r="C52" i="91"/>
  <c r="C51" i="91"/>
  <c r="C48" i="91"/>
  <c r="C47" i="91"/>
  <c r="C46" i="91"/>
  <c r="C45" i="91"/>
  <c r="C42" i="91"/>
  <c r="C41" i="91"/>
  <c r="C40" i="91"/>
  <c r="C39" i="91"/>
  <c r="C38" i="91"/>
  <c r="C37" i="91"/>
  <c r="C36" i="91"/>
  <c r="C35" i="91"/>
  <c r="C32" i="91"/>
  <c r="C31" i="91"/>
  <c r="C30" i="91"/>
  <c r="C29" i="91"/>
  <c r="C28" i="91"/>
  <c r="C27" i="91"/>
  <c r="B62" i="91"/>
  <c r="B61" i="91"/>
  <c r="B60" i="91"/>
  <c r="B59" i="91"/>
  <c r="B56" i="91"/>
  <c r="B55" i="91"/>
  <c r="B54" i="91"/>
  <c r="B53" i="91"/>
  <c r="B52" i="91"/>
  <c r="B51" i="91"/>
  <c r="B48" i="91"/>
  <c r="B47" i="91"/>
  <c r="B46" i="91"/>
  <c r="B45" i="91"/>
  <c r="B42" i="91"/>
  <c r="B41" i="91"/>
  <c r="B40" i="91"/>
  <c r="B39" i="91"/>
  <c r="B38" i="91"/>
  <c r="B37" i="91"/>
  <c r="B36" i="91"/>
  <c r="B35" i="91"/>
  <c r="B32" i="91"/>
  <c r="B31" i="91"/>
  <c r="B30" i="91"/>
  <c r="B29" i="91"/>
  <c r="B28" i="91"/>
  <c r="B27" i="91"/>
  <c r="J16" i="91"/>
  <c r="J15" i="91"/>
  <c r="J14" i="91"/>
  <c r="J13" i="91"/>
  <c r="J12" i="91"/>
  <c r="J11" i="91"/>
  <c r="I16" i="91"/>
  <c r="I15" i="91"/>
  <c r="I14" i="91"/>
  <c r="I13" i="91"/>
  <c r="I12" i="91"/>
  <c r="I11" i="91"/>
  <c r="B11" i="91"/>
  <c r="B12" i="91"/>
  <c r="B13" i="91"/>
  <c r="B14" i="91"/>
  <c r="B15" i="91"/>
  <c r="B16" i="91"/>
  <c r="C11" i="91"/>
  <c r="C12" i="91"/>
  <c r="C13" i="91"/>
  <c r="C14" i="91"/>
  <c r="C15" i="91"/>
  <c r="C16" i="91"/>
  <c r="D11" i="91"/>
  <c r="D12" i="91"/>
  <c r="D13" i="91"/>
  <c r="D14" i="91"/>
  <c r="D15" i="91"/>
  <c r="D16" i="91"/>
  <c r="E11" i="91"/>
  <c r="E12" i="91"/>
  <c r="E13" i="91"/>
  <c r="E14" i="91"/>
  <c r="E15" i="91"/>
  <c r="E16" i="91"/>
  <c r="M16" i="91"/>
  <c r="M15" i="91"/>
  <c r="M14" i="91"/>
  <c r="M13" i="91"/>
  <c r="M12" i="91"/>
  <c r="M11" i="91"/>
  <c r="I45" i="37"/>
  <c r="J45" i="37"/>
  <c r="E46" i="37"/>
  <c r="I47" i="37"/>
  <c r="F44" i="37"/>
  <c r="F47" i="37"/>
  <c r="D46" i="37"/>
  <c r="K47" i="37"/>
  <c r="K45" i="37"/>
  <c r="C44" i="37"/>
  <c r="M44" i="37"/>
  <c r="B44" i="37"/>
  <c r="H46" i="37"/>
  <c r="G46" i="37"/>
  <c r="J46" i="37"/>
  <c r="H47" i="37"/>
  <c r="M46" i="37"/>
  <c r="C45" i="37"/>
  <c r="B45" i="37"/>
  <c r="K44" i="37"/>
  <c r="F46" i="37"/>
  <c r="L44" i="37"/>
  <c r="H45" i="37"/>
  <c r="J44" i="37"/>
  <c r="E45" i="37"/>
  <c r="K46" i="37"/>
  <c r="I46" i="37"/>
  <c r="M47" i="37"/>
  <c r="L47" i="37"/>
  <c r="G44" i="37"/>
  <c r="N44" i="37"/>
  <c r="I44" i="37"/>
  <c r="B46" i="37"/>
  <c r="G45" i="37"/>
  <c r="D47" i="37"/>
  <c r="C47" i="37"/>
  <c r="H44" i="37"/>
  <c r="N45" i="37"/>
  <c r="D44" i="37"/>
  <c r="N47" i="37"/>
  <c r="B47" i="37"/>
  <c r="N46" i="37"/>
  <c r="M45" i="37"/>
  <c r="E47" i="37"/>
  <c r="C46" i="37"/>
  <c r="N52" i="37" l="1"/>
  <c r="N71" i="91"/>
  <c r="H52" i="37"/>
  <c r="L52" i="37"/>
  <c r="M52" i="37"/>
  <c r="J52" i="37"/>
  <c r="D52" i="37"/>
  <c r="C52" i="37"/>
  <c r="E52" i="37"/>
  <c r="I52" i="37"/>
  <c r="B52" i="37"/>
  <c r="F52" i="37"/>
  <c r="G52" i="37"/>
  <c r="K52" i="37"/>
  <c r="J17" i="91"/>
  <c r="M17" i="91"/>
  <c r="D17" i="91"/>
  <c r="C17" i="91"/>
  <c r="B17" i="91"/>
  <c r="M43" i="91"/>
  <c r="D57" i="91"/>
  <c r="J57" i="91"/>
  <c r="J43" i="91"/>
  <c r="E57" i="91"/>
  <c r="J49" i="91"/>
  <c r="I43" i="91"/>
  <c r="I63" i="91"/>
  <c r="J33" i="91"/>
  <c r="J63" i="91"/>
  <c r="M49" i="91"/>
  <c r="M33" i="91"/>
  <c r="E17" i="91"/>
  <c r="B49" i="91"/>
  <c r="M63" i="91"/>
  <c r="I17" i="91"/>
  <c r="B33" i="91"/>
  <c r="S142" i="19"/>
  <c r="D7" i="36"/>
  <c r="J71" i="91" l="1"/>
  <c r="M71" i="91"/>
  <c r="P42" i="74"/>
  <c r="P37" i="74"/>
  <c r="P38" i="74"/>
  <c r="P41" i="74"/>
  <c r="P36" i="74"/>
  <c r="P43" i="74"/>
  <c r="P39" i="74"/>
  <c r="P40" i="74"/>
  <c r="A71" i="37" l="1"/>
  <c r="A66" i="37"/>
  <c r="B24" i="20"/>
  <c r="A23" i="20"/>
  <c r="B23" i="20"/>
  <c r="AM23" i="20"/>
  <c r="AN23" i="20"/>
  <c r="A25" i="20"/>
  <c r="B25" i="20"/>
  <c r="AM25" i="20"/>
  <c r="AN25" i="20"/>
  <c r="A26" i="20"/>
  <c r="B26" i="20"/>
  <c r="AM26" i="20"/>
  <c r="AN26" i="20"/>
  <c r="B37" i="20"/>
  <c r="B33" i="20"/>
  <c r="B28" i="20"/>
  <c r="B29" i="20"/>
  <c r="B30" i="20"/>
  <c r="B46" i="20"/>
  <c r="A27" i="20"/>
  <c r="A28" i="20"/>
  <c r="B27" i="20"/>
  <c r="AM27" i="20"/>
  <c r="AM28" i="20"/>
  <c r="AN27" i="20"/>
  <c r="AN28" i="20"/>
  <c r="K66" i="37"/>
  <c r="H66" i="37"/>
  <c r="J66" i="37"/>
  <c r="D66" i="37"/>
  <c r="F66" i="37"/>
  <c r="E66" i="37"/>
  <c r="B66" i="37"/>
  <c r="D71" i="37" l="1"/>
  <c r="K71" i="37"/>
  <c r="J71" i="37"/>
  <c r="H71" i="37"/>
  <c r="F71" i="37"/>
  <c r="E71" i="37"/>
  <c r="B71" i="37"/>
  <c r="A30" i="20"/>
  <c r="AM30" i="20"/>
  <c r="AN30" i="20"/>
  <c r="A29" i="20"/>
  <c r="AM29" i="20"/>
  <c r="AN29" i="20"/>
  <c r="A24" i="20"/>
  <c r="AM24" i="20"/>
  <c r="AN24" i="20"/>
  <c r="M66" i="37"/>
  <c r="C66" i="37"/>
  <c r="G66" i="37"/>
  <c r="L66" i="37"/>
  <c r="I66" i="37"/>
  <c r="N66" i="37"/>
  <c r="M8" i="43"/>
  <c r="N71" i="37" l="1"/>
  <c r="C71" i="37"/>
  <c r="L71" i="37"/>
  <c r="G71" i="37"/>
  <c r="I71" i="37"/>
  <c r="M71" i="37"/>
  <c r="A31" i="20"/>
  <c r="A32" i="20"/>
  <c r="B31" i="20"/>
  <c r="B32" i="20"/>
  <c r="AM31" i="20"/>
  <c r="AM32" i="20"/>
  <c r="AN31" i="20"/>
  <c r="AN32" i="20"/>
  <c r="A33" i="20"/>
  <c r="AM33" i="20"/>
  <c r="AN33" i="20"/>
  <c r="A17" i="91" l="1"/>
  <c r="F16" i="91"/>
  <c r="G16" i="91"/>
  <c r="H16" i="91"/>
  <c r="L16" i="91"/>
  <c r="A16" i="91"/>
  <c r="A40" i="20" l="1"/>
  <c r="B40" i="20"/>
  <c r="AM40" i="20"/>
  <c r="AN40" i="20"/>
  <c r="A43" i="20"/>
  <c r="B43" i="20"/>
  <c r="AM43" i="20"/>
  <c r="AN43" i="20"/>
  <c r="A38" i="20"/>
  <c r="B38" i="20"/>
  <c r="AM38" i="20"/>
  <c r="AN38" i="20"/>
  <c r="A39" i="20"/>
  <c r="B39" i="20"/>
  <c r="AM39" i="20"/>
  <c r="AN39" i="20"/>
  <c r="A34" i="20"/>
  <c r="B34" i="20"/>
  <c r="AM34" i="20"/>
  <c r="AN34" i="20"/>
  <c r="A35" i="20"/>
  <c r="B35" i="20"/>
  <c r="AM35" i="20"/>
  <c r="AN35" i="20"/>
  <c r="A36" i="20"/>
  <c r="A41" i="20"/>
  <c r="B36" i="20"/>
  <c r="B41" i="20"/>
  <c r="AM36" i="20"/>
  <c r="AM41" i="20"/>
  <c r="AN36" i="20"/>
  <c r="AN41" i="20"/>
  <c r="A42" i="20"/>
  <c r="B42" i="20"/>
  <c r="AM42" i="20"/>
  <c r="AN42" i="20"/>
  <c r="A37" i="20" l="1"/>
  <c r="AM37" i="20"/>
  <c r="AN37" i="20"/>
  <c r="A44" i="20"/>
  <c r="AM44" i="20"/>
  <c r="AN44" i="20"/>
  <c r="H125" i="74"/>
  <c r="H186" i="74"/>
  <c r="H187" i="74"/>
  <c r="A49" i="20" l="1"/>
  <c r="AM49" i="20"/>
  <c r="AN49" i="20"/>
  <c r="A53" i="20"/>
  <c r="AM53" i="20"/>
  <c r="AN53" i="20"/>
  <c r="L28" i="91" l="1"/>
  <c r="L29" i="91"/>
  <c r="L30" i="91"/>
  <c r="L31" i="91"/>
  <c r="L32" i="91"/>
  <c r="L35" i="91"/>
  <c r="L36" i="91"/>
  <c r="L37" i="91"/>
  <c r="L38" i="91"/>
  <c r="L39" i="91"/>
  <c r="L40" i="91"/>
  <c r="L41" i="91"/>
  <c r="L42" i="91"/>
  <c r="L45" i="91"/>
  <c r="L46" i="91"/>
  <c r="L47" i="91"/>
  <c r="L48" i="91"/>
  <c r="L51" i="91"/>
  <c r="L52" i="91"/>
  <c r="L53" i="91"/>
  <c r="L54" i="91"/>
  <c r="L55" i="91"/>
  <c r="L56" i="91"/>
  <c r="L57" i="91"/>
  <c r="L59" i="91"/>
  <c r="L60" i="91"/>
  <c r="L61" i="91"/>
  <c r="L62" i="91"/>
  <c r="L27" i="91"/>
  <c r="K35" i="91"/>
  <c r="K36" i="91"/>
  <c r="K37" i="91"/>
  <c r="K38" i="91"/>
  <c r="K39" i="91"/>
  <c r="K40" i="91"/>
  <c r="K41" i="91"/>
  <c r="K42" i="91"/>
  <c r="K45" i="91"/>
  <c r="K46" i="91"/>
  <c r="K47" i="91"/>
  <c r="K48" i="91"/>
  <c r="K51" i="91"/>
  <c r="K52" i="91"/>
  <c r="K53" i="91"/>
  <c r="K54" i="91"/>
  <c r="K55" i="91"/>
  <c r="K56" i="91"/>
  <c r="K57" i="91"/>
  <c r="K59" i="91"/>
  <c r="K60" i="91"/>
  <c r="K61" i="91"/>
  <c r="K62" i="91"/>
  <c r="K31" i="91"/>
  <c r="K32" i="91"/>
  <c r="L12" i="91"/>
  <c r="L13" i="91"/>
  <c r="L14" i="91"/>
  <c r="L15" i="91"/>
  <c r="L11" i="91"/>
  <c r="K33" i="91" l="1"/>
  <c r="K63" i="91"/>
  <c r="L49" i="91"/>
  <c r="K49" i="91"/>
  <c r="K43" i="91"/>
  <c r="L43" i="91"/>
  <c r="L33" i="91"/>
  <c r="L63" i="91"/>
  <c r="K17" i="91"/>
  <c r="L17" i="91"/>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B580" i="20"/>
  <c r="B581" i="20"/>
  <c r="B582" i="20"/>
  <c r="B583" i="20"/>
  <c r="B584" i="20"/>
  <c r="B585" i="20"/>
  <c r="B586" i="20"/>
  <c r="B587" i="20"/>
  <c r="B588" i="20"/>
  <c r="B589" i="20"/>
  <c r="B590" i="20"/>
  <c r="B591" i="20"/>
  <c r="B592" i="20"/>
  <c r="B593" i="20"/>
  <c r="B594" i="20"/>
  <c r="B595" i="20"/>
  <c r="B596" i="20"/>
  <c r="B597" i="20"/>
  <c r="B598" i="20"/>
  <c r="B599" i="20"/>
  <c r="B600" i="20"/>
  <c r="B601" i="20"/>
  <c r="B602" i="20"/>
  <c r="B603" i="20"/>
  <c r="B604" i="20"/>
  <c r="AM457" i="20"/>
  <c r="AM458" i="20"/>
  <c r="AM459" i="20"/>
  <c r="AM460" i="20"/>
  <c r="AM461" i="20"/>
  <c r="AM462" i="20"/>
  <c r="AM463" i="20"/>
  <c r="AM464" i="20"/>
  <c r="AM465" i="20"/>
  <c r="AM466" i="20"/>
  <c r="AM467" i="20"/>
  <c r="AM468" i="20"/>
  <c r="AM469" i="20"/>
  <c r="AM470" i="20"/>
  <c r="AM471" i="20"/>
  <c r="AM472" i="20"/>
  <c r="AM473" i="20"/>
  <c r="AM474" i="20"/>
  <c r="AM475" i="20"/>
  <c r="AM476" i="20"/>
  <c r="AM477" i="20"/>
  <c r="AM478" i="20"/>
  <c r="AM479" i="20"/>
  <c r="AM480" i="20"/>
  <c r="AM481" i="20"/>
  <c r="AM482" i="20"/>
  <c r="AM483" i="20"/>
  <c r="AM484" i="20"/>
  <c r="AM485" i="20"/>
  <c r="AM486" i="20"/>
  <c r="AM487" i="20"/>
  <c r="AM488" i="20"/>
  <c r="AM489" i="20"/>
  <c r="AM490" i="20"/>
  <c r="AM491" i="20"/>
  <c r="AM492" i="20"/>
  <c r="AM493" i="20"/>
  <c r="AM494" i="20"/>
  <c r="AM495" i="20"/>
  <c r="AM496" i="20"/>
  <c r="AM497" i="20"/>
  <c r="AM498" i="20"/>
  <c r="AM499" i="20"/>
  <c r="AM500" i="20"/>
  <c r="AM501" i="20"/>
  <c r="AM502" i="20"/>
  <c r="AM503" i="20"/>
  <c r="AM504" i="20"/>
  <c r="AM505" i="20"/>
  <c r="AM506" i="20"/>
  <c r="AM507" i="20"/>
  <c r="AM508" i="20"/>
  <c r="AM509" i="20"/>
  <c r="AM510" i="20"/>
  <c r="AM511" i="20"/>
  <c r="AM512" i="20"/>
  <c r="AM513" i="20"/>
  <c r="AM514" i="20"/>
  <c r="AM515" i="20"/>
  <c r="AM516" i="20"/>
  <c r="AM517" i="20"/>
  <c r="AM518" i="20"/>
  <c r="AM519" i="20"/>
  <c r="AM520" i="20"/>
  <c r="AM521" i="20"/>
  <c r="AM522" i="20"/>
  <c r="AM523" i="20"/>
  <c r="AM524" i="20"/>
  <c r="AM525" i="20"/>
  <c r="AM526" i="20"/>
  <c r="AM527" i="20"/>
  <c r="AM528" i="20"/>
  <c r="AM529" i="20"/>
  <c r="AM530" i="20"/>
  <c r="AM531" i="20"/>
  <c r="AM532" i="20"/>
  <c r="AM533" i="20"/>
  <c r="AM534" i="20"/>
  <c r="AM535" i="20"/>
  <c r="AM536" i="20"/>
  <c r="AM537" i="20"/>
  <c r="AM538" i="20"/>
  <c r="AM539" i="20"/>
  <c r="AM540" i="20"/>
  <c r="AM541" i="20"/>
  <c r="AM542" i="20"/>
  <c r="AM543" i="20"/>
  <c r="AM544" i="20"/>
  <c r="AM545" i="20"/>
  <c r="AM546" i="20"/>
  <c r="AM547" i="20"/>
  <c r="AM548" i="20"/>
  <c r="AM549" i="20"/>
  <c r="AM550" i="20"/>
  <c r="AM551" i="20"/>
  <c r="AM552" i="20"/>
  <c r="AM553" i="20"/>
  <c r="AM554" i="20"/>
  <c r="AM555" i="20"/>
  <c r="AM556" i="20"/>
  <c r="AM557" i="20"/>
  <c r="AM558" i="20"/>
  <c r="AM559" i="20"/>
  <c r="AM560" i="20"/>
  <c r="AM561" i="20"/>
  <c r="AM562" i="20"/>
  <c r="AM563" i="20"/>
  <c r="AM564" i="20"/>
  <c r="AM565" i="20"/>
  <c r="AM566" i="20"/>
  <c r="AM567" i="20"/>
  <c r="AM568" i="20"/>
  <c r="AM569" i="20"/>
  <c r="AM570" i="20"/>
  <c r="AM571" i="20"/>
  <c r="AM572" i="20"/>
  <c r="AM573" i="20"/>
  <c r="AM574" i="20"/>
  <c r="AM575" i="20"/>
  <c r="AM576" i="20"/>
  <c r="AM577" i="20"/>
  <c r="AM578" i="20"/>
  <c r="AM579" i="20"/>
  <c r="AM580" i="20"/>
  <c r="AM581" i="20"/>
  <c r="AM582" i="20"/>
  <c r="AM583" i="20"/>
  <c r="AM584" i="20"/>
  <c r="AM585" i="20"/>
  <c r="AM586" i="20"/>
  <c r="AM587" i="20"/>
  <c r="AM588" i="20"/>
  <c r="AM589" i="20"/>
  <c r="AM590" i="20"/>
  <c r="AM591" i="20"/>
  <c r="AM592" i="20"/>
  <c r="AM593" i="20"/>
  <c r="AM594" i="20"/>
  <c r="AM595" i="20"/>
  <c r="AM596" i="20"/>
  <c r="AM597" i="20"/>
  <c r="AM598" i="20"/>
  <c r="AM599" i="20"/>
  <c r="AM600" i="20"/>
  <c r="AM601" i="20"/>
  <c r="AM602" i="20"/>
  <c r="AM603" i="20"/>
  <c r="AM604" i="20"/>
  <c r="AN457" i="20"/>
  <c r="AN458" i="20"/>
  <c r="AN459" i="20"/>
  <c r="AN460" i="20"/>
  <c r="AN461" i="20"/>
  <c r="AN462" i="20"/>
  <c r="AN463" i="20"/>
  <c r="AN464" i="20"/>
  <c r="AN465" i="20"/>
  <c r="AN466" i="20"/>
  <c r="AN467" i="20"/>
  <c r="AN468" i="20"/>
  <c r="AN469" i="20"/>
  <c r="AN470" i="20"/>
  <c r="AN471" i="20"/>
  <c r="AN472" i="20"/>
  <c r="AN473" i="20"/>
  <c r="AN474" i="20"/>
  <c r="AN475" i="20"/>
  <c r="AN476" i="20"/>
  <c r="AN477" i="20"/>
  <c r="AN478" i="20"/>
  <c r="AN479" i="20"/>
  <c r="AN480" i="20"/>
  <c r="AN481" i="20"/>
  <c r="AN482" i="20"/>
  <c r="AN483" i="20"/>
  <c r="AN484" i="20"/>
  <c r="AN485" i="20"/>
  <c r="AN486" i="20"/>
  <c r="AN487" i="20"/>
  <c r="AN488" i="20"/>
  <c r="AN489" i="20"/>
  <c r="AN490" i="20"/>
  <c r="AN491" i="20"/>
  <c r="AN492" i="20"/>
  <c r="AN493" i="20"/>
  <c r="AN494" i="20"/>
  <c r="AN495" i="20"/>
  <c r="AN496" i="20"/>
  <c r="AN497" i="20"/>
  <c r="AN498" i="20"/>
  <c r="AN499" i="20"/>
  <c r="AN500" i="20"/>
  <c r="AN501" i="20"/>
  <c r="AN502" i="20"/>
  <c r="AN503" i="20"/>
  <c r="AN504" i="20"/>
  <c r="AN505" i="20"/>
  <c r="AN506" i="20"/>
  <c r="AN507" i="20"/>
  <c r="AN508" i="20"/>
  <c r="AN509" i="20"/>
  <c r="AN510" i="20"/>
  <c r="AN511" i="20"/>
  <c r="AN512" i="20"/>
  <c r="AN513" i="20"/>
  <c r="AN514" i="20"/>
  <c r="AN515" i="20"/>
  <c r="AN516" i="20"/>
  <c r="AN517" i="20"/>
  <c r="AN518" i="20"/>
  <c r="AN519" i="20"/>
  <c r="AN520" i="20"/>
  <c r="AN521" i="20"/>
  <c r="AN522" i="20"/>
  <c r="AN523" i="20"/>
  <c r="AN524" i="20"/>
  <c r="AN525" i="20"/>
  <c r="AN526" i="20"/>
  <c r="AN527" i="20"/>
  <c r="AN528" i="20"/>
  <c r="AN529" i="20"/>
  <c r="AN530" i="20"/>
  <c r="AN531" i="20"/>
  <c r="AN532" i="20"/>
  <c r="AN533" i="20"/>
  <c r="AN534" i="20"/>
  <c r="AN535" i="20"/>
  <c r="AN536" i="20"/>
  <c r="AN537" i="20"/>
  <c r="AN538" i="20"/>
  <c r="AN539" i="20"/>
  <c r="AN540" i="20"/>
  <c r="AN541" i="20"/>
  <c r="AN542" i="20"/>
  <c r="AN543" i="20"/>
  <c r="AN544" i="20"/>
  <c r="AN545" i="20"/>
  <c r="AN546" i="20"/>
  <c r="AN547" i="20"/>
  <c r="AN548" i="20"/>
  <c r="AN549" i="20"/>
  <c r="AN550" i="20"/>
  <c r="AN551" i="20"/>
  <c r="AN552" i="20"/>
  <c r="AN553" i="20"/>
  <c r="AN554" i="20"/>
  <c r="AN555" i="20"/>
  <c r="AN556" i="20"/>
  <c r="AN557" i="20"/>
  <c r="AN558" i="20"/>
  <c r="AN559" i="20"/>
  <c r="AN560" i="20"/>
  <c r="AN561" i="20"/>
  <c r="AN562" i="20"/>
  <c r="AN563" i="20"/>
  <c r="AN564" i="20"/>
  <c r="AN565" i="20"/>
  <c r="AN566" i="20"/>
  <c r="AN567" i="20"/>
  <c r="AN568" i="20"/>
  <c r="AN569" i="20"/>
  <c r="AN570" i="20"/>
  <c r="AN571" i="20"/>
  <c r="AN572" i="20"/>
  <c r="AN573" i="20"/>
  <c r="AN574" i="20"/>
  <c r="AN575" i="20"/>
  <c r="AN576" i="20"/>
  <c r="AN577" i="20"/>
  <c r="AN578" i="20"/>
  <c r="AN579" i="20"/>
  <c r="AN580" i="20"/>
  <c r="AN581" i="20"/>
  <c r="AN582" i="20"/>
  <c r="AN583" i="20"/>
  <c r="AN584" i="20"/>
  <c r="AN585" i="20"/>
  <c r="AN586" i="20"/>
  <c r="AN587" i="20"/>
  <c r="AN588" i="20"/>
  <c r="AN589" i="20"/>
  <c r="AN590" i="20"/>
  <c r="AN591" i="20"/>
  <c r="AN592" i="20"/>
  <c r="AN593" i="20"/>
  <c r="AN594" i="20"/>
  <c r="AN595" i="20"/>
  <c r="AN596" i="20"/>
  <c r="AN597" i="20"/>
  <c r="AN598" i="20"/>
  <c r="AN599" i="20"/>
  <c r="AN600" i="20"/>
  <c r="AN601" i="20"/>
  <c r="AN602" i="20"/>
  <c r="AN603" i="20"/>
  <c r="AN604" i="20"/>
  <c r="A47" i="20"/>
  <c r="A45" i="20"/>
  <c r="A46" i="20"/>
  <c r="B45" i="20"/>
  <c r="AM45" i="20"/>
  <c r="AM46" i="20"/>
  <c r="AN45" i="20"/>
  <c r="AN46" i="20"/>
  <c r="AM47" i="20"/>
  <c r="AN47" i="20"/>
  <c r="A48" i="20"/>
  <c r="AM48" i="20"/>
  <c r="AN48" i="20"/>
  <c r="K71" i="91" l="1"/>
  <c r="L71" i="91"/>
  <c r="A52" i="20"/>
  <c r="AN54" i="20"/>
  <c r="AM54" i="20"/>
  <c r="AM55" i="20"/>
  <c r="A54" i="20"/>
  <c r="A55" i="20"/>
  <c r="AM52" i="20"/>
  <c r="AN52" i="20"/>
  <c r="A51" i="20" l="1"/>
  <c r="AM51" i="20"/>
  <c r="AN51" i="20"/>
  <c r="B55" i="20"/>
  <c r="AN55" i="20"/>
  <c r="A50" i="20"/>
  <c r="AM50" i="20"/>
  <c r="AN50" i="20"/>
  <c r="A56" i="20"/>
  <c r="B56" i="20"/>
  <c r="AM56" i="20"/>
  <c r="AN56" i="20"/>
  <c r="A57" i="20"/>
  <c r="B57" i="20"/>
  <c r="AM57" i="20"/>
  <c r="AN57" i="20"/>
  <c r="A58" i="20"/>
  <c r="B58" i="20"/>
  <c r="AM58" i="20"/>
  <c r="AN58" i="20"/>
  <c r="D118" i="75" l="1"/>
  <c r="D100" i="75"/>
  <c r="D37" i="75"/>
  <c r="D28" i="75"/>
  <c r="D64" i="75"/>
  <c r="D127" i="75"/>
  <c r="D46" i="75"/>
  <c r="D91" i="75"/>
  <c r="D145" i="75"/>
  <c r="D154" i="75"/>
  <c r="D73" i="75"/>
  <c r="D82" i="75"/>
  <c r="D55" i="75"/>
  <c r="D19" i="75"/>
  <c r="D10" i="75"/>
  <c r="D109" i="75"/>
  <c r="H17" i="74" l="1"/>
  <c r="H18" i="74"/>
  <c r="H19" i="74"/>
  <c r="H20" i="74"/>
  <c r="H21" i="74"/>
  <c r="H22" i="74"/>
  <c r="H23" i="74"/>
  <c r="H24" i="74"/>
  <c r="H25" i="74"/>
  <c r="H26" i="74"/>
  <c r="H27" i="74"/>
  <c r="H28" i="74"/>
  <c r="D5" i="74"/>
  <c r="D6" i="74"/>
  <c r="D7" i="74"/>
  <c r="D8" i="74"/>
  <c r="D9" i="74"/>
  <c r="D10" i="74"/>
  <c r="D11" i="74"/>
  <c r="D12" i="74"/>
  <c r="D13" i="74"/>
  <c r="D14" i="74"/>
  <c r="D15" i="74"/>
  <c r="D16"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1" i="74"/>
  <c r="D132"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59" i="74"/>
  <c r="D160"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H41" i="74"/>
  <c r="H42" i="74"/>
  <c r="A3" i="37" l="1"/>
  <c r="A3" i="91" l="1"/>
  <c r="H60" i="91" l="1"/>
  <c r="H61" i="91"/>
  <c r="H62" i="91"/>
  <c r="H59" i="91"/>
  <c r="G60" i="91"/>
  <c r="G61" i="91"/>
  <c r="G62" i="91"/>
  <c r="G59" i="91"/>
  <c r="F60" i="91"/>
  <c r="F61" i="91"/>
  <c r="F62" i="91"/>
  <c r="F59" i="91"/>
  <c r="H52" i="91"/>
  <c r="H53" i="91"/>
  <c r="H54" i="91"/>
  <c r="H55" i="91"/>
  <c r="H56" i="91"/>
  <c r="H51" i="91"/>
  <c r="G52" i="91"/>
  <c r="G53" i="91"/>
  <c r="G54" i="91"/>
  <c r="G55" i="91"/>
  <c r="G56" i="91"/>
  <c r="G51" i="91"/>
  <c r="F52" i="91"/>
  <c r="F53" i="91"/>
  <c r="F54" i="91"/>
  <c r="F55" i="91"/>
  <c r="F56" i="91"/>
  <c r="F51" i="91"/>
  <c r="H46" i="91"/>
  <c r="H47" i="91"/>
  <c r="H48" i="91"/>
  <c r="H45" i="91"/>
  <c r="G46" i="91"/>
  <c r="G47" i="91"/>
  <c r="G48" i="91"/>
  <c r="G45" i="91"/>
  <c r="F46" i="91"/>
  <c r="F47" i="91"/>
  <c r="F48" i="91"/>
  <c r="F45" i="91"/>
  <c r="F36" i="91"/>
  <c r="G36" i="91"/>
  <c r="H36" i="91"/>
  <c r="F37" i="91"/>
  <c r="G37" i="91"/>
  <c r="H37" i="91"/>
  <c r="F38" i="91"/>
  <c r="G38" i="91"/>
  <c r="H38" i="91"/>
  <c r="F39" i="91"/>
  <c r="G39" i="91"/>
  <c r="H39" i="91"/>
  <c r="F40" i="91"/>
  <c r="G40" i="91"/>
  <c r="H40" i="91"/>
  <c r="F41" i="91"/>
  <c r="G41" i="91"/>
  <c r="H41" i="91"/>
  <c r="F42" i="91"/>
  <c r="G42" i="91"/>
  <c r="H42" i="91"/>
  <c r="F35" i="91"/>
  <c r="G35" i="91"/>
  <c r="H35" i="91"/>
  <c r="D35" i="91"/>
  <c r="H28" i="91"/>
  <c r="H29" i="91"/>
  <c r="H30" i="91"/>
  <c r="H31" i="91"/>
  <c r="H32" i="91"/>
  <c r="H27" i="91"/>
  <c r="G28" i="91"/>
  <c r="G29" i="91"/>
  <c r="G30" i="91"/>
  <c r="G31" i="91"/>
  <c r="G32" i="91"/>
  <c r="G27" i="91"/>
  <c r="F28" i="91"/>
  <c r="F29" i="91"/>
  <c r="F30" i="91"/>
  <c r="F31" i="91"/>
  <c r="F32" i="91"/>
  <c r="F27" i="91"/>
  <c r="H11" i="91"/>
  <c r="H12" i="91"/>
  <c r="H13" i="91"/>
  <c r="H14" i="91"/>
  <c r="H15" i="91"/>
  <c r="G11" i="91"/>
  <c r="G12" i="91"/>
  <c r="G13" i="91"/>
  <c r="G14" i="91"/>
  <c r="G15" i="91"/>
  <c r="F11" i="91"/>
  <c r="F12" i="91"/>
  <c r="F13" i="91"/>
  <c r="F14" i="91"/>
  <c r="F15" i="91"/>
  <c r="A11" i="91"/>
  <c r="A12" i="91"/>
  <c r="A13" i="91"/>
  <c r="A14" i="91"/>
  <c r="A15" i="91"/>
  <c r="F33" i="91" l="1"/>
  <c r="G43" i="91"/>
  <c r="G57" i="91"/>
  <c r="G63" i="91"/>
  <c r="G33" i="91"/>
  <c r="G49" i="91"/>
  <c r="F17" i="91"/>
  <c r="H43" i="91"/>
  <c r="H17" i="91"/>
  <c r="G17" i="91"/>
  <c r="C33" i="91"/>
  <c r="E43" i="91"/>
  <c r="F43" i="91"/>
  <c r="C43" i="91"/>
  <c r="C49" i="91"/>
  <c r="F57" i="91"/>
  <c r="C63" i="91"/>
  <c r="B43" i="91"/>
  <c r="D43" i="91"/>
  <c r="D49" i="91"/>
  <c r="H49" i="91"/>
  <c r="C57" i="91"/>
  <c r="I57" i="91"/>
  <c r="D63" i="91"/>
  <c r="H63" i="91"/>
  <c r="E49" i="91"/>
  <c r="F49" i="91"/>
  <c r="I49" i="91"/>
  <c r="B57" i="91"/>
  <c r="H57" i="91"/>
  <c r="B63" i="91"/>
  <c r="E63" i="91"/>
  <c r="F63" i="91"/>
  <c r="E33" i="91"/>
  <c r="H33" i="91"/>
  <c r="I33" i="91"/>
  <c r="D33" i="91"/>
  <c r="B71" i="91" l="1"/>
  <c r="E71" i="91"/>
  <c r="G71" i="91"/>
  <c r="F71" i="91"/>
  <c r="H71" i="91"/>
  <c r="I71" i="91"/>
  <c r="D71" i="91"/>
  <c r="C71" i="91"/>
  <c r="B15" i="36"/>
  <c r="AN23" i="40"/>
  <c r="B7" i="86"/>
  <c r="B5" i="86"/>
  <c r="AJ38" i="14" l="1"/>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60" i="20" l="1"/>
  <c r="A60" i="20"/>
  <c r="AM60" i="20"/>
  <c r="AN60" i="20"/>
  <c r="A61" i="20" l="1"/>
  <c r="AM61" i="20"/>
  <c r="AN61"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59" i="20" l="1"/>
  <c r="B59" i="20"/>
  <c r="AM59" i="20"/>
  <c r="AN59" i="20"/>
  <c r="AA21" i="14" l="1"/>
  <c r="AA26" i="14"/>
  <c r="AA36" i="14"/>
  <c r="AA28" i="14"/>
  <c r="AA41" i="14"/>
  <c r="AA43" i="14"/>
  <c r="AA15" i="14" l="1"/>
  <c r="A3" i="30" l="1"/>
  <c r="A4" i="40"/>
  <c r="B8" i="86" l="1"/>
  <c r="C5" i="35" l="1"/>
  <c r="AI28" i="14" l="1"/>
  <c r="AI26"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63" i="20"/>
  <c r="AM63" i="20"/>
  <c r="AN63" i="20"/>
  <c r="A66" i="20"/>
  <c r="AM66" i="20"/>
  <c r="AN66" i="20"/>
  <c r="A62" i="20"/>
  <c r="AM62" i="20"/>
  <c r="AN62" i="20"/>
  <c r="A65" i="20"/>
  <c r="AM65" i="20"/>
  <c r="AN65" i="20"/>
  <c r="A64" i="20"/>
  <c r="AM64" i="20"/>
  <c r="AN64" i="20"/>
  <c r="AM83" i="20" l="1"/>
  <c r="V5" i="19" l="1"/>
  <c r="T5" i="19" s="1"/>
  <c r="W5" i="19"/>
  <c r="X5" i="19"/>
  <c r="Y5" i="19"/>
  <c r="V6" i="19"/>
  <c r="T6" i="19" s="1"/>
  <c r="W6" i="19"/>
  <c r="X6" i="19"/>
  <c r="Y6" i="19"/>
  <c r="V7" i="19"/>
  <c r="T7" i="19" s="1"/>
  <c r="W7" i="19"/>
  <c r="X7" i="19"/>
  <c r="Y7" i="19"/>
  <c r="A82" i="20"/>
  <c r="AM82" i="20"/>
  <c r="AN82" i="20"/>
  <c r="A83" i="20"/>
  <c r="AN83" i="20"/>
  <c r="A76" i="20"/>
  <c r="AM76" i="20"/>
  <c r="AN76" i="20"/>
  <c r="A72" i="20"/>
  <c r="AM72" i="20"/>
  <c r="AN72" i="20"/>
  <c r="A71" i="20"/>
  <c r="AM71" i="20"/>
  <c r="AN71" i="20"/>
  <c r="A3" i="14" l="1"/>
  <c r="A3" i="36" l="1"/>
  <c r="A3" i="62"/>
  <c r="A3" i="20" l="1"/>
  <c r="E21" i="43"/>
  <c r="R142" i="19"/>
  <c r="A3" i="19"/>
  <c r="A3" i="67"/>
  <c r="A121" i="20" l="1"/>
  <c r="A68" i="20"/>
  <c r="A70" i="20"/>
  <c r="A67" i="20"/>
  <c r="A69" i="20"/>
  <c r="A95" i="20"/>
  <c r="AM121" i="20"/>
  <c r="AM68" i="20"/>
  <c r="AM70" i="20"/>
  <c r="AM67" i="20"/>
  <c r="AM69" i="20"/>
  <c r="AM95" i="20"/>
  <c r="AN121" i="20"/>
  <c r="AN68" i="20"/>
  <c r="AN70" i="20"/>
  <c r="AN67" i="20"/>
  <c r="AN69" i="20"/>
  <c r="AN95" i="20"/>
  <c r="A74" i="20" l="1"/>
  <c r="B74" i="20"/>
  <c r="AM74" i="20"/>
  <c r="AN74" i="20"/>
  <c r="AJ87" i="14" l="1"/>
  <c r="AJ88" i="14"/>
  <c r="AJ89" i="14"/>
  <c r="AJ90" i="14"/>
  <c r="AJ91" i="14"/>
  <c r="AJ92" i="14"/>
  <c r="AJ93" i="14"/>
  <c r="AJ94" i="14"/>
  <c r="AJ95" i="14"/>
  <c r="AJ96" i="14"/>
  <c r="AJ97" i="14"/>
  <c r="AJ98" i="14"/>
  <c r="AJ99" i="14"/>
  <c r="AJ100" i="14"/>
  <c r="AJ101" i="14"/>
  <c r="AJ102" i="14"/>
  <c r="AJ103" i="14"/>
  <c r="AJ83" i="14"/>
  <c r="AJ5" i="14"/>
  <c r="AJ6" i="14"/>
  <c r="AJ7" i="14"/>
  <c r="AJ8" i="14"/>
  <c r="AJ51" i="14"/>
  <c r="AJ9" i="14"/>
  <c r="AJ10" i="14"/>
  <c r="AJ11" i="14"/>
  <c r="AJ12" i="14"/>
  <c r="AJ73" i="14"/>
  <c r="AJ79" i="14"/>
  <c r="AJ104" i="14"/>
  <c r="AJ105" i="14"/>
  <c r="AJ106" i="14"/>
  <c r="AJ107" i="14"/>
  <c r="AJ108" i="14"/>
  <c r="AJ109" i="14"/>
  <c r="AJ110" i="14"/>
  <c r="AJ111" i="14"/>
  <c r="AJ112" i="14"/>
  <c r="AJ113" i="14"/>
  <c r="AJ114" i="14"/>
  <c r="AJ115" i="14"/>
  <c r="AJ25" i="14"/>
  <c r="AJ15" i="14"/>
  <c r="AJ80" i="14"/>
  <c r="AJ81" i="14"/>
  <c r="AJ82" i="14"/>
  <c r="AJ84" i="14"/>
  <c r="AJ86" i="14"/>
  <c r="AJ116" i="14"/>
  <c r="AJ117" i="14"/>
  <c r="AJ118" i="14"/>
  <c r="AJ119" i="14"/>
  <c r="AJ120" i="14"/>
  <c r="AJ85" i="14"/>
  <c r="AJ20" i="14"/>
  <c r="AJ121" i="14"/>
  <c r="AJ40" i="14"/>
  <c r="W11" i="19" l="1"/>
  <c r="W9" i="19"/>
  <c r="W25" i="19"/>
  <c r="W26" i="19"/>
  <c r="W27" i="19"/>
  <c r="W28" i="19"/>
  <c r="W29" i="19"/>
  <c r="W30" i="19"/>
  <c r="W31" i="19"/>
  <c r="W32" i="19"/>
  <c r="W33" i="19"/>
  <c r="W10" i="19"/>
  <c r="W34" i="19"/>
  <c r="AJ61" i="14" s="1"/>
  <c r="W35" i="19"/>
  <c r="W36" i="19"/>
  <c r="W37" i="19"/>
  <c r="W21" i="19"/>
  <c r="AJ44" i="14" s="1"/>
  <c r="W22" i="19"/>
  <c r="AJ45" i="14" s="1"/>
  <c r="W38" i="19"/>
  <c r="W39" i="19"/>
  <c r="W40" i="19"/>
  <c r="W23" i="19"/>
  <c r="W12" i="19"/>
  <c r="W13" i="19"/>
  <c r="W14" i="19"/>
  <c r="W15" i="19"/>
  <c r="AJ33" i="14" s="1"/>
  <c r="W16" i="19"/>
  <c r="W41" i="19"/>
  <c r="W42" i="19"/>
  <c r="W24" i="19"/>
  <c r="W43" i="19"/>
  <c r="W44" i="19"/>
  <c r="W17" i="19"/>
  <c r="W45" i="19"/>
  <c r="W46" i="19"/>
  <c r="W47" i="19"/>
  <c r="W48" i="19"/>
  <c r="W49" i="19"/>
  <c r="W50" i="19"/>
  <c r="W51" i="19"/>
  <c r="W52" i="19"/>
  <c r="W18" i="19"/>
  <c r="W19" i="19"/>
  <c r="W20" i="19"/>
  <c r="W53" i="19"/>
  <c r="W122" i="19"/>
  <c r="W123" i="19"/>
  <c r="W124" i="19"/>
  <c r="W72" i="19"/>
  <c r="AJ13" i="14" s="1"/>
  <c r="W125" i="19"/>
  <c r="W126" i="19"/>
  <c r="W114" i="19"/>
  <c r="W73" i="19"/>
  <c r="AJ14" i="14" s="1"/>
  <c r="W74" i="19"/>
  <c r="W75" i="19"/>
  <c r="W76" i="19"/>
  <c r="W77" i="19"/>
  <c r="W78" i="19"/>
  <c r="W79" i="19"/>
  <c r="W80" i="19"/>
  <c r="W81" i="19"/>
  <c r="AJ23" i="14" s="1"/>
  <c r="W82" i="19"/>
  <c r="W83" i="19"/>
  <c r="W127" i="19"/>
  <c r="W128" i="19"/>
  <c r="W115" i="19"/>
  <c r="W61" i="19"/>
  <c r="W62" i="19"/>
  <c r="W84" i="19"/>
  <c r="W85" i="19"/>
  <c r="W116" i="19"/>
  <c r="AJ43" i="14" s="1"/>
  <c r="W54" i="19"/>
  <c r="W86" i="19"/>
  <c r="AJ24" i="14" s="1"/>
  <c r="W63" i="19"/>
  <c r="W64" i="19"/>
  <c r="W87" i="19"/>
  <c r="W88" i="19"/>
  <c r="W89" i="19"/>
  <c r="W129" i="19"/>
  <c r="W90" i="19"/>
  <c r="AJ27" i="14" s="1"/>
  <c r="W55" i="19"/>
  <c r="W56" i="19"/>
  <c r="W91" i="19"/>
  <c r="W92" i="19"/>
  <c r="W130" i="19"/>
  <c r="W93" i="19"/>
  <c r="AJ29" i="14" s="1"/>
  <c r="W94" i="19"/>
  <c r="W95" i="19"/>
  <c r="W96" i="19"/>
  <c r="W97" i="19"/>
  <c r="W98" i="19"/>
  <c r="W99" i="19"/>
  <c r="W100" i="19"/>
  <c r="W131" i="19"/>
  <c r="W132" i="19"/>
  <c r="W101" i="19"/>
  <c r="AJ31" i="14" s="1"/>
  <c r="W102" i="19"/>
  <c r="W133" i="19"/>
  <c r="W134" i="19"/>
  <c r="W57" i="19"/>
  <c r="W65" i="19"/>
  <c r="AJ75" i="14" s="1"/>
  <c r="W103" i="19"/>
  <c r="W104" i="19"/>
  <c r="W105" i="19"/>
  <c r="W106" i="19"/>
  <c r="W107" i="19"/>
  <c r="W108" i="19"/>
  <c r="W117" i="19"/>
  <c r="W118" i="19"/>
  <c r="AJ42" i="14" s="1"/>
  <c r="W135" i="19"/>
  <c r="W66" i="19"/>
  <c r="W109" i="19"/>
  <c r="AJ36" i="14" s="1"/>
  <c r="W136" i="19"/>
  <c r="W110" i="19"/>
  <c r="AJ37" i="14" s="1"/>
  <c r="W137" i="19"/>
  <c r="W67" i="19"/>
  <c r="W68" i="19"/>
  <c r="W138" i="19"/>
  <c r="W111" i="19"/>
  <c r="W112" i="19"/>
  <c r="W69" i="19"/>
  <c r="W139" i="19"/>
  <c r="W140" i="19"/>
  <c r="W58" i="19"/>
  <c r="W70" i="19"/>
  <c r="W71" i="19"/>
  <c r="W59" i="19"/>
  <c r="W60" i="19"/>
  <c r="W119" i="19"/>
  <c r="W120" i="19"/>
  <c r="AJ47" i="14" s="1"/>
  <c r="W121" i="19"/>
  <c r="AJ48" i="14" s="1"/>
  <c r="W113" i="19"/>
  <c r="W141" i="19"/>
  <c r="W8" i="19"/>
  <c r="Y8" i="19"/>
  <c r="X8" i="19"/>
  <c r="AJ28" i="14" l="1"/>
  <c r="AJ26" i="14"/>
  <c r="AJ39" i="14"/>
  <c r="AJ76" i="14"/>
  <c r="AJ34" i="14"/>
  <c r="AJ30" i="14"/>
  <c r="AJ72" i="14"/>
  <c r="AJ55" i="14"/>
  <c r="AJ17" i="14"/>
  <c r="AJ49" i="14"/>
  <c r="AJ77" i="14"/>
  <c r="AJ69" i="14"/>
  <c r="AJ67" i="14"/>
  <c r="AJ59" i="14"/>
  <c r="AJ53" i="14"/>
  <c r="AJ60" i="14"/>
  <c r="AJ65" i="14"/>
  <c r="AJ35" i="14"/>
  <c r="AJ74" i="14"/>
  <c r="AJ18" i="14"/>
  <c r="AJ50" i="14"/>
  <c r="AJ66" i="14"/>
  <c r="AJ57" i="14"/>
  <c r="AJ78" i="14"/>
  <c r="AJ46" i="14"/>
  <c r="AJ56" i="14"/>
  <c r="AJ70" i="14"/>
  <c r="AJ41" i="14"/>
  <c r="AJ68" i="14"/>
  <c r="AJ62" i="14"/>
  <c r="AJ54" i="14"/>
  <c r="AJ19" i="14"/>
  <c r="AJ16" i="14"/>
  <c r="AJ58" i="14"/>
  <c r="AJ64" i="14"/>
  <c r="AJ22" i="14"/>
  <c r="AJ21" i="14"/>
  <c r="AJ71" i="14"/>
  <c r="AJ63" i="14"/>
  <c r="AJ52" i="14"/>
  <c r="AJ32" i="14"/>
  <c r="A75" i="20"/>
  <c r="B75" i="20"/>
  <c r="AM75" i="20"/>
  <c r="AN75" i="20"/>
  <c r="A73" i="20" l="1"/>
  <c r="B73" i="20"/>
  <c r="AM73" i="20"/>
  <c r="AN73" i="20"/>
  <c r="I142" i="19" l="1"/>
  <c r="H142" i="19"/>
  <c r="V8" i="19" l="1"/>
  <c r="T8" i="19" s="1"/>
  <c r="V53" i="19"/>
  <c r="T53" i="19" s="1"/>
  <c r="X53" i="19"/>
  <c r="Y53" i="19"/>
  <c r="H149" i="74" l="1"/>
  <c r="H150" i="74"/>
  <c r="L142" i="19" l="1"/>
  <c r="K142" i="19"/>
  <c r="J142" i="19"/>
  <c r="H6" i="36"/>
  <c r="A112" i="20" l="1"/>
  <c r="AM112" i="20"/>
  <c r="AN112" i="20"/>
  <c r="A123" i="20" l="1"/>
  <c r="AM123" i="20"/>
  <c r="AN123" i="20"/>
  <c r="A122" i="20"/>
  <c r="AM122" i="20"/>
  <c r="AN122"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O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N79" i="20"/>
  <c r="AM79" i="20"/>
  <c r="B79" i="20"/>
  <c r="A79" i="20"/>
  <c r="AN78" i="20"/>
  <c r="AM78" i="20"/>
  <c r="B78" i="20"/>
  <c r="A78" i="20"/>
  <c r="AN77" i="20"/>
  <c r="AM77" i="20"/>
  <c r="B77" i="20"/>
  <c r="A77" i="20"/>
  <c r="AN80" i="20"/>
  <c r="AM80" i="20"/>
  <c r="B80" i="20"/>
  <c r="A80" i="20"/>
  <c r="AN81" i="20"/>
  <c r="AM81" i="20"/>
  <c r="B81" i="20"/>
  <c r="A81" i="20"/>
  <c r="AN84" i="20"/>
  <c r="AM84" i="20"/>
  <c r="B84" i="20"/>
  <c r="A84" i="20"/>
  <c r="AN86" i="20"/>
  <c r="AM86" i="20"/>
  <c r="B86" i="20"/>
  <c r="A86" i="20"/>
  <c r="AN92" i="20"/>
  <c r="AM92" i="20"/>
  <c r="B92" i="20"/>
  <c r="A92" i="20"/>
  <c r="AN88" i="20"/>
  <c r="AM88" i="20"/>
  <c r="B88" i="20"/>
  <c r="A88" i="20"/>
  <c r="AN87" i="20"/>
  <c r="AM87" i="20"/>
  <c r="B87" i="20"/>
  <c r="A87" i="20"/>
  <c r="AN91" i="20"/>
  <c r="AM91" i="20"/>
  <c r="B91" i="20"/>
  <c r="A91" i="20"/>
  <c r="AN90" i="20"/>
  <c r="AM90" i="20"/>
  <c r="B90" i="20"/>
  <c r="A90" i="20"/>
  <c r="AN89" i="20"/>
  <c r="AM89" i="20"/>
  <c r="B89" i="20"/>
  <c r="A89" i="20"/>
  <c r="AN85" i="20"/>
  <c r="AM85" i="20"/>
  <c r="B85" i="20"/>
  <c r="A85" i="20"/>
  <c r="AN99" i="20"/>
  <c r="AM99" i="20"/>
  <c r="B99" i="20"/>
  <c r="A99" i="20"/>
  <c r="AN98" i="20"/>
  <c r="AM98" i="20"/>
  <c r="B98" i="20"/>
  <c r="A98" i="20"/>
  <c r="AN97" i="20"/>
  <c r="AM97" i="20"/>
  <c r="B97" i="20"/>
  <c r="A97" i="20"/>
  <c r="AN96" i="20"/>
  <c r="AM96" i="20"/>
  <c r="B96" i="20"/>
  <c r="A96" i="20"/>
  <c r="AN102" i="20"/>
  <c r="AM102" i="20"/>
  <c r="B102" i="20"/>
  <c r="A102" i="20"/>
  <c r="AN101" i="20"/>
  <c r="AM101" i="20"/>
  <c r="B101" i="20"/>
  <c r="A101" i="20"/>
  <c r="AN100" i="20"/>
  <c r="AM100" i="20"/>
  <c r="B100" i="20"/>
  <c r="A100" i="20"/>
  <c r="AN106" i="20"/>
  <c r="AM106" i="20"/>
  <c r="B106" i="20"/>
  <c r="A106" i="20"/>
  <c r="AN103" i="20"/>
  <c r="AM103" i="20"/>
  <c r="B103" i="20"/>
  <c r="A103" i="20"/>
  <c r="AN105" i="20"/>
  <c r="AM105" i="20"/>
  <c r="B105" i="20"/>
  <c r="A105" i="20"/>
  <c r="AN110" i="20"/>
  <c r="AM110" i="20"/>
  <c r="B110" i="20"/>
  <c r="A110" i="20"/>
  <c r="AN109" i="20"/>
  <c r="AM109" i="20"/>
  <c r="B109" i="20"/>
  <c r="A109" i="20"/>
  <c r="AN104" i="20"/>
  <c r="AM104" i="20"/>
  <c r="B104" i="20"/>
  <c r="A104" i="20"/>
  <c r="AN108" i="20"/>
  <c r="AM108" i="20"/>
  <c r="B108" i="20"/>
  <c r="A108" i="20"/>
  <c r="AN111" i="20"/>
  <c r="AM111" i="20"/>
  <c r="B111" i="20"/>
  <c r="A111" i="20"/>
  <c r="AN115" i="20"/>
  <c r="AM115" i="20"/>
  <c r="B115" i="20"/>
  <c r="A115" i="20"/>
  <c r="AN119" i="20"/>
  <c r="AM119" i="20"/>
  <c r="A119" i="20"/>
  <c r="AN114" i="20"/>
  <c r="AM114" i="20"/>
  <c r="B114" i="20"/>
  <c r="A114" i="20"/>
  <c r="AN117" i="20"/>
  <c r="AM117" i="20"/>
  <c r="B117" i="20"/>
  <c r="A117" i="20"/>
  <c r="AN125" i="20"/>
  <c r="AM125" i="20"/>
  <c r="B125" i="20"/>
  <c r="A125" i="20"/>
  <c r="AN113" i="20"/>
  <c r="AM113" i="20"/>
  <c r="B113" i="20"/>
  <c r="A113" i="20"/>
  <c r="AN116" i="20"/>
  <c r="AM116" i="20"/>
  <c r="B116" i="20"/>
  <c r="A116" i="20"/>
  <c r="AN124" i="20"/>
  <c r="AM124" i="20"/>
  <c r="B124" i="20"/>
  <c r="A124" i="20"/>
  <c r="AN118" i="20"/>
  <c r="AM118" i="20"/>
  <c r="B118" i="20"/>
  <c r="A118" i="20"/>
  <c r="AN148" i="20"/>
  <c r="AM148" i="20"/>
  <c r="B148" i="20"/>
  <c r="A148" i="20"/>
  <c r="AN147" i="20"/>
  <c r="AM147" i="20"/>
  <c r="B147" i="20"/>
  <c r="A147" i="20"/>
  <c r="AN146" i="20"/>
  <c r="AM146" i="20"/>
  <c r="B146" i="20"/>
  <c r="A146" i="20"/>
  <c r="AN145" i="20"/>
  <c r="AM145" i="20"/>
  <c r="B145" i="20"/>
  <c r="A145" i="20"/>
  <c r="AN144" i="20"/>
  <c r="AM144" i="20"/>
  <c r="B144" i="20"/>
  <c r="A144" i="20"/>
  <c r="AN143" i="20"/>
  <c r="AM143" i="20"/>
  <c r="B143" i="20"/>
  <c r="A143" i="20"/>
  <c r="AN142" i="20"/>
  <c r="AM142" i="20"/>
  <c r="B142" i="20"/>
  <c r="A142" i="20"/>
  <c r="AN141" i="20"/>
  <c r="AM141" i="20"/>
  <c r="B141" i="20"/>
  <c r="A141" i="20"/>
  <c r="AN140" i="20"/>
  <c r="AM140" i="20"/>
  <c r="B140" i="20"/>
  <c r="A140" i="20"/>
  <c r="AN139" i="20"/>
  <c r="AM139" i="20"/>
  <c r="B139" i="20"/>
  <c r="A139" i="20"/>
  <c r="AN138" i="20"/>
  <c r="AM138" i="20"/>
  <c r="B138" i="20"/>
  <c r="A138" i="20"/>
  <c r="AN133" i="20"/>
  <c r="AM133" i="20"/>
  <c r="B133" i="20"/>
  <c r="A133" i="20"/>
  <c r="AN107" i="20"/>
  <c r="AM107" i="20"/>
  <c r="A107" i="20"/>
  <c r="AN120" i="20"/>
  <c r="AM120" i="20"/>
  <c r="A120" i="20"/>
  <c r="AN132" i="20"/>
  <c r="AM132" i="20"/>
  <c r="B132" i="20"/>
  <c r="A132" i="20"/>
  <c r="AN131" i="20"/>
  <c r="AM131" i="20"/>
  <c r="B131" i="20"/>
  <c r="A131" i="20"/>
  <c r="AN94" i="20"/>
  <c r="AM94" i="20"/>
  <c r="A94" i="20"/>
  <c r="AN128" i="20"/>
  <c r="AM128" i="20"/>
  <c r="B128" i="20"/>
  <c r="A128" i="20"/>
  <c r="AN127" i="20"/>
  <c r="AM127" i="20"/>
  <c r="B127" i="20"/>
  <c r="A127" i="20"/>
  <c r="AN93" i="20"/>
  <c r="AM93" i="20"/>
  <c r="A93" i="20"/>
  <c r="AN126" i="20"/>
  <c r="AM126" i="20"/>
  <c r="B126" i="20"/>
  <c r="A126" i="20"/>
  <c r="AN129" i="20"/>
  <c r="AM129" i="20"/>
  <c r="B129" i="20"/>
  <c r="A129" i="20"/>
  <c r="AN130" i="20"/>
  <c r="AM130" i="20"/>
  <c r="B130" i="20"/>
  <c r="A130" i="20"/>
  <c r="AN134" i="20"/>
  <c r="AM134" i="20"/>
  <c r="B134" i="20"/>
  <c r="A134" i="20"/>
  <c r="AN135" i="20"/>
  <c r="AM135" i="20"/>
  <c r="B135" i="20"/>
  <c r="A135" i="20"/>
  <c r="AN137" i="20"/>
  <c r="AM137" i="20"/>
  <c r="B137" i="20"/>
  <c r="A137" i="20"/>
  <c r="AN136" i="20"/>
  <c r="AM136" i="20"/>
  <c r="B136" i="20"/>
  <c r="A136" i="20"/>
  <c r="AN151" i="20"/>
  <c r="AM151" i="20"/>
  <c r="B151" i="20"/>
  <c r="A151" i="20"/>
  <c r="AN150" i="20"/>
  <c r="AM150" i="20"/>
  <c r="B150" i="20"/>
  <c r="A150" i="20"/>
  <c r="AN149" i="20"/>
  <c r="AM149" i="20"/>
  <c r="B149" i="20"/>
  <c r="A149" i="20"/>
  <c r="AN152" i="20"/>
  <c r="AM152" i="20"/>
  <c r="B152" i="20"/>
  <c r="A152" i="20"/>
  <c r="AN153" i="20"/>
  <c r="AM153" i="20"/>
  <c r="B153" i="20"/>
  <c r="A153" i="20"/>
  <c r="AN154" i="20"/>
  <c r="AM154" i="20"/>
  <c r="B154" i="20"/>
  <c r="A154" i="20"/>
  <c r="AN158" i="20"/>
  <c r="AM158" i="20"/>
  <c r="B158" i="20"/>
  <c r="A158" i="20"/>
  <c r="AN157" i="20"/>
  <c r="AM157" i="20"/>
  <c r="B157" i="20"/>
  <c r="A157" i="20"/>
  <c r="AN156" i="20"/>
  <c r="AM156" i="20"/>
  <c r="B156" i="20"/>
  <c r="A156" i="20"/>
  <c r="AN155" i="20"/>
  <c r="AM155" i="20"/>
  <c r="B155" i="20"/>
  <c r="A155" i="20"/>
  <c r="AN159" i="20"/>
  <c r="AM159" i="20"/>
  <c r="B159" i="20"/>
  <c r="A159" i="20"/>
  <c r="AN161" i="20"/>
  <c r="AM161" i="20"/>
  <c r="B161" i="20"/>
  <c r="A161" i="20"/>
  <c r="AN160" i="20"/>
  <c r="AM160" i="20"/>
  <c r="B160" i="20"/>
  <c r="A160" i="20"/>
  <c r="AN163" i="20"/>
  <c r="AM163" i="20"/>
  <c r="B163" i="20"/>
  <c r="A163" i="20"/>
  <c r="AN162" i="20"/>
  <c r="AM162" i="20"/>
  <c r="B162" i="20"/>
  <c r="A162" i="20"/>
  <c r="AN164" i="20"/>
  <c r="AM164" i="20"/>
  <c r="B164" i="20"/>
  <c r="A164" i="20"/>
  <c r="AN166" i="20"/>
  <c r="AM166" i="20"/>
  <c r="B166" i="20"/>
  <c r="A166" i="20"/>
  <c r="AN165" i="20"/>
  <c r="AM165" i="20"/>
  <c r="B165" i="20"/>
  <c r="A165" i="20"/>
  <c r="AN169" i="20"/>
  <c r="AM169" i="20"/>
  <c r="B169" i="20"/>
  <c r="A169" i="20"/>
  <c r="AN168" i="20"/>
  <c r="AM168" i="20"/>
  <c r="B168" i="20"/>
  <c r="A168" i="20"/>
  <c r="AN167" i="20"/>
  <c r="AM167" i="20"/>
  <c r="B167" i="20"/>
  <c r="A167" i="20"/>
  <c r="AN171" i="20"/>
  <c r="AM171" i="20"/>
  <c r="B171" i="20"/>
  <c r="A171" i="20"/>
  <c r="AN170" i="20"/>
  <c r="AM170" i="20"/>
  <c r="B170" i="20"/>
  <c r="A170" i="20"/>
  <c r="AN172" i="20"/>
  <c r="AM172" i="20"/>
  <c r="B172" i="20"/>
  <c r="A172" i="20"/>
  <c r="AN174" i="20"/>
  <c r="AM174" i="20"/>
  <c r="B174" i="20"/>
  <c r="A174" i="20"/>
  <c r="AN173" i="20"/>
  <c r="AM173" i="20"/>
  <c r="B173" i="20"/>
  <c r="A173" i="20"/>
  <c r="AN175" i="20"/>
  <c r="AM175" i="20"/>
  <c r="B175" i="20"/>
  <c r="A175" i="20"/>
  <c r="AN176" i="20"/>
  <c r="AM176" i="20"/>
  <c r="B176" i="20"/>
  <c r="A176" i="20"/>
  <c r="AN181" i="20"/>
  <c r="AM181" i="20"/>
  <c r="B181" i="20"/>
  <c r="A181" i="20"/>
  <c r="AN180" i="20"/>
  <c r="AM180" i="20"/>
  <c r="B180" i="20"/>
  <c r="A180" i="20"/>
  <c r="AN179" i="20"/>
  <c r="AM179" i="20"/>
  <c r="B179" i="20"/>
  <c r="A179" i="20"/>
  <c r="AN178" i="20"/>
  <c r="AM178" i="20"/>
  <c r="B178" i="20"/>
  <c r="A178" i="20"/>
  <c r="AN177" i="20"/>
  <c r="AM177" i="20"/>
  <c r="B177" i="20"/>
  <c r="A177" i="20"/>
  <c r="AN185" i="20"/>
  <c r="AM185" i="20"/>
  <c r="B185" i="20"/>
  <c r="A185" i="20"/>
  <c r="AN184" i="20"/>
  <c r="AM184" i="20"/>
  <c r="B184" i="20"/>
  <c r="A184" i="20"/>
  <c r="AN183" i="20"/>
  <c r="AM183" i="20"/>
  <c r="B183" i="20"/>
  <c r="A183" i="20"/>
  <c r="AN182" i="20"/>
  <c r="AM182" i="20"/>
  <c r="B182" i="20"/>
  <c r="A182" i="20"/>
  <c r="AN187" i="20"/>
  <c r="AM187" i="20"/>
  <c r="B187" i="20"/>
  <c r="A187" i="20"/>
  <c r="AN186" i="20"/>
  <c r="AM186" i="20"/>
  <c r="B186" i="20"/>
  <c r="A186" i="20"/>
  <c r="AN189" i="20"/>
  <c r="AM189" i="20"/>
  <c r="B189" i="20"/>
  <c r="A189" i="20"/>
  <c r="AN188" i="20"/>
  <c r="AM188" i="20"/>
  <c r="B188" i="20"/>
  <c r="A188" i="20"/>
  <c r="AN190" i="20"/>
  <c r="AM190" i="20"/>
  <c r="B190" i="20"/>
  <c r="A190" i="20"/>
  <c r="AN191" i="20"/>
  <c r="AM191" i="20"/>
  <c r="B191" i="20"/>
  <c r="A191" i="20"/>
  <c r="AN192" i="20"/>
  <c r="AM192" i="20"/>
  <c r="B192" i="20"/>
  <c r="A192" i="20"/>
  <c r="AN193" i="20"/>
  <c r="AM193" i="20"/>
  <c r="B193" i="20"/>
  <c r="A193" i="20"/>
  <c r="AN194" i="20"/>
  <c r="AM194" i="20"/>
  <c r="B194" i="20"/>
  <c r="A194" i="20"/>
  <c r="AN195" i="20"/>
  <c r="AM195" i="20"/>
  <c r="B195" i="20"/>
  <c r="A195" i="20"/>
  <c r="AN196" i="20"/>
  <c r="AM196" i="20"/>
  <c r="B196" i="20"/>
  <c r="A196" i="20"/>
  <c r="AN197" i="20"/>
  <c r="AM197" i="20"/>
  <c r="B197" i="20"/>
  <c r="A197" i="20"/>
  <c r="AN199" i="20"/>
  <c r="AM199" i="20"/>
  <c r="B199" i="20"/>
  <c r="A199" i="20"/>
  <c r="AN198" i="20"/>
  <c r="AM198" i="20"/>
  <c r="B198" i="20"/>
  <c r="A198" i="20"/>
  <c r="AN201" i="20"/>
  <c r="AM201" i="20"/>
  <c r="B201" i="20"/>
  <c r="A201" i="20"/>
  <c r="AN200" i="20"/>
  <c r="AM200" i="20"/>
  <c r="B200" i="20"/>
  <c r="A200" i="20"/>
  <c r="AN206" i="20"/>
  <c r="AM206" i="20"/>
  <c r="B206" i="20"/>
  <c r="A206" i="20"/>
  <c r="AN205" i="20"/>
  <c r="AM205" i="20"/>
  <c r="B205" i="20"/>
  <c r="A205" i="20"/>
  <c r="AN204" i="20"/>
  <c r="AM204" i="20"/>
  <c r="B204" i="20"/>
  <c r="A204" i="20"/>
  <c r="AN203" i="20"/>
  <c r="AM203" i="20"/>
  <c r="B203" i="20"/>
  <c r="A203" i="20"/>
  <c r="AN202" i="20"/>
  <c r="AM202" i="20"/>
  <c r="B202" i="20"/>
  <c r="A202" i="20"/>
  <c r="AN209" i="20"/>
  <c r="AM209" i="20"/>
  <c r="B209" i="20"/>
  <c r="A209" i="20"/>
  <c r="AN208" i="20"/>
  <c r="AM208" i="20"/>
  <c r="B208" i="20"/>
  <c r="A208" i="20"/>
  <c r="AN207" i="20"/>
  <c r="AM207" i="20"/>
  <c r="B207" i="20"/>
  <c r="A207" i="20"/>
  <c r="AN220" i="20"/>
  <c r="AM220" i="20"/>
  <c r="B220" i="20"/>
  <c r="A220" i="20"/>
  <c r="AN219" i="20"/>
  <c r="AM219" i="20"/>
  <c r="B219" i="20"/>
  <c r="A219" i="20"/>
  <c r="AN218" i="20"/>
  <c r="AM218" i="20"/>
  <c r="B218" i="20"/>
  <c r="A218" i="20"/>
  <c r="AN217" i="20"/>
  <c r="AM217" i="20"/>
  <c r="B217" i="20"/>
  <c r="A217" i="20"/>
  <c r="AN216" i="20"/>
  <c r="AM216" i="20"/>
  <c r="B216" i="20"/>
  <c r="A216" i="20"/>
  <c r="AN215" i="20"/>
  <c r="AM215" i="20"/>
  <c r="B215" i="20"/>
  <c r="A215" i="20"/>
  <c r="AN214" i="20"/>
  <c r="AM214" i="20"/>
  <c r="B214" i="20"/>
  <c r="A214" i="20"/>
  <c r="AN213" i="20"/>
  <c r="AM213" i="20"/>
  <c r="B213" i="20"/>
  <c r="A213" i="20"/>
  <c r="AN212" i="20"/>
  <c r="AM212" i="20"/>
  <c r="B212" i="20"/>
  <c r="A212" i="20"/>
  <c r="AN211" i="20"/>
  <c r="AM211" i="20"/>
  <c r="B211" i="20"/>
  <c r="A211" i="20"/>
  <c r="AN210" i="20"/>
  <c r="AM210" i="20"/>
  <c r="B210" i="20"/>
  <c r="A210" i="20"/>
  <c r="AN223" i="20"/>
  <c r="AM223" i="20"/>
  <c r="B223" i="20"/>
  <c r="A223" i="20"/>
  <c r="AN222" i="20"/>
  <c r="AM222" i="20"/>
  <c r="B222" i="20"/>
  <c r="A222" i="20"/>
  <c r="AN221" i="20"/>
  <c r="AM221" i="20"/>
  <c r="B221" i="20"/>
  <c r="A221" i="20"/>
  <c r="AN229" i="20"/>
  <c r="AM229" i="20"/>
  <c r="B229" i="20"/>
  <c r="A229" i="20"/>
  <c r="AN228" i="20"/>
  <c r="AM228" i="20"/>
  <c r="B228" i="20"/>
  <c r="A228" i="20"/>
  <c r="AN227" i="20"/>
  <c r="AM227" i="20"/>
  <c r="B227" i="20"/>
  <c r="A227" i="20"/>
  <c r="AN226" i="20"/>
  <c r="AM226" i="20"/>
  <c r="B226" i="20"/>
  <c r="A226" i="20"/>
  <c r="AN225" i="20"/>
  <c r="AM225" i="20"/>
  <c r="B225" i="20"/>
  <c r="A225" i="20"/>
  <c r="AN224" i="20"/>
  <c r="AM224" i="20"/>
  <c r="B224" i="20"/>
  <c r="A224" i="20"/>
  <c r="AN231" i="20"/>
  <c r="AM231" i="20"/>
  <c r="B231" i="20"/>
  <c r="A231" i="20"/>
  <c r="AN230" i="20"/>
  <c r="AM230" i="20"/>
  <c r="B230" i="20"/>
  <c r="A230" i="20"/>
  <c r="AN233" i="20"/>
  <c r="AM233" i="20"/>
  <c r="B233" i="20"/>
  <c r="A233" i="20"/>
  <c r="AN232" i="20"/>
  <c r="AM232" i="20"/>
  <c r="B232" i="20"/>
  <c r="A232" i="20"/>
  <c r="AN234" i="20"/>
  <c r="AM234" i="20"/>
  <c r="B234" i="20"/>
  <c r="A234" i="20"/>
  <c r="AN235" i="20"/>
  <c r="AM235" i="20"/>
  <c r="B235" i="20"/>
  <c r="A235" i="20"/>
  <c r="AN236" i="20"/>
  <c r="AM236" i="20"/>
  <c r="B236" i="20"/>
  <c r="A236" i="20"/>
  <c r="AN238" i="20"/>
  <c r="AM238" i="20"/>
  <c r="B238" i="20"/>
  <c r="A238" i="20"/>
  <c r="AN237" i="20"/>
  <c r="AM237" i="20"/>
  <c r="B237" i="20"/>
  <c r="A237" i="20"/>
  <c r="AN239" i="20"/>
  <c r="AM239" i="20"/>
  <c r="B239" i="20"/>
  <c r="A239" i="20"/>
  <c r="AN240" i="20"/>
  <c r="AM240" i="20"/>
  <c r="B240" i="20"/>
  <c r="A240" i="20"/>
  <c r="AN241" i="20"/>
  <c r="AM241" i="20"/>
  <c r="B241" i="20"/>
  <c r="A241" i="20"/>
  <c r="AN242" i="20"/>
  <c r="AM242" i="20"/>
  <c r="B242" i="20"/>
  <c r="A242" i="20"/>
  <c r="AN244" i="20"/>
  <c r="AM244" i="20"/>
  <c r="B244" i="20"/>
  <c r="A244" i="20"/>
  <c r="AN243" i="20"/>
  <c r="AM243" i="20"/>
  <c r="B243" i="20"/>
  <c r="A243" i="20"/>
  <c r="AN245" i="20"/>
  <c r="AM245" i="20"/>
  <c r="B245" i="20"/>
  <c r="A245" i="20"/>
  <c r="AN246" i="20"/>
  <c r="AM246" i="20"/>
  <c r="B246" i="20"/>
  <c r="A246" i="20"/>
  <c r="AN247" i="20"/>
  <c r="AM247" i="20"/>
  <c r="B247" i="20"/>
  <c r="A247" i="20"/>
  <c r="AN248" i="20"/>
  <c r="AM248" i="20"/>
  <c r="B248" i="20"/>
  <c r="A248" i="20"/>
  <c r="AN253" i="20"/>
  <c r="AM253" i="20"/>
  <c r="B253" i="20"/>
  <c r="A253" i="20"/>
  <c r="AN252" i="20"/>
  <c r="AM252" i="20"/>
  <c r="B252" i="20"/>
  <c r="A252" i="20"/>
  <c r="AN251" i="20"/>
  <c r="AM251" i="20"/>
  <c r="B251" i="20"/>
  <c r="A251" i="20"/>
  <c r="AN250" i="20"/>
  <c r="AM250" i="20"/>
  <c r="B250" i="20"/>
  <c r="A250" i="20"/>
  <c r="AN249" i="20"/>
  <c r="AM249" i="20"/>
  <c r="B249" i="20"/>
  <c r="A249" i="20"/>
  <c r="AN254" i="20"/>
  <c r="AM254" i="20"/>
  <c r="B254" i="20"/>
  <c r="A254" i="20"/>
  <c r="AN255" i="20"/>
  <c r="AM255" i="20"/>
  <c r="B255" i="20"/>
  <c r="A255" i="20"/>
  <c r="AN257" i="20"/>
  <c r="AM257" i="20"/>
  <c r="B257" i="20"/>
  <c r="A257" i="20"/>
  <c r="AN256" i="20"/>
  <c r="AM256" i="20"/>
  <c r="B256" i="20"/>
  <c r="A256" i="20"/>
  <c r="AN263" i="20"/>
  <c r="AM263" i="20"/>
  <c r="B263" i="20"/>
  <c r="A263" i="20"/>
  <c r="AN262" i="20"/>
  <c r="AM262" i="20"/>
  <c r="B262" i="20"/>
  <c r="A262" i="20"/>
  <c r="AN261" i="20"/>
  <c r="AM261" i="20"/>
  <c r="B261" i="20"/>
  <c r="A261" i="20"/>
  <c r="AN260" i="20"/>
  <c r="AM260" i="20"/>
  <c r="B260" i="20"/>
  <c r="A260" i="20"/>
  <c r="AN259" i="20"/>
  <c r="AM259" i="20"/>
  <c r="B259" i="20"/>
  <c r="A259" i="20"/>
  <c r="AN258" i="20"/>
  <c r="AM258" i="20"/>
  <c r="B258" i="20"/>
  <c r="A258" i="20"/>
  <c r="AN267" i="20"/>
  <c r="AM267" i="20"/>
  <c r="B267" i="20"/>
  <c r="A267" i="20"/>
  <c r="AN266" i="20"/>
  <c r="AM266" i="20"/>
  <c r="B266" i="20"/>
  <c r="A266" i="20"/>
  <c r="AN265" i="20"/>
  <c r="AM265" i="20"/>
  <c r="B265" i="20"/>
  <c r="A265" i="20"/>
  <c r="AN264" i="20"/>
  <c r="AM264" i="20"/>
  <c r="B264" i="20"/>
  <c r="A264" i="20"/>
  <c r="AN268" i="20"/>
  <c r="AM268" i="20"/>
  <c r="B268" i="20"/>
  <c r="A268" i="20"/>
  <c r="AN278" i="20"/>
  <c r="AM278" i="20"/>
  <c r="B278" i="20"/>
  <c r="A278" i="20"/>
  <c r="AN277" i="20"/>
  <c r="AM277" i="20"/>
  <c r="B277" i="20"/>
  <c r="A277" i="20"/>
  <c r="AN276" i="20"/>
  <c r="AM276" i="20"/>
  <c r="B276" i="20"/>
  <c r="A276" i="20"/>
  <c r="AN275" i="20"/>
  <c r="AM275" i="20"/>
  <c r="B275" i="20"/>
  <c r="A275" i="20"/>
  <c r="AN274" i="20"/>
  <c r="AM274" i="20"/>
  <c r="B274" i="20"/>
  <c r="A274" i="20"/>
  <c r="AN273" i="20"/>
  <c r="AM273" i="20"/>
  <c r="B273" i="20"/>
  <c r="A273" i="20"/>
  <c r="AN272" i="20"/>
  <c r="AM272" i="20"/>
  <c r="B272" i="20"/>
  <c r="A272" i="20"/>
  <c r="AN271" i="20"/>
  <c r="AM271" i="20"/>
  <c r="B271" i="20"/>
  <c r="A271" i="20"/>
  <c r="AN270" i="20"/>
  <c r="AM270" i="20"/>
  <c r="B270" i="20"/>
  <c r="A270" i="20"/>
  <c r="AN269" i="20"/>
  <c r="AM269" i="20"/>
  <c r="B269" i="20"/>
  <c r="A269" i="20"/>
  <c r="AN280" i="20"/>
  <c r="AM280" i="20"/>
  <c r="B280" i="20"/>
  <c r="A280" i="20"/>
  <c r="AN279" i="20"/>
  <c r="AM279" i="20"/>
  <c r="B279" i="20"/>
  <c r="A279" i="20"/>
  <c r="AN286" i="20"/>
  <c r="AM286" i="20"/>
  <c r="B286" i="20"/>
  <c r="A286" i="20"/>
  <c r="AN285" i="20"/>
  <c r="AM285" i="20"/>
  <c r="B285" i="20"/>
  <c r="A285" i="20"/>
  <c r="AN284" i="20"/>
  <c r="AM284" i="20"/>
  <c r="B284" i="20"/>
  <c r="A284" i="20"/>
  <c r="AN283" i="20"/>
  <c r="AM283" i="20"/>
  <c r="B283" i="20"/>
  <c r="A283" i="20"/>
  <c r="AN282" i="20"/>
  <c r="AM282" i="20"/>
  <c r="B282" i="20"/>
  <c r="A282" i="20"/>
  <c r="AN281" i="20"/>
  <c r="AM281" i="20"/>
  <c r="B281" i="20"/>
  <c r="A281" i="20"/>
  <c r="AN288" i="20"/>
  <c r="AM288" i="20"/>
  <c r="B288" i="20"/>
  <c r="A288" i="20"/>
  <c r="AN287" i="20"/>
  <c r="AM287" i="20"/>
  <c r="B287" i="20"/>
  <c r="A287" i="20"/>
  <c r="AN289" i="20"/>
  <c r="AM289" i="20"/>
  <c r="B289" i="20"/>
  <c r="A289" i="20"/>
  <c r="AN290" i="20"/>
  <c r="AM290" i="20"/>
  <c r="B290" i="20"/>
  <c r="A290" i="20"/>
  <c r="AN291" i="20"/>
  <c r="AM291" i="20"/>
  <c r="B291" i="20"/>
  <c r="A291" i="20"/>
  <c r="AN294" i="20"/>
  <c r="AM294" i="20"/>
  <c r="B294" i="20"/>
  <c r="A294" i="20"/>
  <c r="AN293" i="20"/>
  <c r="AM293" i="20"/>
  <c r="B293" i="20"/>
  <c r="A293" i="20"/>
  <c r="AN292" i="20"/>
  <c r="AM292" i="20"/>
  <c r="B292" i="20"/>
  <c r="A292" i="20"/>
  <c r="AN295" i="20"/>
  <c r="AM295" i="20"/>
  <c r="B295" i="20"/>
  <c r="A295" i="20"/>
  <c r="AN298" i="20"/>
  <c r="AM298" i="20"/>
  <c r="B298" i="20"/>
  <c r="A298" i="20"/>
  <c r="AN297" i="20"/>
  <c r="AM297" i="20"/>
  <c r="B297" i="20"/>
  <c r="A297" i="20"/>
  <c r="AN296" i="20"/>
  <c r="AM296" i="20"/>
  <c r="B296" i="20"/>
  <c r="A296" i="20"/>
  <c r="AN299" i="20"/>
  <c r="AM299" i="20"/>
  <c r="B299" i="20"/>
  <c r="A299" i="20"/>
  <c r="AN303" i="20"/>
  <c r="AM303" i="20"/>
  <c r="B303" i="20"/>
  <c r="A303" i="20"/>
  <c r="AN302" i="20"/>
  <c r="AM302" i="20"/>
  <c r="B302" i="20"/>
  <c r="A302" i="20"/>
  <c r="AN301" i="20"/>
  <c r="AM301" i="20"/>
  <c r="B301" i="20"/>
  <c r="A301" i="20"/>
  <c r="AN300" i="20"/>
  <c r="AM300" i="20"/>
  <c r="B300" i="20"/>
  <c r="A300" i="20"/>
  <c r="AN312" i="20"/>
  <c r="AM312" i="20"/>
  <c r="B312" i="20"/>
  <c r="A312" i="20"/>
  <c r="AN311" i="20"/>
  <c r="AM311" i="20"/>
  <c r="B311" i="20"/>
  <c r="A311" i="20"/>
  <c r="AN310" i="20"/>
  <c r="AM310" i="20"/>
  <c r="B310" i="20"/>
  <c r="A310" i="20"/>
  <c r="AN309" i="20"/>
  <c r="AM309" i="20"/>
  <c r="B309" i="20"/>
  <c r="A309" i="20"/>
  <c r="AN308" i="20"/>
  <c r="AM308" i="20"/>
  <c r="B308" i="20"/>
  <c r="A308" i="20"/>
  <c r="AN307" i="20"/>
  <c r="AM307" i="20"/>
  <c r="B307" i="20"/>
  <c r="A307" i="20"/>
  <c r="AN306" i="20"/>
  <c r="AM306" i="20"/>
  <c r="B306" i="20"/>
  <c r="A306" i="20"/>
  <c r="AN305" i="20"/>
  <c r="AM305" i="20"/>
  <c r="B305" i="20"/>
  <c r="A305" i="20"/>
  <c r="AN304" i="20"/>
  <c r="AM304" i="20"/>
  <c r="B304" i="20"/>
  <c r="A304" i="20"/>
  <c r="AN315" i="20"/>
  <c r="AM315" i="20"/>
  <c r="B315" i="20"/>
  <c r="A315" i="20"/>
  <c r="AN314" i="20"/>
  <c r="AM314" i="20"/>
  <c r="B314" i="20"/>
  <c r="A314" i="20"/>
  <c r="AN313" i="20"/>
  <c r="AM313" i="20"/>
  <c r="B313" i="20"/>
  <c r="A313" i="20"/>
  <c r="AN317" i="20"/>
  <c r="AM317" i="20"/>
  <c r="B317" i="20"/>
  <c r="A317" i="20"/>
  <c r="AN316" i="20"/>
  <c r="AM316" i="20"/>
  <c r="B316" i="20"/>
  <c r="A316" i="20"/>
  <c r="AN319" i="20"/>
  <c r="AM319" i="20"/>
  <c r="B319" i="20"/>
  <c r="A319" i="20"/>
  <c r="AN318" i="20"/>
  <c r="AM318" i="20"/>
  <c r="B318" i="20"/>
  <c r="A318" i="20"/>
  <c r="AN321" i="20"/>
  <c r="AM321" i="20"/>
  <c r="B321" i="20"/>
  <c r="A321" i="20"/>
  <c r="AN320" i="20"/>
  <c r="AM320" i="20"/>
  <c r="B320" i="20"/>
  <c r="A320" i="20"/>
  <c r="AN323" i="20"/>
  <c r="AM323" i="20"/>
  <c r="B323" i="20"/>
  <c r="A323" i="20"/>
  <c r="AN322" i="20"/>
  <c r="AM322" i="20"/>
  <c r="B322" i="20"/>
  <c r="A322" i="20"/>
  <c r="AN329" i="20"/>
  <c r="AM329" i="20"/>
  <c r="B329" i="20"/>
  <c r="A329" i="20"/>
  <c r="AN328" i="20"/>
  <c r="AM328" i="20"/>
  <c r="B328" i="20"/>
  <c r="A328" i="20"/>
  <c r="AN327" i="20"/>
  <c r="AM327" i="20"/>
  <c r="B327" i="20"/>
  <c r="A327" i="20"/>
  <c r="AN326" i="20"/>
  <c r="AM326" i="20"/>
  <c r="B326" i="20"/>
  <c r="A326" i="20"/>
  <c r="AN325" i="20"/>
  <c r="AM325" i="20"/>
  <c r="B325" i="20"/>
  <c r="A325" i="20"/>
  <c r="AN324" i="20"/>
  <c r="AM324" i="20"/>
  <c r="B324" i="20"/>
  <c r="A324" i="20"/>
  <c r="AN330" i="20"/>
  <c r="AM330" i="20"/>
  <c r="B330" i="20"/>
  <c r="A330" i="20"/>
  <c r="AN349" i="20"/>
  <c r="AM349" i="20"/>
  <c r="B349" i="20"/>
  <c r="A349" i="20"/>
  <c r="AN348" i="20"/>
  <c r="AM348" i="20"/>
  <c r="B348" i="20"/>
  <c r="A348" i="20"/>
  <c r="AN347" i="20"/>
  <c r="AM347" i="20"/>
  <c r="B347" i="20"/>
  <c r="A347" i="20"/>
  <c r="AN346" i="20"/>
  <c r="AM346" i="20"/>
  <c r="B346" i="20"/>
  <c r="A346" i="20"/>
  <c r="AN345" i="20"/>
  <c r="AM345" i="20"/>
  <c r="B345" i="20"/>
  <c r="A345" i="20"/>
  <c r="AN344" i="20"/>
  <c r="AM344" i="20"/>
  <c r="B344" i="20"/>
  <c r="A344" i="20"/>
  <c r="AN343" i="20"/>
  <c r="AM343" i="20"/>
  <c r="B343" i="20"/>
  <c r="A343" i="20"/>
  <c r="AN342" i="20"/>
  <c r="AM342" i="20"/>
  <c r="B342" i="20"/>
  <c r="A342" i="20"/>
  <c r="AN341" i="20"/>
  <c r="AM341" i="20"/>
  <c r="B341" i="20"/>
  <c r="A341" i="20"/>
  <c r="AN340" i="20"/>
  <c r="AM340" i="20"/>
  <c r="B340" i="20"/>
  <c r="A340" i="20"/>
  <c r="AN339" i="20"/>
  <c r="AM339" i="20"/>
  <c r="B339" i="20"/>
  <c r="A339" i="20"/>
  <c r="AN338" i="20"/>
  <c r="AM338" i="20"/>
  <c r="B338" i="20"/>
  <c r="A338" i="20"/>
  <c r="AN337" i="20"/>
  <c r="AM337" i="20"/>
  <c r="B337" i="20"/>
  <c r="A337" i="20"/>
  <c r="AN336" i="20"/>
  <c r="AM336" i="20"/>
  <c r="B336" i="20"/>
  <c r="A336" i="20"/>
  <c r="AN335" i="20"/>
  <c r="AM335" i="20"/>
  <c r="B335" i="20"/>
  <c r="A335" i="20"/>
  <c r="AN334" i="20"/>
  <c r="AM334" i="20"/>
  <c r="B334" i="20"/>
  <c r="A334" i="20"/>
  <c r="AN333" i="20"/>
  <c r="AM333" i="20"/>
  <c r="B333" i="20"/>
  <c r="A333" i="20"/>
  <c r="AN332" i="20"/>
  <c r="AM332" i="20"/>
  <c r="B332" i="20"/>
  <c r="A332" i="20"/>
  <c r="AN331" i="20"/>
  <c r="AM331" i="20"/>
  <c r="B331" i="20"/>
  <c r="A331" i="20"/>
  <c r="AN353" i="20"/>
  <c r="AM353" i="20"/>
  <c r="B353" i="20"/>
  <c r="A353" i="20"/>
  <c r="AN352" i="20"/>
  <c r="AM352" i="20"/>
  <c r="B352" i="20"/>
  <c r="A352" i="20"/>
  <c r="AN351" i="20"/>
  <c r="AM351" i="20"/>
  <c r="B351" i="20"/>
  <c r="A351" i="20"/>
  <c r="AN350" i="20"/>
  <c r="AM350" i="20"/>
  <c r="B350" i="20"/>
  <c r="A350" i="20"/>
  <c r="AN355" i="20"/>
  <c r="AM355" i="20"/>
  <c r="B355" i="20"/>
  <c r="A355" i="20"/>
  <c r="AN354" i="20"/>
  <c r="AM354" i="20"/>
  <c r="B354" i="20"/>
  <c r="A354" i="20"/>
  <c r="AN356" i="20"/>
  <c r="AM356" i="20"/>
  <c r="B356" i="20"/>
  <c r="A356" i="20"/>
  <c r="AN357" i="20"/>
  <c r="AM357" i="20"/>
  <c r="B357" i="20"/>
  <c r="A357" i="20"/>
  <c r="AN364" i="20"/>
  <c r="AM364" i="20"/>
  <c r="B364" i="20"/>
  <c r="A364" i="20"/>
  <c r="AN363" i="20"/>
  <c r="AM363" i="20"/>
  <c r="B363" i="20"/>
  <c r="A363" i="20"/>
  <c r="AN362" i="20"/>
  <c r="AM362" i="20"/>
  <c r="B362" i="20"/>
  <c r="A362" i="20"/>
  <c r="AN361" i="20"/>
  <c r="AM361" i="20"/>
  <c r="B361" i="20"/>
  <c r="A361" i="20"/>
  <c r="AN360" i="20"/>
  <c r="AM360" i="20"/>
  <c r="B360" i="20"/>
  <c r="A360" i="20"/>
  <c r="AN359" i="20"/>
  <c r="AM359" i="20"/>
  <c r="B359" i="20"/>
  <c r="A359" i="20"/>
  <c r="AN358" i="20"/>
  <c r="AM358" i="20"/>
  <c r="B358" i="20"/>
  <c r="A358" i="20"/>
  <c r="AN370" i="20"/>
  <c r="AM370" i="20"/>
  <c r="B370" i="20"/>
  <c r="A370" i="20"/>
  <c r="AN369" i="20"/>
  <c r="AM369" i="20"/>
  <c r="B369" i="20"/>
  <c r="A369" i="20"/>
  <c r="AN368" i="20"/>
  <c r="AM368" i="20"/>
  <c r="B368" i="20"/>
  <c r="A368" i="20"/>
  <c r="AN367" i="20"/>
  <c r="AM367" i="20"/>
  <c r="B367" i="20"/>
  <c r="A367" i="20"/>
  <c r="AN366" i="20"/>
  <c r="AM366" i="20"/>
  <c r="B366" i="20"/>
  <c r="A366" i="20"/>
  <c r="AN365" i="20"/>
  <c r="AM365" i="20"/>
  <c r="B365" i="20"/>
  <c r="A365" i="20"/>
  <c r="AN376" i="20"/>
  <c r="AM376" i="20"/>
  <c r="B376" i="20"/>
  <c r="A376" i="20"/>
  <c r="AN375" i="20"/>
  <c r="AM375" i="20"/>
  <c r="B375" i="20"/>
  <c r="A375" i="20"/>
  <c r="AN374" i="20"/>
  <c r="AM374" i="20"/>
  <c r="B374" i="20"/>
  <c r="A374" i="20"/>
  <c r="AN373" i="20"/>
  <c r="AM373" i="20"/>
  <c r="B373" i="20"/>
  <c r="A373" i="20"/>
  <c r="AN372" i="20"/>
  <c r="AM372" i="20"/>
  <c r="B372" i="20"/>
  <c r="A372" i="20"/>
  <c r="AN371" i="20"/>
  <c r="AM371" i="20"/>
  <c r="B371" i="20"/>
  <c r="A371" i="20"/>
  <c r="AN377" i="20"/>
  <c r="AM377" i="20"/>
  <c r="B377" i="20"/>
  <c r="A377" i="20"/>
  <c r="AN378" i="20"/>
  <c r="AM378" i="20"/>
  <c r="B378" i="20"/>
  <c r="A378" i="20"/>
  <c r="AN379" i="20"/>
  <c r="AM379" i="20"/>
  <c r="B379" i="20"/>
  <c r="A379" i="20"/>
  <c r="AN382" i="20"/>
  <c r="AM382" i="20"/>
  <c r="B382" i="20"/>
  <c r="A382" i="20"/>
  <c r="AN381" i="20"/>
  <c r="AM381" i="20"/>
  <c r="B381" i="20"/>
  <c r="A381" i="20"/>
  <c r="AN380" i="20"/>
  <c r="AM380" i="20"/>
  <c r="B380" i="20"/>
  <c r="A380" i="20"/>
  <c r="AN384" i="20"/>
  <c r="AM384" i="20"/>
  <c r="B384" i="20"/>
  <c r="A384" i="20"/>
  <c r="AN383" i="20"/>
  <c r="AM383" i="20"/>
  <c r="B383" i="20"/>
  <c r="A383" i="20"/>
  <c r="AN385" i="20"/>
  <c r="AM385" i="20"/>
  <c r="B385" i="20"/>
  <c r="A385" i="20"/>
  <c r="AN386" i="20"/>
  <c r="AM386" i="20"/>
  <c r="B386" i="20"/>
  <c r="A386" i="20"/>
  <c r="AN387" i="20"/>
  <c r="AM387" i="20"/>
  <c r="B387" i="20"/>
  <c r="A387" i="20"/>
  <c r="AN388" i="20"/>
  <c r="AM388" i="20"/>
  <c r="B388" i="20"/>
  <c r="A388" i="20"/>
  <c r="AN392" i="20"/>
  <c r="AM392" i="20"/>
  <c r="B392" i="20"/>
  <c r="A392" i="20"/>
  <c r="AN391" i="20"/>
  <c r="AM391" i="20"/>
  <c r="B391" i="20"/>
  <c r="A391" i="20"/>
  <c r="AN390" i="20"/>
  <c r="AM390" i="20"/>
  <c r="B390" i="20"/>
  <c r="A390" i="20"/>
  <c r="AN389" i="20"/>
  <c r="AM389" i="20"/>
  <c r="B389" i="20"/>
  <c r="A389" i="20"/>
  <c r="AN393" i="20"/>
  <c r="AM393" i="20"/>
  <c r="B393" i="20"/>
  <c r="A393" i="20"/>
  <c r="AN394" i="20"/>
  <c r="AM394" i="20"/>
  <c r="B394" i="20"/>
  <c r="A394" i="20"/>
  <c r="AN396" i="20"/>
  <c r="AM396" i="20"/>
  <c r="B396" i="20"/>
  <c r="A396" i="20"/>
  <c r="AN395" i="20"/>
  <c r="AM395" i="20"/>
  <c r="B395" i="20"/>
  <c r="A395" i="20"/>
  <c r="AN398" i="20"/>
  <c r="AM398" i="20"/>
  <c r="B398" i="20"/>
  <c r="A398" i="20"/>
  <c r="AN397" i="20"/>
  <c r="AM397" i="20"/>
  <c r="B397" i="20"/>
  <c r="A397" i="20"/>
  <c r="AN399" i="20"/>
  <c r="AM399" i="20"/>
  <c r="B399" i="20"/>
  <c r="A399" i="20"/>
  <c r="AN400" i="20"/>
  <c r="AM400" i="20"/>
  <c r="B400" i="20"/>
  <c r="A400" i="20"/>
  <c r="AN401" i="20"/>
  <c r="AM401" i="20"/>
  <c r="B401" i="20"/>
  <c r="A401" i="20"/>
  <c r="AN403" i="20"/>
  <c r="AM403" i="20"/>
  <c r="B403" i="20"/>
  <c r="A403" i="20"/>
  <c r="AN402" i="20"/>
  <c r="AM402" i="20"/>
  <c r="B402" i="20"/>
  <c r="A402" i="20"/>
  <c r="AN404" i="20"/>
  <c r="AM404" i="20"/>
  <c r="B404" i="20"/>
  <c r="A404" i="20"/>
  <c r="AN405" i="20"/>
  <c r="AM405" i="20"/>
  <c r="B405" i="20"/>
  <c r="A405" i="20"/>
  <c r="AN407" i="20"/>
  <c r="AM407" i="20"/>
  <c r="B407" i="20"/>
  <c r="A407" i="20"/>
  <c r="AN406" i="20"/>
  <c r="AM406" i="20"/>
  <c r="B406" i="20"/>
  <c r="A406" i="20"/>
  <c r="AN408" i="20"/>
  <c r="AM408" i="20"/>
  <c r="B408" i="20"/>
  <c r="A408" i="20"/>
  <c r="AN409" i="20"/>
  <c r="AM409" i="20"/>
  <c r="B409" i="20"/>
  <c r="A409" i="20"/>
  <c r="AN415" i="20"/>
  <c r="AM415" i="20"/>
  <c r="B415" i="20"/>
  <c r="A415" i="20"/>
  <c r="AN414" i="20"/>
  <c r="AM414" i="20"/>
  <c r="B414" i="20"/>
  <c r="A414" i="20"/>
  <c r="AN413" i="20"/>
  <c r="AM413" i="20"/>
  <c r="B413" i="20"/>
  <c r="A413" i="20"/>
  <c r="AN412" i="20"/>
  <c r="AM412" i="20"/>
  <c r="B412" i="20"/>
  <c r="A412" i="20"/>
  <c r="AN411" i="20"/>
  <c r="AM411" i="20"/>
  <c r="B411" i="20"/>
  <c r="A411" i="20"/>
  <c r="AN410" i="20"/>
  <c r="AM410" i="20"/>
  <c r="B410" i="20"/>
  <c r="A410" i="20"/>
  <c r="AN425" i="20"/>
  <c r="AM425" i="20"/>
  <c r="B425" i="20"/>
  <c r="A425" i="20"/>
  <c r="AN424" i="20"/>
  <c r="AM424" i="20"/>
  <c r="B424" i="20"/>
  <c r="A424" i="20"/>
  <c r="AN423" i="20"/>
  <c r="AM423" i="20"/>
  <c r="B423" i="20"/>
  <c r="A423" i="20"/>
  <c r="AN422" i="20"/>
  <c r="AM422" i="20"/>
  <c r="B422" i="20"/>
  <c r="A422" i="20"/>
  <c r="AN421" i="20"/>
  <c r="AM421" i="20"/>
  <c r="B421" i="20"/>
  <c r="A421" i="20"/>
  <c r="AN420" i="20"/>
  <c r="AM420" i="20"/>
  <c r="B420" i="20"/>
  <c r="A420" i="20"/>
  <c r="AN419" i="20"/>
  <c r="AM419" i="20"/>
  <c r="B419" i="20"/>
  <c r="A419" i="20"/>
  <c r="AN418" i="20"/>
  <c r="AM418" i="20"/>
  <c r="B418" i="20"/>
  <c r="A418" i="20"/>
  <c r="AN417" i="20"/>
  <c r="AM417" i="20"/>
  <c r="B417" i="20"/>
  <c r="A417" i="20"/>
  <c r="AN416" i="20"/>
  <c r="AM416" i="20"/>
  <c r="B416" i="20"/>
  <c r="A416" i="20"/>
  <c r="AN429" i="20"/>
  <c r="AM429" i="20"/>
  <c r="B429" i="20"/>
  <c r="A429" i="20"/>
  <c r="AN428" i="20"/>
  <c r="AM428" i="20"/>
  <c r="B428" i="20"/>
  <c r="A428" i="20"/>
  <c r="AN427" i="20"/>
  <c r="AM427" i="20"/>
  <c r="B427" i="20"/>
  <c r="A427" i="20"/>
  <c r="AN426" i="20"/>
  <c r="AM426" i="20"/>
  <c r="B426" i="20"/>
  <c r="A426" i="20"/>
  <c r="AN436" i="20"/>
  <c r="AM436" i="20"/>
  <c r="B436" i="20"/>
  <c r="A436" i="20"/>
  <c r="AN435" i="20"/>
  <c r="AM435" i="20"/>
  <c r="B435" i="20"/>
  <c r="A435" i="20"/>
  <c r="AN434" i="20"/>
  <c r="AM434" i="20"/>
  <c r="B434" i="20"/>
  <c r="A434" i="20"/>
  <c r="AN433" i="20"/>
  <c r="AM433" i="20"/>
  <c r="B433" i="20"/>
  <c r="A433" i="20"/>
  <c r="AN432" i="20"/>
  <c r="AM432" i="20"/>
  <c r="B432" i="20"/>
  <c r="A432" i="20"/>
  <c r="AN431" i="20"/>
  <c r="AM431" i="20"/>
  <c r="B431" i="20"/>
  <c r="A431" i="20"/>
  <c r="AN430" i="20"/>
  <c r="AM430" i="20"/>
  <c r="B430" i="20"/>
  <c r="A430" i="20"/>
  <c r="AN442" i="20"/>
  <c r="AM442" i="20"/>
  <c r="B442" i="20"/>
  <c r="A442" i="20"/>
  <c r="AN441" i="20"/>
  <c r="AM441" i="20"/>
  <c r="B441" i="20"/>
  <c r="A441" i="20"/>
  <c r="AN440" i="20"/>
  <c r="AM440" i="20"/>
  <c r="B440" i="20"/>
  <c r="A440" i="20"/>
  <c r="AN439" i="20"/>
  <c r="AM439" i="20"/>
  <c r="B439" i="20"/>
  <c r="A439" i="20"/>
  <c r="AN438" i="20"/>
  <c r="AM438" i="20"/>
  <c r="B438" i="20"/>
  <c r="A438" i="20"/>
  <c r="AN437" i="20"/>
  <c r="AM437" i="20"/>
  <c r="B437" i="20"/>
  <c r="A437" i="20"/>
  <c r="AN447" i="20"/>
  <c r="AM447" i="20"/>
  <c r="B447" i="20"/>
  <c r="A447" i="20"/>
  <c r="AN446" i="20"/>
  <c r="AM446" i="20"/>
  <c r="B446" i="20"/>
  <c r="A446" i="20"/>
  <c r="AN445" i="20"/>
  <c r="AM445" i="20"/>
  <c r="B445" i="20"/>
  <c r="A445" i="20"/>
  <c r="AN444" i="20"/>
  <c r="AM444" i="20"/>
  <c r="B444" i="20"/>
  <c r="A444" i="20"/>
  <c r="AN443" i="20"/>
  <c r="AM443" i="20"/>
  <c r="B443" i="20"/>
  <c r="A443" i="20"/>
  <c r="AN452" i="20"/>
  <c r="AM452" i="20"/>
  <c r="B452" i="20"/>
  <c r="A452" i="20"/>
  <c r="AN451" i="20"/>
  <c r="AM451" i="20"/>
  <c r="B451" i="20"/>
  <c r="A451" i="20"/>
  <c r="AN450" i="20"/>
  <c r="AM450" i="20"/>
  <c r="B450" i="20"/>
  <c r="A450" i="20"/>
  <c r="AN449" i="20"/>
  <c r="AM449" i="20"/>
  <c r="B449" i="20"/>
  <c r="A449" i="20"/>
  <c r="AN448" i="20"/>
  <c r="AM448" i="20"/>
  <c r="B448" i="20"/>
  <c r="A448" i="20"/>
  <c r="AN455" i="20"/>
  <c r="AM455" i="20"/>
  <c r="B455" i="20"/>
  <c r="A455" i="20"/>
  <c r="AN454" i="20"/>
  <c r="AM454" i="20"/>
  <c r="B454" i="20"/>
  <c r="A454" i="20"/>
  <c r="AN453" i="20"/>
  <c r="AM453" i="20"/>
  <c r="B453" i="20"/>
  <c r="A453"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Y9" i="72"/>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0" i="74"/>
  <c r="H39" i="74"/>
  <c r="H38" i="74"/>
  <c r="H37" i="74"/>
  <c r="H36" i="74"/>
  <c r="H35" i="74"/>
  <c r="H34" i="74"/>
  <c r="H33" i="74"/>
  <c r="H32" i="74"/>
  <c r="H31" i="74"/>
  <c r="H30" i="74"/>
  <c r="H29" i="74"/>
  <c r="H16" i="74"/>
  <c r="H15" i="74"/>
  <c r="H14" i="74"/>
  <c r="H13" i="74"/>
  <c r="H12" i="74"/>
  <c r="H11" i="74"/>
  <c r="H10" i="74"/>
  <c r="H9" i="74"/>
  <c r="H8" i="74"/>
  <c r="H7" i="74"/>
  <c r="H6" i="74"/>
  <c r="H5" i="74"/>
  <c r="H208" i="74"/>
  <c r="H207" i="74"/>
  <c r="H206" i="74"/>
  <c r="H205" i="74"/>
  <c r="H204" i="74"/>
  <c r="H203" i="74"/>
  <c r="H202" i="74"/>
  <c r="H201" i="74"/>
  <c r="H200" i="74"/>
  <c r="H199" i="74"/>
  <c r="H198" i="74"/>
  <c r="H197" i="74"/>
  <c r="H52" i="74"/>
  <c r="H51" i="74"/>
  <c r="H50" i="74"/>
  <c r="H49" i="74"/>
  <c r="H48" i="74"/>
  <c r="H47" i="74"/>
  <c r="H46" i="74"/>
  <c r="H45" i="74"/>
  <c r="H44" i="74"/>
  <c r="H43" i="74"/>
  <c r="H64" i="74"/>
  <c r="H63" i="74"/>
  <c r="H62" i="74"/>
  <c r="H61" i="74"/>
  <c r="H60" i="74"/>
  <c r="H59" i="74"/>
  <c r="H58" i="74"/>
  <c r="H57" i="74"/>
  <c r="H56" i="74"/>
  <c r="H55" i="74"/>
  <c r="H54" i="74"/>
  <c r="H53" i="74"/>
  <c r="H76" i="74"/>
  <c r="H75" i="74"/>
  <c r="H74" i="74"/>
  <c r="H73" i="74"/>
  <c r="H72" i="74"/>
  <c r="H71" i="74"/>
  <c r="H70" i="74"/>
  <c r="H69" i="74"/>
  <c r="H68" i="74"/>
  <c r="H67" i="74"/>
  <c r="H66" i="74"/>
  <c r="H65" i="74"/>
  <c r="H88" i="74"/>
  <c r="H87" i="74"/>
  <c r="H86" i="74"/>
  <c r="H85" i="74"/>
  <c r="H84" i="74"/>
  <c r="H83" i="74"/>
  <c r="H82" i="74"/>
  <c r="H81" i="74"/>
  <c r="H80" i="74"/>
  <c r="H79" i="74"/>
  <c r="H78" i="74"/>
  <c r="H77" i="74"/>
  <c r="H100" i="74"/>
  <c r="H99" i="74"/>
  <c r="H98" i="74"/>
  <c r="H97" i="74"/>
  <c r="H96" i="74"/>
  <c r="H95" i="74"/>
  <c r="H94" i="74"/>
  <c r="H93" i="74"/>
  <c r="H92" i="74"/>
  <c r="H91" i="74"/>
  <c r="H90" i="74"/>
  <c r="H89" i="74"/>
  <c r="H112" i="74"/>
  <c r="H111" i="74"/>
  <c r="H110" i="74"/>
  <c r="H109" i="74"/>
  <c r="H108" i="74"/>
  <c r="H107" i="74"/>
  <c r="H106" i="74"/>
  <c r="H105" i="74"/>
  <c r="H104" i="74"/>
  <c r="H103" i="74"/>
  <c r="H102" i="74"/>
  <c r="H101" i="74"/>
  <c r="H124" i="74"/>
  <c r="H123" i="74"/>
  <c r="H122" i="74"/>
  <c r="H121" i="74"/>
  <c r="H120" i="74"/>
  <c r="H119" i="74"/>
  <c r="H118" i="74"/>
  <c r="H117" i="74"/>
  <c r="H116" i="74"/>
  <c r="H115" i="74"/>
  <c r="H114" i="74"/>
  <c r="H113" i="74"/>
  <c r="H136" i="74"/>
  <c r="H135" i="74"/>
  <c r="H134" i="74"/>
  <c r="H133" i="74"/>
  <c r="H132" i="74"/>
  <c r="H131" i="74"/>
  <c r="H130" i="74"/>
  <c r="H129" i="74"/>
  <c r="H128" i="74"/>
  <c r="H127" i="74"/>
  <c r="H126" i="74"/>
  <c r="H148" i="74"/>
  <c r="H147" i="74"/>
  <c r="H146" i="74"/>
  <c r="H145" i="74"/>
  <c r="H144" i="74"/>
  <c r="H143" i="74"/>
  <c r="H142" i="74"/>
  <c r="H141" i="74"/>
  <c r="H140" i="74"/>
  <c r="H139" i="74"/>
  <c r="H138" i="74"/>
  <c r="H137" i="74"/>
  <c r="H160" i="74"/>
  <c r="H159" i="74"/>
  <c r="H158" i="74"/>
  <c r="H157" i="74"/>
  <c r="H156" i="74"/>
  <c r="H155" i="74"/>
  <c r="H154" i="74"/>
  <c r="H153" i="74"/>
  <c r="H152" i="74"/>
  <c r="H151" i="74"/>
  <c r="H172" i="74"/>
  <c r="H171" i="74"/>
  <c r="H170" i="74"/>
  <c r="H169" i="74"/>
  <c r="H168" i="74"/>
  <c r="H167" i="74"/>
  <c r="H166" i="74"/>
  <c r="H165" i="74"/>
  <c r="H164" i="74"/>
  <c r="H163" i="74"/>
  <c r="H161" i="74"/>
  <c r="H184" i="74"/>
  <c r="H183" i="74"/>
  <c r="H182" i="74"/>
  <c r="H181" i="74"/>
  <c r="H180" i="74"/>
  <c r="H179" i="74"/>
  <c r="H178" i="74"/>
  <c r="H177" i="74"/>
  <c r="H176" i="74"/>
  <c r="H175" i="74"/>
  <c r="H174" i="74"/>
  <c r="H173" i="74"/>
  <c r="H196" i="74"/>
  <c r="H195" i="74"/>
  <c r="H194" i="74"/>
  <c r="H193" i="74"/>
  <c r="H192" i="74"/>
  <c r="H191" i="74"/>
  <c r="H190" i="74"/>
  <c r="H189" i="74"/>
  <c r="H188" i="74"/>
  <c r="H185" i="74"/>
  <c r="AI40" i="14"/>
  <c r="AA40" i="14"/>
  <c r="AI39" i="14"/>
  <c r="AA39" i="14"/>
  <c r="AI121" i="14"/>
  <c r="AI38" i="14"/>
  <c r="AA38" i="14"/>
  <c r="AI42" i="14"/>
  <c r="AA42" i="14"/>
  <c r="AI49" i="14"/>
  <c r="AA49" i="14"/>
  <c r="AI35" i="14"/>
  <c r="AA35" i="14"/>
  <c r="AI48" i="14"/>
  <c r="AA48" i="14"/>
  <c r="AI47" i="14"/>
  <c r="AA47" i="14"/>
  <c r="AI34" i="14"/>
  <c r="AA34" i="14"/>
  <c r="AI30" i="14"/>
  <c r="AA30" i="14"/>
  <c r="AI29" i="14"/>
  <c r="AA29" i="14"/>
  <c r="AI27" i="14"/>
  <c r="AA27" i="14"/>
  <c r="AI22" i="14"/>
  <c r="AA22" i="14"/>
  <c r="AI20" i="14"/>
  <c r="AA20" i="14"/>
  <c r="AI85" i="14"/>
  <c r="AA85" i="14"/>
  <c r="AI120" i="14"/>
  <c r="AA120" i="14"/>
  <c r="AI119" i="14"/>
  <c r="AA119" i="14"/>
  <c r="AI118" i="14"/>
  <c r="AA118" i="14"/>
  <c r="AI117" i="14"/>
  <c r="AA117" i="14"/>
  <c r="AI116" i="14"/>
  <c r="AA116" i="14"/>
  <c r="AI86" i="14"/>
  <c r="AA86" i="14"/>
  <c r="AI84" i="14"/>
  <c r="AA84" i="14"/>
  <c r="AI19" i="14"/>
  <c r="AA19" i="14"/>
  <c r="AI82" i="14"/>
  <c r="AA82" i="14"/>
  <c r="AI81" i="14"/>
  <c r="AA81" i="14"/>
  <c r="AI80" i="14"/>
  <c r="AA80" i="14"/>
  <c r="AI18" i="14"/>
  <c r="AA18" i="14"/>
  <c r="AI16" i="14"/>
  <c r="AA16" i="14"/>
  <c r="AI15" i="14"/>
  <c r="AI14" i="14"/>
  <c r="AA14" i="14"/>
  <c r="AI71" i="14"/>
  <c r="AA71" i="14"/>
  <c r="AI24" i="14"/>
  <c r="AA24" i="14"/>
  <c r="AI23" i="14"/>
  <c r="AA23" i="14"/>
  <c r="AI70" i="14"/>
  <c r="AA70" i="14"/>
  <c r="AI25" i="14"/>
  <c r="AA25" i="14"/>
  <c r="AI17" i="14"/>
  <c r="AA17" i="14"/>
  <c r="AI33" i="14"/>
  <c r="AA33" i="14"/>
  <c r="AI36" i="14"/>
  <c r="AI41" i="14"/>
  <c r="AI46" i="14"/>
  <c r="AA46" i="14"/>
  <c r="AI13" i="14"/>
  <c r="AA13" i="14"/>
  <c r="AI37" i="14"/>
  <c r="AA37" i="14"/>
  <c r="AI50" i="14"/>
  <c r="AA50" i="14"/>
  <c r="AI69" i="14"/>
  <c r="AA69" i="14"/>
  <c r="AI45" i="14"/>
  <c r="AA45" i="14"/>
  <c r="AI44" i="14"/>
  <c r="AA44" i="14"/>
  <c r="AI68" i="14"/>
  <c r="AA68" i="14"/>
  <c r="AI67" i="14"/>
  <c r="AA67" i="14"/>
  <c r="AI66" i="14"/>
  <c r="AA66" i="14"/>
  <c r="AI61" i="14"/>
  <c r="AA61" i="14"/>
  <c r="AI65" i="14"/>
  <c r="AA65" i="14"/>
  <c r="AI64" i="14"/>
  <c r="AA64" i="14"/>
  <c r="AI63" i="14"/>
  <c r="AA63" i="14"/>
  <c r="AI62" i="14"/>
  <c r="AA62"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2" i="14"/>
  <c r="AA12" i="14"/>
  <c r="AI11" i="14"/>
  <c r="AA11" i="14"/>
  <c r="AI10" i="14"/>
  <c r="AA10" i="14"/>
  <c r="AI9" i="14"/>
  <c r="AA9" i="14"/>
  <c r="AI51" i="14"/>
  <c r="AA51" i="14"/>
  <c r="AI8" i="14"/>
  <c r="AA8" i="14"/>
  <c r="AI7" i="14"/>
  <c r="AA7" i="14"/>
  <c r="AI6" i="14"/>
  <c r="AA6" i="14"/>
  <c r="AI5" i="14"/>
  <c r="AA5" i="14"/>
  <c r="AI60" i="14"/>
  <c r="AA60" i="14"/>
  <c r="AI83" i="14"/>
  <c r="AA83" i="14"/>
  <c r="AI59" i="14"/>
  <c r="AA59" i="14"/>
  <c r="AI58" i="14"/>
  <c r="AA58" i="14"/>
  <c r="AI21" i="14"/>
  <c r="AI57" i="14"/>
  <c r="AA57" i="14"/>
  <c r="AI43" i="14"/>
  <c r="AI56" i="14"/>
  <c r="AA56" i="14"/>
  <c r="AI55" i="14"/>
  <c r="AA55" i="14"/>
  <c r="AI52" i="14"/>
  <c r="AA52" i="14"/>
  <c r="AI54" i="14"/>
  <c r="AA54" i="14"/>
  <c r="AI53" i="14"/>
  <c r="AA53" i="14"/>
  <c r="AI32" i="14"/>
  <c r="AA32"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31" i="14"/>
  <c r="AA31" i="14"/>
  <c r="Z25" i="35"/>
  <c r="Y10" i="35"/>
  <c r="AA8" i="35"/>
  <c r="C3" i="70"/>
  <c r="C2" i="70" s="1"/>
  <c r="M16" i="43"/>
  <c r="M15" i="43"/>
  <c r="M18" i="43"/>
  <c r="I8" i="43"/>
  <c r="N13" i="37" l="1"/>
  <c r="N12" i="37"/>
  <c r="O13" i="37"/>
  <c r="O12" i="37"/>
  <c r="Z9" i="20"/>
  <c r="AD9" i="20"/>
  <c r="AH9" i="20"/>
  <c r="AL9" i="20"/>
  <c r="AC9" i="20"/>
  <c r="AK9" i="20"/>
  <c r="AA9" i="20"/>
  <c r="AE9" i="20"/>
  <c r="AI9" i="20"/>
  <c r="X9" i="20"/>
  <c r="AB9" i="20"/>
  <c r="AF9" i="20"/>
  <c r="AJ9" i="20"/>
  <c r="Y9" i="20"/>
  <c r="AG9" i="20"/>
  <c r="X12" i="20"/>
  <c r="AB12" i="20"/>
  <c r="AF12" i="20"/>
  <c r="AJ12" i="20"/>
  <c r="Y12" i="20"/>
  <c r="AC12" i="20"/>
  <c r="AG12" i="20"/>
  <c r="AK12" i="20"/>
  <c r="Z12" i="20"/>
  <c r="AD12" i="20"/>
  <c r="AH12" i="20"/>
  <c r="AL12" i="20"/>
  <c r="AA12" i="20"/>
  <c r="AE12" i="20"/>
  <c r="AI12" i="20"/>
  <c r="Z11" i="20"/>
  <c r="AD11" i="20"/>
  <c r="AH11" i="20"/>
  <c r="AL11" i="20"/>
  <c r="AA11" i="20"/>
  <c r="AE11" i="20"/>
  <c r="AI11" i="20"/>
  <c r="X11" i="20"/>
  <c r="AB11" i="20"/>
  <c r="AF11" i="20"/>
  <c r="AJ11" i="20"/>
  <c r="Y11" i="20"/>
  <c r="AC11" i="20"/>
  <c r="AG11" i="20"/>
  <c r="AK11" i="20"/>
  <c r="X6" i="20"/>
  <c r="Z6" i="20"/>
  <c r="AB6" i="20"/>
  <c r="AD6" i="20"/>
  <c r="AF6" i="20"/>
  <c r="AH6" i="20"/>
  <c r="AJ6" i="20"/>
  <c r="AL6" i="20"/>
  <c r="Y6" i="20"/>
  <c r="AA6" i="20"/>
  <c r="AC6" i="20"/>
  <c r="AE6" i="20"/>
  <c r="AG6" i="20"/>
  <c r="AI6" i="20"/>
  <c r="AK6" i="20"/>
  <c r="N17" i="37" s="1"/>
  <c r="Z8" i="20"/>
  <c r="AD8" i="20"/>
  <c r="AH8" i="20"/>
  <c r="AL8" i="20"/>
  <c r="X8" i="20"/>
  <c r="AB8" i="20"/>
  <c r="AJ8" i="20"/>
  <c r="AA8" i="20"/>
  <c r="AE8" i="20"/>
  <c r="AI8" i="20"/>
  <c r="AF8" i="20"/>
  <c r="Y8" i="20"/>
  <c r="AC8" i="20"/>
  <c r="AG8" i="20"/>
  <c r="AK8" i="20"/>
  <c r="AA7" i="20"/>
  <c r="AE7" i="20"/>
  <c r="AI7" i="20"/>
  <c r="AH20" i="20"/>
  <c r="AH24" i="20"/>
  <c r="AH28" i="20"/>
  <c r="AH32" i="20"/>
  <c r="AH36" i="20"/>
  <c r="AH40" i="20"/>
  <c r="AH44" i="20"/>
  <c r="AH48" i="20"/>
  <c r="AH52" i="20"/>
  <c r="AH56" i="20"/>
  <c r="AH60" i="20"/>
  <c r="AH64" i="20"/>
  <c r="AH14" i="20"/>
  <c r="X7" i="20"/>
  <c r="AB7" i="20"/>
  <c r="AF7" i="20"/>
  <c r="AJ7" i="20"/>
  <c r="AH21" i="20"/>
  <c r="AH25" i="20"/>
  <c r="AH29" i="20"/>
  <c r="AH33" i="20"/>
  <c r="AH37" i="20"/>
  <c r="AH41" i="20"/>
  <c r="AH45" i="20"/>
  <c r="AH49" i="20"/>
  <c r="AH53" i="20"/>
  <c r="AH57" i="20"/>
  <c r="AH61" i="20"/>
  <c r="AH65" i="20"/>
  <c r="AH15" i="20"/>
  <c r="Y7" i="20"/>
  <c r="AC7" i="20"/>
  <c r="AG7" i="20"/>
  <c r="AK7" i="20"/>
  <c r="AH18" i="20"/>
  <c r="AH22" i="20"/>
  <c r="AH26" i="20"/>
  <c r="AH30" i="20"/>
  <c r="AH34" i="20"/>
  <c r="AH38" i="20"/>
  <c r="AH42" i="20"/>
  <c r="AH46" i="20"/>
  <c r="AH50" i="20"/>
  <c r="AH54" i="20"/>
  <c r="AH58" i="20"/>
  <c r="AH62" i="20"/>
  <c r="AH66" i="20"/>
  <c r="AH16" i="20"/>
  <c r="Z7" i="20"/>
  <c r="AD7" i="20"/>
  <c r="AH7" i="20"/>
  <c r="AL7" i="20"/>
  <c r="AH19" i="20"/>
  <c r="AH23" i="20"/>
  <c r="AH27" i="20"/>
  <c r="AH31" i="20"/>
  <c r="AH35" i="20"/>
  <c r="AH39" i="20"/>
  <c r="AH43" i="20"/>
  <c r="AH47" i="20"/>
  <c r="AH51" i="20"/>
  <c r="AH55" i="20"/>
  <c r="AH59" i="20"/>
  <c r="AH63" i="20"/>
  <c r="AH13" i="20"/>
  <c r="AH17" i="20"/>
  <c r="AH10" i="20"/>
  <c r="AA13" i="20"/>
  <c r="AE13" i="20"/>
  <c r="AI13" i="20"/>
  <c r="X13" i="20"/>
  <c r="AB13" i="20"/>
  <c r="AF13" i="20"/>
  <c r="AJ13" i="20"/>
  <c r="Y13" i="20"/>
  <c r="AC13" i="20"/>
  <c r="AG13" i="20"/>
  <c r="AK13" i="20"/>
  <c r="N9" i="37" s="1"/>
  <c r="Z13" i="20"/>
  <c r="AD13" i="20"/>
  <c r="AL13" i="20"/>
  <c r="Z10" i="20"/>
  <c r="AD10" i="20"/>
  <c r="AL10" i="20"/>
  <c r="X10" i="20"/>
  <c r="AJ10" i="20"/>
  <c r="AA10" i="20"/>
  <c r="AE10" i="20"/>
  <c r="AI10" i="20"/>
  <c r="AB10" i="20"/>
  <c r="AF10" i="20"/>
  <c r="Y10" i="20"/>
  <c r="AC10" i="20"/>
  <c r="AG10" i="20"/>
  <c r="AK10" i="20"/>
  <c r="Z17" i="20"/>
  <c r="AD17" i="20"/>
  <c r="AL17" i="20"/>
  <c r="AA17" i="20"/>
  <c r="AE17" i="20"/>
  <c r="AI17" i="20"/>
  <c r="X17" i="20"/>
  <c r="AB17" i="20"/>
  <c r="AF17" i="20"/>
  <c r="AJ17" i="20"/>
  <c r="Y17" i="20"/>
  <c r="AC17" i="20"/>
  <c r="AG17" i="20"/>
  <c r="AK17" i="20"/>
  <c r="AL453" i="20"/>
  <c r="AL454" i="20"/>
  <c r="AL455" i="20"/>
  <c r="AL448" i="20"/>
  <c r="AL449" i="20"/>
  <c r="AL450" i="20"/>
  <c r="AL451" i="20"/>
  <c r="AL452" i="20"/>
  <c r="AL443" i="20"/>
  <c r="AL444" i="20"/>
  <c r="AL445" i="20"/>
  <c r="AL447" i="20"/>
  <c r="AL437" i="20"/>
  <c r="AL438" i="20"/>
  <c r="AL439" i="20"/>
  <c r="AL440" i="20"/>
  <c r="AL441" i="20"/>
  <c r="AL442" i="20"/>
  <c r="AL430" i="20"/>
  <c r="AL431" i="20"/>
  <c r="AL432" i="20"/>
  <c r="AL433" i="20"/>
  <c r="AL434" i="20"/>
  <c r="AL435" i="20"/>
  <c r="AL436" i="20"/>
  <c r="AL426" i="20"/>
  <c r="AL427" i="20"/>
  <c r="AL428" i="20"/>
  <c r="AL429" i="20"/>
  <c r="AL416" i="20"/>
  <c r="AL417" i="20"/>
  <c r="AL418" i="20"/>
  <c r="AL419" i="20"/>
  <c r="AL420" i="20"/>
  <c r="AL421" i="20"/>
  <c r="AL422" i="20"/>
  <c r="AL423" i="20"/>
  <c r="AL424" i="20"/>
  <c r="AL425" i="20"/>
  <c r="AL410" i="20"/>
  <c r="AL411" i="20"/>
  <c r="AL412" i="20"/>
  <c r="AL413" i="20"/>
  <c r="AL414" i="20"/>
  <c r="AL415" i="20"/>
  <c r="AL409" i="20"/>
  <c r="AL408" i="20"/>
  <c r="AL406" i="20"/>
  <c r="AL407" i="20"/>
  <c r="AL405" i="20"/>
  <c r="AL404" i="20"/>
  <c r="AL402" i="20"/>
  <c r="AL403" i="20"/>
  <c r="AL401" i="20"/>
  <c r="AL400" i="20"/>
  <c r="AL399" i="20"/>
  <c r="AL397" i="20"/>
  <c r="AL398" i="20"/>
  <c r="AL395" i="20"/>
  <c r="AL396" i="20"/>
  <c r="AL394" i="20"/>
  <c r="AL393" i="20"/>
  <c r="AL389" i="20"/>
  <c r="AL390" i="20"/>
  <c r="AL391" i="20"/>
  <c r="AL392" i="20"/>
  <c r="AL388" i="20"/>
  <c r="AL387" i="20"/>
  <c r="AL386" i="20"/>
  <c r="AL385" i="20"/>
  <c r="AL383" i="20"/>
  <c r="AL384" i="20"/>
  <c r="AL380" i="20"/>
  <c r="AL381" i="20"/>
  <c r="AL382" i="20"/>
  <c r="AL379" i="20"/>
  <c r="AL378" i="20"/>
  <c r="AL377" i="20"/>
  <c r="AL371" i="20"/>
  <c r="AL372" i="20"/>
  <c r="AL373" i="20"/>
  <c r="Z16" i="20"/>
  <c r="AD16" i="20"/>
  <c r="AL16" i="20"/>
  <c r="AL456" i="20"/>
  <c r="AA16" i="20"/>
  <c r="AE16" i="20"/>
  <c r="AI16" i="20"/>
  <c r="X16" i="20"/>
  <c r="AB16" i="20"/>
  <c r="AF16" i="20"/>
  <c r="AJ16" i="20"/>
  <c r="Y16" i="20"/>
  <c r="AC16" i="20"/>
  <c r="AG16" i="20"/>
  <c r="AK16" i="20"/>
  <c r="AL19" i="20"/>
  <c r="AL22" i="20"/>
  <c r="AL14" i="20"/>
  <c r="AL18" i="20"/>
  <c r="Z18" i="20"/>
  <c r="AL20" i="20"/>
  <c r="AL15" i="20"/>
  <c r="AL21" i="20"/>
  <c r="AL26" i="20"/>
  <c r="AL25" i="20"/>
  <c r="AL23" i="20"/>
  <c r="AL27" i="20"/>
  <c r="AL28" i="20"/>
  <c r="AL29" i="20"/>
  <c r="AL24" i="20"/>
  <c r="AL30" i="20"/>
  <c r="AL32" i="20"/>
  <c r="AL33" i="20"/>
  <c r="AL31" i="20"/>
  <c r="AL42" i="20"/>
  <c r="AL39" i="20"/>
  <c r="AL41" i="20"/>
  <c r="AL36" i="20"/>
  <c r="AL38" i="20"/>
  <c r="AL34" i="20"/>
  <c r="AL40" i="20"/>
  <c r="AL35" i="20"/>
  <c r="AL43" i="20"/>
  <c r="AL37" i="20"/>
  <c r="AL44" i="20"/>
  <c r="AL49" i="20"/>
  <c r="AL53" i="20"/>
  <c r="AL604" i="20"/>
  <c r="AL576" i="20"/>
  <c r="AL548" i="20"/>
  <c r="AL588" i="20"/>
  <c r="AL556" i="20"/>
  <c r="AL508" i="20"/>
  <c r="AL476" i="20"/>
  <c r="AL603" i="20"/>
  <c r="AL587" i="20"/>
  <c r="AL571" i="20"/>
  <c r="AL555" i="20"/>
  <c r="AL539" i="20"/>
  <c r="AL523" i="20"/>
  <c r="AL507" i="20"/>
  <c r="AL491" i="20"/>
  <c r="AL475" i="20"/>
  <c r="AL459" i="20"/>
  <c r="AL594" i="20"/>
  <c r="AL578" i="20"/>
  <c r="AL562" i="20"/>
  <c r="AL546" i="20"/>
  <c r="AL530" i="20"/>
  <c r="AL514" i="20"/>
  <c r="AL498" i="20"/>
  <c r="AL482" i="20"/>
  <c r="AL528" i="20"/>
  <c r="AL496" i="20"/>
  <c r="AL597" i="20"/>
  <c r="AL565" i="20"/>
  <c r="AL533" i="20"/>
  <c r="AL485" i="20"/>
  <c r="AL488" i="20"/>
  <c r="AL561" i="20"/>
  <c r="AL529" i="20"/>
  <c r="AL497" i="20"/>
  <c r="AL465" i="20"/>
  <c r="AL592" i="20"/>
  <c r="AL540" i="20"/>
  <c r="AL524" i="20"/>
  <c r="AL460" i="20"/>
  <c r="AL579" i="20"/>
  <c r="AL584" i="20"/>
  <c r="AL552" i="20"/>
  <c r="AL596" i="20"/>
  <c r="AL564" i="20"/>
  <c r="AL516" i="20"/>
  <c r="AL484" i="20"/>
  <c r="AL48" i="20"/>
  <c r="AL591" i="20"/>
  <c r="AL575" i="20"/>
  <c r="AL559" i="20"/>
  <c r="AL543" i="20"/>
  <c r="AL527" i="20"/>
  <c r="AL511" i="20"/>
  <c r="AL495" i="20"/>
  <c r="AL479" i="20"/>
  <c r="AL463" i="20"/>
  <c r="AL598" i="20"/>
  <c r="AL582" i="20"/>
  <c r="AL566" i="20"/>
  <c r="AL550" i="20"/>
  <c r="AL534" i="20"/>
  <c r="AL518" i="20"/>
  <c r="AL502" i="20"/>
  <c r="AL486" i="20"/>
  <c r="AL470" i="20"/>
  <c r="AL532" i="20"/>
  <c r="AL504" i="20"/>
  <c r="AL472" i="20"/>
  <c r="AL601" i="20"/>
  <c r="AL585" i="20"/>
  <c r="AL569" i="20"/>
  <c r="AL553" i="20"/>
  <c r="AL537" i="20"/>
  <c r="AL521" i="20"/>
  <c r="AL505" i="20"/>
  <c r="AL489" i="20"/>
  <c r="AL473" i="20"/>
  <c r="AL457" i="20"/>
  <c r="AL466" i="20"/>
  <c r="AL464" i="20"/>
  <c r="AL581" i="20"/>
  <c r="AL549" i="20"/>
  <c r="AL517" i="20"/>
  <c r="AL501" i="20"/>
  <c r="AL469" i="20"/>
  <c r="AL600" i="20"/>
  <c r="AL568" i="20"/>
  <c r="AL536" i="20"/>
  <c r="AL580" i="20"/>
  <c r="AL544" i="20"/>
  <c r="AL500" i="20"/>
  <c r="AL468" i="20"/>
  <c r="AL599" i="20"/>
  <c r="AL583" i="20"/>
  <c r="AL567" i="20"/>
  <c r="AL551" i="20"/>
  <c r="AL535" i="20"/>
  <c r="AL519" i="20"/>
  <c r="AL503" i="20"/>
  <c r="AL487" i="20"/>
  <c r="AL471" i="20"/>
  <c r="AL45" i="20"/>
  <c r="AL590" i="20"/>
  <c r="AL574" i="20"/>
  <c r="AL558" i="20"/>
  <c r="AL542" i="20"/>
  <c r="AL526" i="20"/>
  <c r="AL510" i="20"/>
  <c r="AL494" i="20"/>
  <c r="AL478" i="20"/>
  <c r="AL462" i="20"/>
  <c r="AL520" i="20"/>
  <c r="AL46" i="20"/>
  <c r="AL593" i="20"/>
  <c r="AL577" i="20"/>
  <c r="AL545" i="20"/>
  <c r="AL513" i="20"/>
  <c r="AL481" i="20"/>
  <c r="AL560" i="20"/>
  <c r="AL572" i="20"/>
  <c r="AL492" i="20"/>
  <c r="AL595" i="20"/>
  <c r="AL563" i="20"/>
  <c r="AL499" i="20"/>
  <c r="AL586" i="20"/>
  <c r="AL522" i="20"/>
  <c r="AL458" i="20"/>
  <c r="AL589" i="20"/>
  <c r="AL525" i="20"/>
  <c r="AL461" i="20"/>
  <c r="AL547" i="20"/>
  <c r="AL483" i="20"/>
  <c r="AL570" i="20"/>
  <c r="AL506" i="20"/>
  <c r="AL512" i="20"/>
  <c r="AL573" i="20"/>
  <c r="AL509" i="20"/>
  <c r="AL541" i="20"/>
  <c r="AL531" i="20"/>
  <c r="AL467" i="20"/>
  <c r="AL554" i="20"/>
  <c r="AL490" i="20"/>
  <c r="AL480" i="20"/>
  <c r="AL557" i="20"/>
  <c r="AL493" i="20"/>
  <c r="AL515" i="20"/>
  <c r="AL602" i="20"/>
  <c r="AL538" i="20"/>
  <c r="AL474" i="20"/>
  <c r="AL47" i="20"/>
  <c r="AL477" i="20"/>
  <c r="AL55" i="20"/>
  <c r="AL54" i="20"/>
  <c r="AL52" i="20"/>
  <c r="AL50" i="20"/>
  <c r="AL51" i="20"/>
  <c r="AL56" i="20"/>
  <c r="AL58" i="20"/>
  <c r="AL57" i="20"/>
  <c r="AL60" i="20"/>
  <c r="AL61" i="20"/>
  <c r="AL59" i="20"/>
  <c r="AL64" i="20"/>
  <c r="AL65" i="20"/>
  <c r="AL63" i="20"/>
  <c r="AL66" i="20"/>
  <c r="AL62" i="20"/>
  <c r="AL72" i="20"/>
  <c r="AL76" i="20"/>
  <c r="AL82" i="20"/>
  <c r="AL71" i="20"/>
  <c r="AL83" i="20"/>
  <c r="AL67" i="20"/>
  <c r="AL69" i="20"/>
  <c r="AL70" i="20"/>
  <c r="AL121" i="20"/>
  <c r="AL95" i="20"/>
  <c r="AL68" i="20"/>
  <c r="AL74" i="20"/>
  <c r="AL75" i="20"/>
  <c r="AL73" i="20"/>
  <c r="AL112" i="20"/>
  <c r="AL123" i="20"/>
  <c r="AL122" i="20"/>
  <c r="AL446" i="20"/>
  <c r="AL374" i="20"/>
  <c r="AL375" i="20"/>
  <c r="AL376" i="20"/>
  <c r="AL365" i="20"/>
  <c r="AL366" i="20"/>
  <c r="AL367" i="20"/>
  <c r="AL368" i="20"/>
  <c r="AL369" i="20"/>
  <c r="AL370" i="20"/>
  <c r="AL358" i="20"/>
  <c r="AL359" i="20"/>
  <c r="AL360" i="20"/>
  <c r="AL361" i="20"/>
  <c r="AL362" i="20"/>
  <c r="AL363" i="20"/>
  <c r="AL364" i="20"/>
  <c r="AL357" i="20"/>
  <c r="AL356" i="20"/>
  <c r="AL354" i="20"/>
  <c r="AL355" i="20"/>
  <c r="AL350" i="20"/>
  <c r="AL351" i="20"/>
  <c r="AL352" i="20"/>
  <c r="AL353" i="20"/>
  <c r="AL331" i="20"/>
  <c r="AL332" i="20"/>
  <c r="AL333" i="20"/>
  <c r="AL334" i="20"/>
  <c r="AL335" i="20"/>
  <c r="AL336" i="20"/>
  <c r="AL337" i="20"/>
  <c r="AL338" i="20"/>
  <c r="AL339" i="20"/>
  <c r="AL340" i="20"/>
  <c r="AL341" i="20"/>
  <c r="AL342" i="20"/>
  <c r="AL343" i="20"/>
  <c r="AL344" i="20"/>
  <c r="AL345" i="20"/>
  <c r="AL346" i="20"/>
  <c r="AL347" i="20"/>
  <c r="AL348" i="20"/>
  <c r="AL349" i="20"/>
  <c r="AL330" i="20"/>
  <c r="AL324" i="20"/>
  <c r="AL325" i="20"/>
  <c r="AL326" i="20"/>
  <c r="AL327" i="20"/>
  <c r="AL328" i="20"/>
  <c r="AL329" i="20"/>
  <c r="AL322" i="20"/>
  <c r="AL323" i="20"/>
  <c r="AL320" i="20"/>
  <c r="AL321" i="20"/>
  <c r="AL318" i="20"/>
  <c r="AL319" i="20"/>
  <c r="AL316" i="20"/>
  <c r="AL317" i="20"/>
  <c r="AL313" i="20"/>
  <c r="AL314" i="20"/>
  <c r="AL315" i="20"/>
  <c r="AL304" i="20"/>
  <c r="AL305" i="20"/>
  <c r="AL306" i="20"/>
  <c r="AL307" i="20"/>
  <c r="AL308" i="20"/>
  <c r="AL309" i="20"/>
  <c r="AL310" i="20"/>
  <c r="AL311" i="20"/>
  <c r="AL312" i="20"/>
  <c r="AL300" i="20"/>
  <c r="AL301" i="20"/>
  <c r="AL302" i="20"/>
  <c r="AL303" i="20"/>
  <c r="AL299" i="20"/>
  <c r="AL296" i="20"/>
  <c r="AL297" i="20"/>
  <c r="AL298" i="20"/>
  <c r="AL295" i="20"/>
  <c r="AL292" i="20"/>
  <c r="AL293" i="20"/>
  <c r="AL294" i="20"/>
  <c r="AL291" i="20"/>
  <c r="AL290" i="20"/>
  <c r="AL289" i="20"/>
  <c r="AL287" i="20"/>
  <c r="AL288" i="20"/>
  <c r="AL281" i="20"/>
  <c r="AL282" i="20"/>
  <c r="AL283" i="20"/>
  <c r="AL284" i="20"/>
  <c r="AL285" i="20"/>
  <c r="AL286" i="20"/>
  <c r="AL279" i="20"/>
  <c r="AL280" i="20"/>
  <c r="AL269" i="20"/>
  <c r="AL270" i="20"/>
  <c r="AL271" i="20"/>
  <c r="AL272" i="20"/>
  <c r="AL273" i="20"/>
  <c r="AL274" i="20"/>
  <c r="AL275" i="20"/>
  <c r="AL276" i="20"/>
  <c r="AL277" i="20"/>
  <c r="AL278" i="20"/>
  <c r="AL268" i="20"/>
  <c r="AL264" i="20"/>
  <c r="AL265" i="20"/>
  <c r="AL266" i="20"/>
  <c r="AL267" i="20"/>
  <c r="AL258" i="20"/>
  <c r="AL259" i="20"/>
  <c r="AL260" i="20"/>
  <c r="AL261" i="20"/>
  <c r="AL262" i="20"/>
  <c r="AL263" i="20"/>
  <c r="AL256" i="20"/>
  <c r="AL257" i="20"/>
  <c r="AL255" i="20"/>
  <c r="AL254" i="20"/>
  <c r="AL249" i="20"/>
  <c r="AL250" i="20"/>
  <c r="AL251" i="20"/>
  <c r="AL252" i="20"/>
  <c r="AL253" i="20"/>
  <c r="AL248" i="20"/>
  <c r="AL247" i="20"/>
  <c r="AL246" i="20"/>
  <c r="AL245" i="20"/>
  <c r="AL243" i="20"/>
  <c r="AL244" i="20"/>
  <c r="AL242" i="20"/>
  <c r="AL241" i="20"/>
  <c r="AL240" i="20"/>
  <c r="AL239" i="20"/>
  <c r="AL237" i="20"/>
  <c r="AL238" i="20"/>
  <c r="AL236" i="20"/>
  <c r="AL235" i="20"/>
  <c r="AL234" i="20"/>
  <c r="AL232" i="20"/>
  <c r="AL233" i="20"/>
  <c r="AL230" i="20"/>
  <c r="AL231" i="20"/>
  <c r="AL224" i="20"/>
  <c r="AL225" i="20"/>
  <c r="AL226" i="20"/>
  <c r="AL227" i="20"/>
  <c r="AL228" i="20"/>
  <c r="AL229" i="20"/>
  <c r="AL221" i="20"/>
  <c r="AL222" i="20"/>
  <c r="AL223" i="20"/>
  <c r="AL210" i="20"/>
  <c r="AL211" i="20"/>
  <c r="AL212" i="20"/>
  <c r="AL213" i="20"/>
  <c r="AL214" i="20"/>
  <c r="AL215" i="20"/>
  <c r="AL216" i="20"/>
  <c r="AL217" i="20"/>
  <c r="AL218" i="20"/>
  <c r="AL219" i="20"/>
  <c r="AL220" i="20"/>
  <c r="AL207" i="20"/>
  <c r="AL208" i="20"/>
  <c r="AL209" i="20"/>
  <c r="AL202" i="20"/>
  <c r="AL203" i="20"/>
  <c r="AL107" i="20"/>
  <c r="AL131" i="20"/>
  <c r="AL132" i="20"/>
  <c r="AL120" i="20"/>
  <c r="AL127" i="20"/>
  <c r="AL128" i="20"/>
  <c r="AL94" i="20"/>
  <c r="AL115" i="20"/>
  <c r="AL111" i="20"/>
  <c r="AL108" i="20"/>
  <c r="AL104" i="20"/>
  <c r="AL109" i="20"/>
  <c r="AL110" i="20"/>
  <c r="AL105" i="20"/>
  <c r="AL103" i="20"/>
  <c r="AL106" i="20"/>
  <c r="AL100" i="20"/>
  <c r="AL101" i="20"/>
  <c r="AL102" i="20"/>
  <c r="AL96" i="20"/>
  <c r="AL97" i="20"/>
  <c r="AL98" i="20"/>
  <c r="AL99" i="20"/>
  <c r="AL85" i="20"/>
  <c r="AL89" i="20"/>
  <c r="AL90" i="20"/>
  <c r="AL91" i="20"/>
  <c r="AL87" i="20"/>
  <c r="AL88" i="20"/>
  <c r="AL92" i="20"/>
  <c r="AL86" i="20"/>
  <c r="AL84" i="20"/>
  <c r="AL81" i="20"/>
  <c r="AL80" i="20"/>
  <c r="AL77" i="20"/>
  <c r="AL78" i="20"/>
  <c r="AL79" i="20"/>
  <c r="AL204" i="20"/>
  <c r="AL205" i="20"/>
  <c r="AL206" i="20"/>
  <c r="AL200" i="20"/>
  <c r="AL201" i="20"/>
  <c r="AL198" i="20"/>
  <c r="AL199" i="20"/>
  <c r="AL197" i="20"/>
  <c r="AL196" i="20"/>
  <c r="AL195" i="20"/>
  <c r="AL194" i="20"/>
  <c r="AL193" i="20"/>
  <c r="AL192" i="20"/>
  <c r="AL191" i="20"/>
  <c r="AL190" i="20"/>
  <c r="AL188" i="20"/>
  <c r="AL189" i="20"/>
  <c r="AL186" i="20"/>
  <c r="AL187" i="20"/>
  <c r="AL182" i="20"/>
  <c r="AL183" i="20"/>
  <c r="AL184" i="20"/>
  <c r="AL185" i="20"/>
  <c r="AL177" i="20"/>
  <c r="AL178" i="20"/>
  <c r="AL179" i="20"/>
  <c r="AL180" i="20"/>
  <c r="AL181" i="20"/>
  <c r="AL176" i="20"/>
  <c r="AL175" i="20"/>
  <c r="AL173" i="20"/>
  <c r="AL174" i="20"/>
  <c r="AL172" i="20"/>
  <c r="AL170" i="20"/>
  <c r="AL171" i="20"/>
  <c r="AL167" i="20"/>
  <c r="AL168" i="20"/>
  <c r="AL169" i="20"/>
  <c r="AL165" i="20"/>
  <c r="AL166" i="20"/>
  <c r="AL164" i="20"/>
  <c r="AL162" i="20"/>
  <c r="AL163" i="20"/>
  <c r="AL160" i="20"/>
  <c r="AL161" i="20"/>
  <c r="AL159" i="20"/>
  <c r="AL155" i="20"/>
  <c r="AL156" i="20"/>
  <c r="AL157" i="20"/>
  <c r="AL158" i="20"/>
  <c r="AL154" i="20"/>
  <c r="AL153" i="20"/>
  <c r="AL152" i="20"/>
  <c r="AL149" i="20"/>
  <c r="AL150" i="20"/>
  <c r="AL151" i="20"/>
  <c r="AL136" i="20"/>
  <c r="AL137" i="20"/>
  <c r="AL135" i="20"/>
  <c r="AL134" i="20"/>
  <c r="AL130" i="20"/>
  <c r="AL129" i="20"/>
  <c r="AL126" i="20"/>
  <c r="AL93" i="20"/>
  <c r="AL133" i="20"/>
  <c r="AL138" i="20"/>
  <c r="AL139" i="20"/>
  <c r="AL140" i="20"/>
  <c r="AL141" i="20"/>
  <c r="AL142" i="20"/>
  <c r="AL143" i="20"/>
  <c r="AL144" i="20"/>
  <c r="AL145" i="20"/>
  <c r="AL146" i="20"/>
  <c r="AL147" i="20"/>
  <c r="AL148" i="20"/>
  <c r="AL118" i="20"/>
  <c r="AL124" i="20"/>
  <c r="AL116" i="20"/>
  <c r="AL113" i="20"/>
  <c r="AL125" i="20"/>
  <c r="AL117" i="20"/>
  <c r="AL114" i="20"/>
  <c r="AL119" i="20"/>
  <c r="M13" i="37"/>
  <c r="M12" i="37"/>
  <c r="Z15" i="20"/>
  <c r="AA14" i="20"/>
  <c r="AD15" i="20"/>
  <c r="AE14" i="20"/>
  <c r="AI14" i="20"/>
  <c r="AA15" i="20"/>
  <c r="AF14" i="20"/>
  <c r="AI15" i="20"/>
  <c r="AC14" i="20"/>
  <c r="AF15" i="20"/>
  <c r="AK14" i="20"/>
  <c r="N14" i="37" s="1"/>
  <c r="AJ15" i="20"/>
  <c r="Y15" i="20"/>
  <c r="Z14" i="20"/>
  <c r="AC15" i="20"/>
  <c r="AD14" i="20"/>
  <c r="AG15" i="20"/>
  <c r="AK15" i="20"/>
  <c r="X14" i="20"/>
  <c r="AB14" i="20"/>
  <c r="AE15" i="20"/>
  <c r="AJ14" i="20"/>
  <c r="X15" i="20"/>
  <c r="Y14" i="20"/>
  <c r="AB15" i="20"/>
  <c r="AG14" i="20"/>
  <c r="X20" i="20"/>
  <c r="AA19" i="20"/>
  <c r="AB20" i="20"/>
  <c r="AD18" i="20"/>
  <c r="AE19" i="20"/>
  <c r="AF20" i="20"/>
  <c r="AI19" i="20"/>
  <c r="AJ20" i="20"/>
  <c r="AB18" i="20"/>
  <c r="AF18" i="20"/>
  <c r="AK19" i="20"/>
  <c r="X19" i="20"/>
  <c r="Y20" i="20"/>
  <c r="AA18" i="20"/>
  <c r="AB19" i="20"/>
  <c r="AC20" i="20"/>
  <c r="AE18" i="20"/>
  <c r="AG20" i="20"/>
  <c r="AI18" i="20"/>
  <c r="AK20" i="20"/>
  <c r="Y18" i="20"/>
  <c r="Z19" i="20"/>
  <c r="AA20" i="20"/>
  <c r="AC18" i="20"/>
  <c r="AD19" i="20"/>
  <c r="AE20" i="20"/>
  <c r="AG18" i="20"/>
  <c r="AI20" i="20"/>
  <c r="AK18" i="20"/>
  <c r="X18" i="20"/>
  <c r="Y19" i="20"/>
  <c r="Z20" i="20"/>
  <c r="AC19" i="20"/>
  <c r="AD20" i="20"/>
  <c r="AG19" i="20"/>
  <c r="AJ18" i="20"/>
  <c r="AF19" i="20"/>
  <c r="AJ19" i="20"/>
  <c r="Z22" i="20"/>
  <c r="AD22" i="20"/>
  <c r="AA22" i="20"/>
  <c r="AE22" i="20"/>
  <c r="AI22" i="20"/>
  <c r="X22" i="20"/>
  <c r="AB22" i="20"/>
  <c r="AF22" i="20"/>
  <c r="AJ22" i="20"/>
  <c r="Y22" i="20"/>
  <c r="AC22" i="20"/>
  <c r="AG22" i="20"/>
  <c r="AK22" i="20"/>
  <c r="X21" i="20"/>
  <c r="AB21" i="20"/>
  <c r="AF21" i="20"/>
  <c r="AJ21" i="20"/>
  <c r="Y21" i="20"/>
  <c r="AC21" i="20"/>
  <c r="AG21" i="20"/>
  <c r="AK21" i="20"/>
  <c r="Z21" i="20"/>
  <c r="AD21" i="20"/>
  <c r="AA21" i="20"/>
  <c r="AE21" i="20"/>
  <c r="AI21" i="20"/>
  <c r="N8" i="36"/>
  <c r="Q8" i="36" s="1"/>
  <c r="Z23" i="20"/>
  <c r="AD23" i="20"/>
  <c r="AA23" i="20"/>
  <c r="AE23" i="20"/>
  <c r="AI23" i="20"/>
  <c r="X23" i="20"/>
  <c r="AB23" i="20"/>
  <c r="AF23" i="20"/>
  <c r="AJ23" i="20"/>
  <c r="Y23" i="20"/>
  <c r="AC23" i="20"/>
  <c r="AG23" i="20"/>
  <c r="AK23" i="20"/>
  <c r="Z25" i="20"/>
  <c r="AD25" i="20"/>
  <c r="AA25" i="20"/>
  <c r="AE25" i="20"/>
  <c r="AI25" i="20"/>
  <c r="X25" i="20"/>
  <c r="AB25" i="20"/>
  <c r="AF25" i="20"/>
  <c r="AJ25" i="20"/>
  <c r="Y25" i="20"/>
  <c r="AC25" i="20"/>
  <c r="AG25" i="20"/>
  <c r="AK25" i="20"/>
  <c r="Y26" i="20"/>
  <c r="AC26" i="20"/>
  <c r="AG26" i="20"/>
  <c r="AK26" i="20"/>
  <c r="Z26" i="20"/>
  <c r="AD26" i="20"/>
  <c r="AA26" i="20"/>
  <c r="AE26" i="20"/>
  <c r="AI26" i="20"/>
  <c r="X26" i="20"/>
  <c r="AB26" i="20"/>
  <c r="AF26" i="20"/>
  <c r="AJ26" i="20"/>
  <c r="X27" i="20"/>
  <c r="Z27" i="20"/>
  <c r="AB27" i="20"/>
  <c r="AD27" i="20"/>
  <c r="AF27" i="20"/>
  <c r="AJ27" i="20"/>
  <c r="Y27" i="20"/>
  <c r="AC27" i="20"/>
  <c r="AE27" i="20"/>
  <c r="AG27" i="20"/>
  <c r="AK27" i="20"/>
  <c r="X28" i="20"/>
  <c r="Z28" i="20"/>
  <c r="AB28" i="20"/>
  <c r="AD28" i="20"/>
  <c r="AF28" i="20"/>
  <c r="AJ28" i="20"/>
  <c r="AA27" i="20"/>
  <c r="AI27" i="20"/>
  <c r="Y28" i="20"/>
  <c r="AA28" i="20"/>
  <c r="AC28" i="20"/>
  <c r="AE28" i="20"/>
  <c r="AG28" i="20"/>
  <c r="AI28" i="20"/>
  <c r="AK28" i="20"/>
  <c r="X30" i="20"/>
  <c r="AB30" i="20"/>
  <c r="AF30" i="20"/>
  <c r="AJ30" i="20"/>
  <c r="Y30" i="20"/>
  <c r="AC30" i="20"/>
  <c r="AG30" i="20"/>
  <c r="AK30" i="20"/>
  <c r="N16" i="37" s="1"/>
  <c r="Z30" i="20"/>
  <c r="AD30" i="20"/>
  <c r="AA30" i="20"/>
  <c r="AE30" i="20"/>
  <c r="AI30" i="20"/>
  <c r="Z29" i="20"/>
  <c r="AD29" i="20"/>
  <c r="AA29" i="20"/>
  <c r="AE29" i="20"/>
  <c r="AI29" i="20"/>
  <c r="X29" i="20"/>
  <c r="AB29" i="20"/>
  <c r="AF29" i="20"/>
  <c r="AJ29" i="20"/>
  <c r="Y29" i="20"/>
  <c r="AC29" i="20"/>
  <c r="AG29" i="20"/>
  <c r="AK29" i="20"/>
  <c r="Y24" i="20"/>
  <c r="AC24" i="20"/>
  <c r="AG24" i="20"/>
  <c r="AK24" i="20"/>
  <c r="N11" i="37" s="1"/>
  <c r="Z24" i="20"/>
  <c r="AD24" i="20"/>
  <c r="AA24" i="20"/>
  <c r="AE24" i="20"/>
  <c r="AI24" i="20"/>
  <c r="X24" i="20"/>
  <c r="AB24" i="20"/>
  <c r="AF24" i="20"/>
  <c r="AJ24" i="20"/>
  <c r="AJ31" i="20"/>
  <c r="AD35" i="20"/>
  <c r="X31" i="20"/>
  <c r="Z31" i="20"/>
  <c r="AB31" i="20"/>
  <c r="AD31" i="20"/>
  <c r="AF31" i="20"/>
  <c r="Y31" i="20"/>
  <c r="AA31" i="20"/>
  <c r="AC31" i="20"/>
  <c r="AE31" i="20"/>
  <c r="AI31" i="20"/>
  <c r="Y32" i="20"/>
  <c r="AA32" i="20"/>
  <c r="AC32" i="20"/>
  <c r="AE32" i="20"/>
  <c r="AG32" i="20"/>
  <c r="AK32" i="20"/>
  <c r="X32" i="20"/>
  <c r="Z32" i="20"/>
  <c r="AB32" i="20"/>
  <c r="AD32" i="20"/>
  <c r="AF32" i="20"/>
  <c r="AJ32" i="20"/>
  <c r="AG31" i="20"/>
  <c r="AK31" i="20"/>
  <c r="AI32" i="20"/>
  <c r="Z33" i="20"/>
  <c r="AD33" i="20"/>
  <c r="AA33" i="20"/>
  <c r="AE33" i="20"/>
  <c r="AI33" i="20"/>
  <c r="X33" i="20"/>
  <c r="AB33" i="20"/>
  <c r="AF33" i="20"/>
  <c r="AJ33" i="20"/>
  <c r="Y33" i="20"/>
  <c r="AC33" i="20"/>
  <c r="AG33" i="20"/>
  <c r="AK33" i="20"/>
  <c r="Z40" i="20"/>
  <c r="AD40" i="20"/>
  <c r="X40" i="20"/>
  <c r="AF40" i="20"/>
  <c r="AJ40" i="20"/>
  <c r="AA40" i="20"/>
  <c r="AE40" i="20"/>
  <c r="AI40" i="20"/>
  <c r="AB40" i="20"/>
  <c r="Y40" i="20"/>
  <c r="AC40" i="20"/>
  <c r="AG40" i="20"/>
  <c r="AK40" i="20"/>
  <c r="Z43" i="20"/>
  <c r="AD43" i="20"/>
  <c r="Y43" i="20"/>
  <c r="AA43" i="20"/>
  <c r="AE43" i="20"/>
  <c r="AI43" i="20"/>
  <c r="X43" i="20"/>
  <c r="AB43" i="20"/>
  <c r="AF43" i="20"/>
  <c r="AJ43" i="20"/>
  <c r="AC43" i="20"/>
  <c r="AG43" i="20"/>
  <c r="AK43" i="20"/>
  <c r="AA38" i="20"/>
  <c r="AE38" i="20"/>
  <c r="AI38" i="20"/>
  <c r="X38" i="20"/>
  <c r="AB38" i="20"/>
  <c r="AF38" i="20"/>
  <c r="AJ38" i="20"/>
  <c r="Y38" i="20"/>
  <c r="AC38" i="20"/>
  <c r="AG38" i="20"/>
  <c r="AK38" i="20"/>
  <c r="Z38" i="20"/>
  <c r="AD38" i="20"/>
  <c r="Z39" i="20"/>
  <c r="AD39" i="20"/>
  <c r="AA39" i="20"/>
  <c r="AE39" i="20"/>
  <c r="AI39" i="20"/>
  <c r="Y39" i="20"/>
  <c r="AC39" i="20"/>
  <c r="AG39" i="20"/>
  <c r="AK39" i="20"/>
  <c r="X39" i="20"/>
  <c r="AB39" i="20"/>
  <c r="AF39" i="20"/>
  <c r="AJ39" i="20"/>
  <c r="AA34" i="20"/>
  <c r="AE34" i="20"/>
  <c r="AI34" i="20"/>
  <c r="X34" i="20"/>
  <c r="AB34" i="20"/>
  <c r="AF34" i="20"/>
  <c r="AJ34" i="20"/>
  <c r="Y34" i="20"/>
  <c r="AC34" i="20"/>
  <c r="AG34" i="20"/>
  <c r="AK34" i="20"/>
  <c r="Z34" i="20"/>
  <c r="AD34" i="20"/>
  <c r="Z35" i="20"/>
  <c r="Y35" i="20"/>
  <c r="AC35" i="20"/>
  <c r="AG35" i="20"/>
  <c r="AK35" i="20"/>
  <c r="AA35" i="20"/>
  <c r="AE35" i="20"/>
  <c r="AI35" i="20"/>
  <c r="X35" i="20"/>
  <c r="AB35" i="20"/>
  <c r="AF35" i="20"/>
  <c r="AJ35" i="20"/>
  <c r="X36" i="20"/>
  <c r="Z36" i="20"/>
  <c r="AB36" i="20"/>
  <c r="AD36" i="20"/>
  <c r="AF36" i="20"/>
  <c r="AJ36" i="20"/>
  <c r="X41" i="20"/>
  <c r="Z41" i="20"/>
  <c r="AB41" i="20"/>
  <c r="AD41" i="20"/>
  <c r="Y41" i="20"/>
  <c r="AA41" i="20"/>
  <c r="AC41" i="20"/>
  <c r="AE41" i="20"/>
  <c r="AG41" i="20"/>
  <c r="AI41" i="20"/>
  <c r="AK41" i="20"/>
  <c r="AF41" i="20"/>
  <c r="AJ41" i="20"/>
  <c r="Y36" i="20"/>
  <c r="AA36" i="20"/>
  <c r="AC36" i="20"/>
  <c r="AE36" i="20"/>
  <c r="AG36" i="20"/>
  <c r="AI36" i="20"/>
  <c r="AK36" i="20"/>
  <c r="Z42" i="20"/>
  <c r="AD42" i="20"/>
  <c r="AA42" i="20"/>
  <c r="AE42" i="20"/>
  <c r="AI42" i="20"/>
  <c r="X42" i="20"/>
  <c r="AB42" i="20"/>
  <c r="AF42" i="20"/>
  <c r="AJ42" i="20"/>
  <c r="Y42" i="20"/>
  <c r="AC42" i="20"/>
  <c r="AG42" i="20"/>
  <c r="AK42" i="20"/>
  <c r="Z37" i="20"/>
  <c r="AD37" i="20"/>
  <c r="AA37" i="20"/>
  <c r="AE37" i="20"/>
  <c r="AI37" i="20"/>
  <c r="X37" i="20"/>
  <c r="AB37" i="20"/>
  <c r="AF37" i="20"/>
  <c r="AJ37" i="20"/>
  <c r="Y37" i="20"/>
  <c r="AC37" i="20"/>
  <c r="AG37" i="20"/>
  <c r="AK37" i="20"/>
  <c r="Z44" i="20"/>
  <c r="AD44" i="20"/>
  <c r="AA44" i="20"/>
  <c r="AE44" i="20"/>
  <c r="AI44" i="20"/>
  <c r="X44" i="20"/>
  <c r="AB44" i="20"/>
  <c r="AF44" i="20"/>
  <c r="AJ44" i="20"/>
  <c r="Y44" i="20"/>
  <c r="AC44" i="20"/>
  <c r="AG44" i="20"/>
  <c r="AK44" i="20"/>
  <c r="Y68" i="20"/>
  <c r="Y45" i="20"/>
  <c r="Z45" i="20"/>
  <c r="Y48" i="20"/>
  <c r="Z49" i="20"/>
  <c r="AD49" i="20"/>
  <c r="AA49" i="20"/>
  <c r="AE49" i="20"/>
  <c r="AI49" i="20"/>
  <c r="X49" i="20"/>
  <c r="AB49" i="20"/>
  <c r="AF49" i="20"/>
  <c r="AJ49" i="20"/>
  <c r="Y49" i="20"/>
  <c r="AC49" i="20"/>
  <c r="AG49" i="20"/>
  <c r="AK49" i="20"/>
  <c r="AJ131" i="20"/>
  <c r="AJ132" i="20"/>
  <c r="AJ120" i="20"/>
  <c r="AJ107" i="20"/>
  <c r="Z53" i="20"/>
  <c r="AD53" i="20"/>
  <c r="Y53" i="20"/>
  <c r="AC53" i="20"/>
  <c r="AG53" i="20"/>
  <c r="AK53" i="20"/>
  <c r="AA53" i="20"/>
  <c r="AE53" i="20"/>
  <c r="AI53" i="20"/>
  <c r="X53" i="20"/>
  <c r="AB53" i="20"/>
  <c r="AF53" i="20"/>
  <c r="AJ53" i="20"/>
  <c r="AI47" i="20"/>
  <c r="AI52" i="20"/>
  <c r="AI57" i="20"/>
  <c r="AI61" i="20"/>
  <c r="AI65" i="20"/>
  <c r="AI69" i="20"/>
  <c r="AI73" i="20"/>
  <c r="AI77" i="20"/>
  <c r="AI81" i="20"/>
  <c r="AI85" i="20"/>
  <c r="AI89" i="20"/>
  <c r="AI93" i="20"/>
  <c r="AI97" i="20"/>
  <c r="AI101" i="20"/>
  <c r="AI105" i="20"/>
  <c r="AI109" i="20"/>
  <c r="AI113" i="20"/>
  <c r="AI117" i="20"/>
  <c r="AI121" i="20"/>
  <c r="AI125" i="20"/>
  <c r="AI129" i="20"/>
  <c r="AI133" i="20"/>
  <c r="AI137" i="20"/>
  <c r="AI141" i="20"/>
  <c r="AI145" i="20"/>
  <c r="AI149" i="20"/>
  <c r="AI153" i="20"/>
  <c r="AI157" i="20"/>
  <c r="AI161" i="20"/>
  <c r="AI165" i="20"/>
  <c r="AI169" i="20"/>
  <c r="AI173" i="20"/>
  <c r="AI177" i="20"/>
  <c r="AI181" i="20"/>
  <c r="AI185" i="20"/>
  <c r="AI189" i="20"/>
  <c r="AI193" i="20"/>
  <c r="AI197" i="20"/>
  <c r="AI201" i="20"/>
  <c r="AI205" i="20"/>
  <c r="AI209" i="20"/>
  <c r="AI213" i="20"/>
  <c r="AI217" i="20"/>
  <c r="AI221" i="20"/>
  <c r="AI225" i="20"/>
  <c r="AI229" i="20"/>
  <c r="AI233" i="20"/>
  <c r="AI237" i="20"/>
  <c r="AI241" i="20"/>
  <c r="AI245" i="20"/>
  <c r="AI249" i="20"/>
  <c r="AI253" i="20"/>
  <c r="AI257" i="20"/>
  <c r="AI261" i="20"/>
  <c r="AI265" i="20"/>
  <c r="AI269" i="20"/>
  <c r="AI273" i="20"/>
  <c r="AI277" i="20"/>
  <c r="AI281" i="20"/>
  <c r="AI285" i="20"/>
  <c r="AI289" i="20"/>
  <c r="AI293" i="20"/>
  <c r="AI297" i="20"/>
  <c r="AI301" i="20"/>
  <c r="AI305" i="20"/>
  <c r="AI309" i="20"/>
  <c r="AI313" i="20"/>
  <c r="AI317" i="20"/>
  <c r="AI321" i="20"/>
  <c r="AI325" i="20"/>
  <c r="AI329" i="20"/>
  <c r="AI333" i="20"/>
  <c r="AI337" i="20"/>
  <c r="AI341" i="20"/>
  <c r="AI345" i="20"/>
  <c r="AI349" i="20"/>
  <c r="AI353" i="20"/>
  <c r="AI357" i="20"/>
  <c r="AI361" i="20"/>
  <c r="AI365" i="20"/>
  <c r="AI369" i="20"/>
  <c r="AI373" i="20"/>
  <c r="AI377" i="20"/>
  <c r="AI381" i="20"/>
  <c r="AI385" i="20"/>
  <c r="AI50" i="20"/>
  <c r="AI83" i="20"/>
  <c r="AI104" i="20"/>
  <c r="AI120" i="20"/>
  <c r="AI136" i="20"/>
  <c r="AI152" i="20"/>
  <c r="AI163" i="20"/>
  <c r="AI184" i="20"/>
  <c r="AI200" i="20"/>
  <c r="AI216" i="20"/>
  <c r="AI227" i="20"/>
  <c r="AI243" i="20"/>
  <c r="AI254" i="20"/>
  <c r="AI270" i="20"/>
  <c r="AI286" i="20"/>
  <c r="AI302" i="20"/>
  <c r="AI312" i="20"/>
  <c r="AI328" i="20"/>
  <c r="AI339" i="20"/>
  <c r="AI350" i="20"/>
  <c r="AI366" i="20"/>
  <c r="AI382" i="20"/>
  <c r="AI391" i="20"/>
  <c r="AI403" i="20"/>
  <c r="AI415" i="20"/>
  <c r="AI427" i="20"/>
  <c r="AI439" i="20"/>
  <c r="AI451" i="20"/>
  <c r="AI48" i="20"/>
  <c r="AI55" i="20"/>
  <c r="AI60" i="20"/>
  <c r="AI66" i="20"/>
  <c r="AI71" i="20"/>
  <c r="AI76" i="20"/>
  <c r="AI82" i="20"/>
  <c r="AI87" i="20"/>
  <c r="AI92" i="20"/>
  <c r="AI98" i="20"/>
  <c r="AI103" i="20"/>
  <c r="AI108" i="20"/>
  <c r="AI114" i="20"/>
  <c r="AI119" i="20"/>
  <c r="AI124" i="20"/>
  <c r="AI130" i="20"/>
  <c r="AI135" i="20"/>
  <c r="AI140" i="20"/>
  <c r="AI146" i="20"/>
  <c r="AI151" i="20"/>
  <c r="AI156" i="20"/>
  <c r="AI162" i="20"/>
  <c r="AI167" i="20"/>
  <c r="AI172" i="20"/>
  <c r="AI178" i="20"/>
  <c r="AI183" i="20"/>
  <c r="AI188" i="20"/>
  <c r="AI194" i="20"/>
  <c r="AI199" i="20"/>
  <c r="AI204" i="20"/>
  <c r="AI210" i="20"/>
  <c r="AI215" i="20"/>
  <c r="AI220" i="20"/>
  <c r="AI226" i="20"/>
  <c r="AI231" i="20"/>
  <c r="AI236" i="20"/>
  <c r="AI242" i="20"/>
  <c r="AI247" i="20"/>
  <c r="AI252" i="20"/>
  <c r="AI258" i="20"/>
  <c r="AI263" i="20"/>
  <c r="AI268" i="20"/>
  <c r="AI274" i="20"/>
  <c r="AI279" i="20"/>
  <c r="AI284" i="20"/>
  <c r="AI290" i="20"/>
  <c r="AI295" i="20"/>
  <c r="AI300" i="20"/>
  <c r="AI306" i="20"/>
  <c r="AI311" i="20"/>
  <c r="AI316" i="20"/>
  <c r="AI322" i="20"/>
  <c r="AI327" i="20"/>
  <c r="AI332" i="20"/>
  <c r="AI338" i="20"/>
  <c r="AI343" i="20"/>
  <c r="AI348" i="20"/>
  <c r="AI354" i="20"/>
  <c r="AI359" i="20"/>
  <c r="AI364" i="20"/>
  <c r="AI370" i="20"/>
  <c r="AI375" i="20"/>
  <c r="AI380" i="20"/>
  <c r="AI386" i="20"/>
  <c r="AI390" i="20"/>
  <c r="AI394" i="20"/>
  <c r="AI398" i="20"/>
  <c r="AI402" i="20"/>
  <c r="AI406" i="20"/>
  <c r="AI410" i="20"/>
  <c r="AI414" i="20"/>
  <c r="AI418" i="20"/>
  <c r="AI422" i="20"/>
  <c r="AI426" i="20"/>
  <c r="AI430" i="20"/>
  <c r="AI434" i="20"/>
  <c r="AI438" i="20"/>
  <c r="AI442" i="20"/>
  <c r="AI446" i="20"/>
  <c r="AI450" i="20"/>
  <c r="AI454" i="20"/>
  <c r="AI458" i="20"/>
  <c r="AI462" i="20"/>
  <c r="AI466" i="20"/>
  <c r="AI470" i="20"/>
  <c r="AI474" i="20"/>
  <c r="AI478" i="20"/>
  <c r="AI482" i="20"/>
  <c r="AI486" i="20"/>
  <c r="AI490" i="20"/>
  <c r="AI494" i="20"/>
  <c r="AI498" i="20"/>
  <c r="AI502" i="20"/>
  <c r="AI506" i="20"/>
  <c r="AI510" i="20"/>
  <c r="AI514" i="20"/>
  <c r="AI518" i="20"/>
  <c r="AI522" i="20"/>
  <c r="AI526" i="20"/>
  <c r="AI530" i="20"/>
  <c r="AI534" i="20"/>
  <c r="AI538" i="20"/>
  <c r="AI542" i="20"/>
  <c r="AI546" i="20"/>
  <c r="AI550" i="20"/>
  <c r="AI554" i="20"/>
  <c r="AI558" i="20"/>
  <c r="AI562" i="20"/>
  <c r="AI566" i="20"/>
  <c r="AI570" i="20"/>
  <c r="AI574" i="20"/>
  <c r="AI578" i="20"/>
  <c r="AI582" i="20"/>
  <c r="AI586" i="20"/>
  <c r="AI590" i="20"/>
  <c r="AI594" i="20"/>
  <c r="AI598" i="20"/>
  <c r="AI602" i="20"/>
  <c r="AI56" i="20"/>
  <c r="AI62" i="20"/>
  <c r="AI67" i="20"/>
  <c r="AI72" i="20"/>
  <c r="AI78" i="20"/>
  <c r="AI88" i="20"/>
  <c r="AI94" i="20"/>
  <c r="AI99" i="20"/>
  <c r="AI110" i="20"/>
  <c r="AI115" i="20"/>
  <c r="AI126" i="20"/>
  <c r="AI131" i="20"/>
  <c r="AI142" i="20"/>
  <c r="AI147" i="20"/>
  <c r="AI158" i="20"/>
  <c r="AI168" i="20"/>
  <c r="AI174" i="20"/>
  <c r="AI179" i="20"/>
  <c r="AI190" i="20"/>
  <c r="AI195" i="20"/>
  <c r="AI206" i="20"/>
  <c r="AI211" i="20"/>
  <c r="AI222" i="20"/>
  <c r="AI232" i="20"/>
  <c r="AI238" i="20"/>
  <c r="AI248" i="20"/>
  <c r="AI259" i="20"/>
  <c r="AI264" i="20"/>
  <c r="AI275" i="20"/>
  <c r="AI280" i="20"/>
  <c r="AI291" i="20"/>
  <c r="AI296" i="20"/>
  <c r="AI307" i="20"/>
  <c r="AI318" i="20"/>
  <c r="AI323" i="20"/>
  <c r="AI334" i="20"/>
  <c r="AI344" i="20"/>
  <c r="AI355" i="20"/>
  <c r="AI360" i="20"/>
  <c r="AI371" i="20"/>
  <c r="AI376" i="20"/>
  <c r="AI387" i="20"/>
  <c r="AI395" i="20"/>
  <c r="AI399" i="20"/>
  <c r="AI407" i="20"/>
  <c r="AI411" i="20"/>
  <c r="AI419" i="20"/>
  <c r="AI423" i="20"/>
  <c r="AI431" i="20"/>
  <c r="AI435" i="20"/>
  <c r="AI443" i="20"/>
  <c r="AI447" i="20"/>
  <c r="AI54" i="20"/>
  <c r="AI64" i="20"/>
  <c r="AI75" i="20"/>
  <c r="AI86" i="20"/>
  <c r="AI96" i="20"/>
  <c r="AI107" i="20"/>
  <c r="AI118" i="20"/>
  <c r="AI128" i="20"/>
  <c r="AI139" i="20"/>
  <c r="AI150" i="20"/>
  <c r="AI160" i="20"/>
  <c r="AI171" i="20"/>
  <c r="AI182" i="20"/>
  <c r="AI192" i="20"/>
  <c r="AI203" i="20"/>
  <c r="AI214" i="20"/>
  <c r="AI224" i="20"/>
  <c r="AI235" i="20"/>
  <c r="AI246" i="20"/>
  <c r="AI256" i="20"/>
  <c r="AI267" i="20"/>
  <c r="AI278" i="20"/>
  <c r="AI288" i="20"/>
  <c r="AI299" i="20"/>
  <c r="AI310" i="20"/>
  <c r="AI320" i="20"/>
  <c r="AI331" i="20"/>
  <c r="AI342" i="20"/>
  <c r="AI352" i="20"/>
  <c r="AI363" i="20"/>
  <c r="AI374" i="20"/>
  <c r="AI384" i="20"/>
  <c r="AI393" i="20"/>
  <c r="AI401" i="20"/>
  <c r="AI409" i="20"/>
  <c r="AI417" i="20"/>
  <c r="AI425" i="20"/>
  <c r="AI433" i="20"/>
  <c r="AI441" i="20"/>
  <c r="AI449" i="20"/>
  <c r="AI456" i="20"/>
  <c r="AI461" i="20"/>
  <c r="AI467" i="20"/>
  <c r="AI472" i="20"/>
  <c r="AI477" i="20"/>
  <c r="AI483" i="20"/>
  <c r="AI488" i="20"/>
  <c r="AI493" i="20"/>
  <c r="AI499" i="20"/>
  <c r="AI504" i="20"/>
  <c r="AI509" i="20"/>
  <c r="AI515" i="20"/>
  <c r="AI520" i="20"/>
  <c r="AI525" i="20"/>
  <c r="AI531" i="20"/>
  <c r="AI536" i="20"/>
  <c r="AI541" i="20"/>
  <c r="AI547" i="20"/>
  <c r="AI552" i="20"/>
  <c r="AI557" i="20"/>
  <c r="AI563" i="20"/>
  <c r="AI568" i="20"/>
  <c r="AI573" i="20"/>
  <c r="AI579" i="20"/>
  <c r="AI584" i="20"/>
  <c r="AI589" i="20"/>
  <c r="AI595" i="20"/>
  <c r="AI600" i="20"/>
  <c r="X45" i="20"/>
  <c r="AI45" i="20"/>
  <c r="AI58" i="20"/>
  <c r="AI68" i="20"/>
  <c r="AI79" i="20"/>
  <c r="AI90" i="20"/>
  <c r="AI100" i="20"/>
  <c r="AI111" i="20"/>
  <c r="AI122" i="20"/>
  <c r="AI132" i="20"/>
  <c r="AI143" i="20"/>
  <c r="AI154" i="20"/>
  <c r="AI164" i="20"/>
  <c r="AI175" i="20"/>
  <c r="AI186" i="20"/>
  <c r="AI196" i="20"/>
  <c r="AI207" i="20"/>
  <c r="AI51" i="20"/>
  <c r="AI63" i="20"/>
  <c r="AI74" i="20"/>
  <c r="AI84" i="20"/>
  <c r="AI95" i="20"/>
  <c r="AI106" i="20"/>
  <c r="AI116" i="20"/>
  <c r="AI127" i="20"/>
  <c r="AI138" i="20"/>
  <c r="AI148" i="20"/>
  <c r="AI159" i="20"/>
  <c r="AI170" i="20"/>
  <c r="AI180" i="20"/>
  <c r="AI191" i="20"/>
  <c r="AI202" i="20"/>
  <c r="AI212" i="20"/>
  <c r="AI223" i="20"/>
  <c r="AI234" i="20"/>
  <c r="AI244" i="20"/>
  <c r="AI255" i="20"/>
  <c r="AI266" i="20"/>
  <c r="AI276" i="20"/>
  <c r="AI287" i="20"/>
  <c r="AI298" i="20"/>
  <c r="AI308" i="20"/>
  <c r="AI319" i="20"/>
  <c r="AI330" i="20"/>
  <c r="AI340" i="20"/>
  <c r="AI351" i="20"/>
  <c r="AI362" i="20"/>
  <c r="AI372" i="20"/>
  <c r="AI383" i="20"/>
  <c r="AI392" i="20"/>
  <c r="AI400" i="20"/>
  <c r="AI408" i="20"/>
  <c r="AI416" i="20"/>
  <c r="AI424" i="20"/>
  <c r="AI432" i="20"/>
  <c r="AI440" i="20"/>
  <c r="AI448" i="20"/>
  <c r="AI455" i="20"/>
  <c r="AI460" i="20"/>
  <c r="AI465" i="20"/>
  <c r="AI471" i="20"/>
  <c r="AI476" i="20"/>
  <c r="AI481" i="20"/>
  <c r="AI487" i="20"/>
  <c r="AI492" i="20"/>
  <c r="AI497" i="20"/>
  <c r="AI503" i="20"/>
  <c r="AI508" i="20"/>
  <c r="AI513" i="20"/>
  <c r="AI519" i="20"/>
  <c r="AI524" i="20"/>
  <c r="AI529" i="20"/>
  <c r="AI535" i="20"/>
  <c r="AI540" i="20"/>
  <c r="AI545" i="20"/>
  <c r="AI551" i="20"/>
  <c r="AI556" i="20"/>
  <c r="AI561" i="20"/>
  <c r="AI80" i="20"/>
  <c r="AI123" i="20"/>
  <c r="AI166" i="20"/>
  <c r="AI208" i="20"/>
  <c r="AI230" i="20"/>
  <c r="AI251" i="20"/>
  <c r="AI272" i="20"/>
  <c r="AI294" i="20"/>
  <c r="AI315" i="20"/>
  <c r="AI336" i="20"/>
  <c r="AI358" i="20"/>
  <c r="AI379" i="20"/>
  <c r="AI397" i="20"/>
  <c r="AI413" i="20"/>
  <c r="AI429" i="20"/>
  <c r="AI445" i="20"/>
  <c r="AI459" i="20"/>
  <c r="AI469" i="20"/>
  <c r="AI480" i="20"/>
  <c r="AI491" i="20"/>
  <c r="AI523" i="20"/>
  <c r="AI555" i="20"/>
  <c r="AI580" i="20"/>
  <c r="AI601" i="20"/>
  <c r="AI91" i="20"/>
  <c r="AI239" i="20"/>
  <c r="AI303" i="20"/>
  <c r="AI367" i="20"/>
  <c r="AI404" i="20"/>
  <c r="AI436" i="20"/>
  <c r="AI473" i="20"/>
  <c r="AI495" i="20"/>
  <c r="AI516" i="20"/>
  <c r="AI548" i="20"/>
  <c r="AI567" i="20"/>
  <c r="AI588" i="20"/>
  <c r="AI603" i="20"/>
  <c r="AI102" i="20"/>
  <c r="AI219" i="20"/>
  <c r="AI283" i="20"/>
  <c r="AI326" i="20"/>
  <c r="AI368" i="20"/>
  <c r="AI421" i="20"/>
  <c r="AI464" i="20"/>
  <c r="AI485" i="20"/>
  <c r="AI507" i="20"/>
  <c r="AI539" i="20"/>
  <c r="AI560" i="20"/>
  <c r="AI576" i="20"/>
  <c r="AI597" i="20"/>
  <c r="AI70" i="20"/>
  <c r="AI112" i="20"/>
  <c r="AI155" i="20"/>
  <c r="AI198" i="20"/>
  <c r="AI228" i="20"/>
  <c r="AI250" i="20"/>
  <c r="AI271" i="20"/>
  <c r="AI292" i="20"/>
  <c r="AI314" i="20"/>
  <c r="AI335" i="20"/>
  <c r="AI356" i="20"/>
  <c r="AI378" i="20"/>
  <c r="AI396" i="20"/>
  <c r="AI412" i="20"/>
  <c r="AI428" i="20"/>
  <c r="AI444" i="20"/>
  <c r="AI457" i="20"/>
  <c r="AI468" i="20"/>
  <c r="AI479" i="20"/>
  <c r="AI489" i="20"/>
  <c r="AI500" i="20"/>
  <c r="AI511" i="20"/>
  <c r="AI521" i="20"/>
  <c r="AI532" i="20"/>
  <c r="AI543" i="20"/>
  <c r="AI553" i="20"/>
  <c r="AI564" i="20"/>
  <c r="AI571" i="20"/>
  <c r="AI577" i="20"/>
  <c r="AI585" i="20"/>
  <c r="AI592" i="20"/>
  <c r="AI599" i="20"/>
  <c r="AI501" i="20"/>
  <c r="AI512" i="20"/>
  <c r="AI533" i="20"/>
  <c r="AI544" i="20"/>
  <c r="AI565" i="20"/>
  <c r="AI572" i="20"/>
  <c r="AI587" i="20"/>
  <c r="AI593" i="20"/>
  <c r="AI46" i="20"/>
  <c r="AI134" i="20"/>
  <c r="AI176" i="20"/>
  <c r="AI218" i="20"/>
  <c r="AI260" i="20"/>
  <c r="AI282" i="20"/>
  <c r="AI324" i="20"/>
  <c r="AI346" i="20"/>
  <c r="AI388" i="20"/>
  <c r="AI420" i="20"/>
  <c r="AI452" i="20"/>
  <c r="AI463" i="20"/>
  <c r="AI484" i="20"/>
  <c r="AI505" i="20"/>
  <c r="AI527" i="20"/>
  <c r="AI537" i="20"/>
  <c r="AI559" i="20"/>
  <c r="AI575" i="20"/>
  <c r="AI581" i="20"/>
  <c r="AI596" i="20"/>
  <c r="AI59" i="20"/>
  <c r="AI144" i="20"/>
  <c r="AI187" i="20"/>
  <c r="AI240" i="20"/>
  <c r="AI262" i="20"/>
  <c r="AI304" i="20"/>
  <c r="AI347" i="20"/>
  <c r="AI389" i="20"/>
  <c r="AI405" i="20"/>
  <c r="AI437" i="20"/>
  <c r="AI453" i="20"/>
  <c r="AI475" i="20"/>
  <c r="AI496" i="20"/>
  <c r="AI517" i="20"/>
  <c r="AI528" i="20"/>
  <c r="AI549" i="20"/>
  <c r="AI569" i="20"/>
  <c r="AI583" i="20"/>
  <c r="AI591" i="20"/>
  <c r="AI604" i="20"/>
  <c r="AK45" i="20"/>
  <c r="AK50" i="20"/>
  <c r="AK55" i="20"/>
  <c r="AK59" i="20"/>
  <c r="AK63" i="20"/>
  <c r="AK67" i="20"/>
  <c r="AK71" i="20"/>
  <c r="AK75" i="20"/>
  <c r="AK79" i="20"/>
  <c r="AK83" i="20"/>
  <c r="AK87" i="20"/>
  <c r="AK91" i="20"/>
  <c r="AK95" i="20"/>
  <c r="AK99" i="20"/>
  <c r="AK103" i="20"/>
  <c r="AK107" i="20"/>
  <c r="AK111" i="20"/>
  <c r="AK115" i="20"/>
  <c r="AK119" i="20"/>
  <c r="AK123" i="20"/>
  <c r="AK127" i="20"/>
  <c r="AK131" i="20"/>
  <c r="AK135" i="20"/>
  <c r="AK139" i="20"/>
  <c r="AK143" i="20"/>
  <c r="AK147" i="20"/>
  <c r="AK151" i="20"/>
  <c r="AK155" i="20"/>
  <c r="AK159" i="20"/>
  <c r="AK163" i="20"/>
  <c r="AK167" i="20"/>
  <c r="AK171" i="20"/>
  <c r="AK175" i="20"/>
  <c r="AK179" i="20"/>
  <c r="AK183" i="20"/>
  <c r="AK187" i="20"/>
  <c r="AK191" i="20"/>
  <c r="AK195" i="20"/>
  <c r="AK199" i="20"/>
  <c r="AK203" i="20"/>
  <c r="AK207" i="20"/>
  <c r="AK211" i="20"/>
  <c r="AK215" i="20"/>
  <c r="AK219" i="20"/>
  <c r="AK223" i="20"/>
  <c r="AK227" i="20"/>
  <c r="AK231" i="20"/>
  <c r="AK235" i="20"/>
  <c r="AK239" i="20"/>
  <c r="AK243" i="20"/>
  <c r="AK247" i="20"/>
  <c r="AK251" i="20"/>
  <c r="AK255" i="20"/>
  <c r="AK259" i="20"/>
  <c r="AK263" i="20"/>
  <c r="AK267" i="20"/>
  <c r="AK271" i="20"/>
  <c r="AK275" i="20"/>
  <c r="AK279" i="20"/>
  <c r="AK283" i="20"/>
  <c r="AK287" i="20"/>
  <c r="AK291" i="20"/>
  <c r="AK295" i="20"/>
  <c r="AK299" i="20"/>
  <c r="AK303" i="20"/>
  <c r="AK307" i="20"/>
  <c r="AK311" i="20"/>
  <c r="AK315" i="20"/>
  <c r="AK319" i="20"/>
  <c r="AK323" i="20"/>
  <c r="AK327" i="20"/>
  <c r="AK331" i="20"/>
  <c r="AK335" i="20"/>
  <c r="AK339" i="20"/>
  <c r="AK343" i="20"/>
  <c r="AK347" i="20"/>
  <c r="AK351" i="20"/>
  <c r="AK355" i="20"/>
  <c r="AK359" i="20"/>
  <c r="AK363" i="20"/>
  <c r="AK367" i="20"/>
  <c r="AK371" i="20"/>
  <c r="AK375" i="20"/>
  <c r="AK379" i="20"/>
  <c r="AK383" i="20"/>
  <c r="AK387" i="20"/>
  <c r="AK391" i="20"/>
  <c r="AK395" i="20"/>
  <c r="AK399" i="20"/>
  <c r="AK403" i="20"/>
  <c r="AK407" i="20"/>
  <c r="AK411" i="20"/>
  <c r="AK415" i="20"/>
  <c r="AK419" i="20"/>
  <c r="AK423" i="20"/>
  <c r="AK427" i="20"/>
  <c r="AK431" i="20"/>
  <c r="AK435" i="20"/>
  <c r="AK439" i="20"/>
  <c r="AK443" i="20"/>
  <c r="AK447" i="20"/>
  <c r="AK451" i="20"/>
  <c r="AK455" i="20"/>
  <c r="AK459" i="20"/>
  <c r="AK463" i="20"/>
  <c r="AK467" i="20"/>
  <c r="AK471" i="20"/>
  <c r="AK475" i="20"/>
  <c r="AK479" i="20"/>
  <c r="AK483" i="20"/>
  <c r="AK487" i="20"/>
  <c r="AK491" i="20"/>
  <c r="AK495" i="20"/>
  <c r="AK499" i="20"/>
  <c r="AK503" i="20"/>
  <c r="AK507" i="20"/>
  <c r="AK511" i="20"/>
  <c r="AK515" i="20"/>
  <c r="AK519" i="20"/>
  <c r="AK523" i="20"/>
  <c r="AK527" i="20"/>
  <c r="AK531" i="20"/>
  <c r="AK535" i="20"/>
  <c r="AK539" i="20"/>
  <c r="AK543" i="20"/>
  <c r="AK547" i="20"/>
  <c r="AK551" i="20"/>
  <c r="AK555" i="20"/>
  <c r="AK559" i="20"/>
  <c r="AK563" i="20"/>
  <c r="AK567" i="20"/>
  <c r="AK571" i="20"/>
  <c r="AK575" i="20"/>
  <c r="AK579" i="20"/>
  <c r="AK583" i="20"/>
  <c r="AK587" i="20"/>
  <c r="AK591" i="20"/>
  <c r="AK595" i="20"/>
  <c r="AK599" i="20"/>
  <c r="AK603" i="20"/>
  <c r="AJ491" i="20"/>
  <c r="AJ586" i="20"/>
  <c r="AK48" i="20"/>
  <c r="AK54" i="20"/>
  <c r="AK58" i="20"/>
  <c r="N8" i="37" s="1"/>
  <c r="AK62" i="20"/>
  <c r="AK66" i="20"/>
  <c r="AK70" i="20"/>
  <c r="AK74" i="20"/>
  <c r="AK78" i="20"/>
  <c r="AK82" i="20"/>
  <c r="AK86" i="20"/>
  <c r="AK90" i="20"/>
  <c r="AK94" i="20"/>
  <c r="AK98" i="20"/>
  <c r="AK102" i="20"/>
  <c r="AK106" i="20"/>
  <c r="AK110" i="20"/>
  <c r="AK114" i="20"/>
  <c r="AK118" i="20"/>
  <c r="AK122" i="20"/>
  <c r="AK126" i="20"/>
  <c r="AK130" i="20"/>
  <c r="AK134" i="20"/>
  <c r="AK138" i="20"/>
  <c r="AK142" i="20"/>
  <c r="AK146" i="20"/>
  <c r="AK150" i="20"/>
  <c r="AK154" i="20"/>
  <c r="AK158" i="20"/>
  <c r="AK162" i="20"/>
  <c r="AK166" i="20"/>
  <c r="AK170" i="20"/>
  <c r="AK174" i="20"/>
  <c r="AK178" i="20"/>
  <c r="AK182" i="20"/>
  <c r="AK186" i="20"/>
  <c r="AK190" i="20"/>
  <c r="AK194" i="20"/>
  <c r="AK198" i="20"/>
  <c r="AK202" i="20"/>
  <c r="AK206" i="20"/>
  <c r="AK210" i="20"/>
  <c r="AK214" i="20"/>
  <c r="AK218" i="20"/>
  <c r="AK222" i="20"/>
  <c r="AK226" i="20"/>
  <c r="AK230" i="20"/>
  <c r="AK234" i="20"/>
  <c r="AK238" i="20"/>
  <c r="AK242" i="20"/>
  <c r="AK246" i="20"/>
  <c r="AK250" i="20"/>
  <c r="AK254" i="20"/>
  <c r="AK258" i="20"/>
  <c r="AK262" i="20"/>
  <c r="AK266" i="20"/>
  <c r="AK270" i="20"/>
  <c r="AK274" i="20"/>
  <c r="AK278" i="20"/>
  <c r="AK282" i="20"/>
  <c r="AK286" i="20"/>
  <c r="AK290" i="20"/>
  <c r="AK294" i="20"/>
  <c r="AK298" i="20"/>
  <c r="AK302" i="20"/>
  <c r="AK306" i="20"/>
  <c r="AK310" i="20"/>
  <c r="AK314" i="20"/>
  <c r="AK318" i="20"/>
  <c r="AK322" i="20"/>
  <c r="AK326" i="20"/>
  <c r="AK330" i="20"/>
  <c r="AK334" i="20"/>
  <c r="AK338" i="20"/>
  <c r="AK342" i="20"/>
  <c r="AK346" i="20"/>
  <c r="AK350" i="20"/>
  <c r="AK354" i="20"/>
  <c r="AK358" i="20"/>
  <c r="AK362" i="20"/>
  <c r="AK366" i="20"/>
  <c r="AK370" i="20"/>
  <c r="AK374" i="20"/>
  <c r="AK378" i="20"/>
  <c r="AK382" i="20"/>
  <c r="AK386" i="20"/>
  <c r="AK390" i="20"/>
  <c r="AK394" i="20"/>
  <c r="AK398" i="20"/>
  <c r="AK402" i="20"/>
  <c r="AK406" i="20"/>
  <c r="AK410" i="20"/>
  <c r="AK414" i="20"/>
  <c r="AK418" i="20"/>
  <c r="AK422" i="20"/>
  <c r="AK426" i="20"/>
  <c r="AK430" i="20"/>
  <c r="AK434" i="20"/>
  <c r="AK438" i="20"/>
  <c r="AK442" i="20"/>
  <c r="AK446" i="20"/>
  <c r="AK450" i="20"/>
  <c r="AK454" i="20"/>
  <c r="AK458" i="20"/>
  <c r="AK462" i="20"/>
  <c r="AK466" i="20"/>
  <c r="AK470" i="20"/>
  <c r="AK474" i="20"/>
  <c r="AK478" i="20"/>
  <c r="AK482" i="20"/>
  <c r="AK486" i="20"/>
  <c r="AK490" i="20"/>
  <c r="AK494" i="20"/>
  <c r="AK498" i="20"/>
  <c r="AK502" i="20"/>
  <c r="AK506" i="20"/>
  <c r="AK510" i="20"/>
  <c r="AK514" i="20"/>
  <c r="AK518" i="20"/>
  <c r="AK522" i="20"/>
  <c r="AK526" i="20"/>
  <c r="AK530" i="20"/>
  <c r="AK534" i="20"/>
  <c r="AK538" i="20"/>
  <c r="AK542" i="20"/>
  <c r="AK546" i="20"/>
  <c r="AK550" i="20"/>
  <c r="AK554" i="20"/>
  <c r="AK558" i="20"/>
  <c r="AK562" i="20"/>
  <c r="AK566" i="20"/>
  <c r="AK570" i="20"/>
  <c r="AK574" i="20"/>
  <c r="AK578" i="20"/>
  <c r="AK582" i="20"/>
  <c r="AK586" i="20"/>
  <c r="AK590" i="20"/>
  <c r="AK594" i="20"/>
  <c r="AK598" i="20"/>
  <c r="AK602" i="20"/>
  <c r="AJ456" i="20"/>
  <c r="AJ571" i="20"/>
  <c r="AJ603" i="20"/>
  <c r="AK46" i="20"/>
  <c r="AK56" i="20"/>
  <c r="AK64" i="20"/>
  <c r="AK72" i="20"/>
  <c r="AK80" i="20"/>
  <c r="AK88" i="20"/>
  <c r="AK96" i="20"/>
  <c r="AK104" i="20"/>
  <c r="AK112" i="20"/>
  <c r="N10" i="37" s="1"/>
  <c r="AK120" i="20"/>
  <c r="AK128" i="20"/>
  <c r="AK136" i="20"/>
  <c r="AK144" i="20"/>
  <c r="AK152" i="20"/>
  <c r="AK160" i="20"/>
  <c r="AK168" i="20"/>
  <c r="AK176" i="20"/>
  <c r="AK184" i="20"/>
  <c r="AK192" i="20"/>
  <c r="AK200" i="20"/>
  <c r="AK208" i="20"/>
  <c r="AK216" i="20"/>
  <c r="AK224" i="20"/>
  <c r="AK232" i="20"/>
  <c r="AK240" i="20"/>
  <c r="AK248" i="20"/>
  <c r="AK256" i="20"/>
  <c r="AK264" i="20"/>
  <c r="AK272" i="20"/>
  <c r="AK280" i="20"/>
  <c r="AK288" i="20"/>
  <c r="AK296" i="20"/>
  <c r="AK304" i="20"/>
  <c r="AK312" i="20"/>
  <c r="AK320" i="20"/>
  <c r="AK328" i="20"/>
  <c r="AK336" i="20"/>
  <c r="AK344" i="20"/>
  <c r="AK352" i="20"/>
  <c r="AK360" i="20"/>
  <c r="AK368" i="20"/>
  <c r="AK376" i="20"/>
  <c r="AK384" i="20"/>
  <c r="AK392" i="20"/>
  <c r="AK400" i="20"/>
  <c r="AK408" i="20"/>
  <c r="AK416" i="20"/>
  <c r="AK424" i="20"/>
  <c r="AK432" i="20"/>
  <c r="AK440" i="20"/>
  <c r="AK448" i="20"/>
  <c r="AK456" i="20"/>
  <c r="AK464" i="20"/>
  <c r="AK472" i="20"/>
  <c r="AK480" i="20"/>
  <c r="AK488" i="20"/>
  <c r="AK496" i="20"/>
  <c r="AK504" i="20"/>
  <c r="AK512" i="20"/>
  <c r="AK520" i="20"/>
  <c r="AK528" i="20"/>
  <c r="AK536" i="20"/>
  <c r="AK544" i="20"/>
  <c r="AK552" i="20"/>
  <c r="AK560" i="20"/>
  <c r="AK568" i="20"/>
  <c r="AK576" i="20"/>
  <c r="AK584" i="20"/>
  <c r="AK592" i="20"/>
  <c r="AK600" i="20"/>
  <c r="AJ555" i="20"/>
  <c r="X457" i="20"/>
  <c r="X462" i="20"/>
  <c r="X466" i="20"/>
  <c r="X470" i="20"/>
  <c r="X474" i="20"/>
  <c r="X478" i="20"/>
  <c r="X482" i="20"/>
  <c r="X486" i="20"/>
  <c r="X490" i="20"/>
  <c r="X494" i="20"/>
  <c r="X498" i="20"/>
  <c r="X502" i="20"/>
  <c r="X506" i="20"/>
  <c r="X510" i="20"/>
  <c r="X514" i="20"/>
  <c r="X518" i="20"/>
  <c r="X522" i="20"/>
  <c r="X526" i="20"/>
  <c r="X530" i="20"/>
  <c r="X534" i="20"/>
  <c r="X538" i="20"/>
  <c r="X542" i="20"/>
  <c r="X546" i="20"/>
  <c r="X550" i="20"/>
  <c r="X554" i="20"/>
  <c r="X558" i="20"/>
  <c r="X562" i="20"/>
  <c r="X566" i="20"/>
  <c r="X570" i="20"/>
  <c r="X574" i="20"/>
  <c r="X578" i="20"/>
  <c r="X582" i="20"/>
  <c r="X586" i="20"/>
  <c r="X590" i="20"/>
  <c r="X594" i="20"/>
  <c r="X598" i="20"/>
  <c r="X602" i="20"/>
  <c r="Y458" i="20"/>
  <c r="Y463" i="20"/>
  <c r="Y467" i="20"/>
  <c r="Y471" i="20"/>
  <c r="Y475" i="20"/>
  <c r="Y479" i="20"/>
  <c r="Y483" i="20"/>
  <c r="Y487" i="20"/>
  <c r="Y491" i="20"/>
  <c r="Y495" i="20"/>
  <c r="Y499" i="20"/>
  <c r="Y503" i="20"/>
  <c r="Y507" i="20"/>
  <c r="Y511" i="20"/>
  <c r="Y515" i="20"/>
  <c r="Y519" i="20"/>
  <c r="Y523" i="20"/>
  <c r="Y527" i="20"/>
  <c r="Y531" i="20"/>
  <c r="Y535" i="20"/>
  <c r="Y539" i="20"/>
  <c r="Y543" i="20"/>
  <c r="Y547" i="20"/>
  <c r="Y551" i="20"/>
  <c r="Y555" i="20"/>
  <c r="Y559" i="20"/>
  <c r="Y563" i="20"/>
  <c r="Y567" i="20"/>
  <c r="Y571" i="20"/>
  <c r="Y575" i="20"/>
  <c r="Y579" i="20"/>
  <c r="Y583" i="20"/>
  <c r="Y587" i="20"/>
  <c r="Y591" i="20"/>
  <c r="Y595" i="20"/>
  <c r="Y599" i="20"/>
  <c r="Y603" i="20"/>
  <c r="Z460" i="20"/>
  <c r="Z464" i="20"/>
  <c r="Z468" i="20"/>
  <c r="Z472" i="20"/>
  <c r="Z476" i="20"/>
  <c r="Z480" i="20"/>
  <c r="Z484" i="20"/>
  <c r="Z488" i="20"/>
  <c r="Z492" i="20"/>
  <c r="Z496" i="20"/>
  <c r="Z500" i="20"/>
  <c r="Z504" i="20"/>
  <c r="Z508" i="20"/>
  <c r="Z512" i="20"/>
  <c r="Z516" i="20"/>
  <c r="Z520" i="20"/>
  <c r="Z524" i="20"/>
  <c r="Z528" i="20"/>
  <c r="Z532" i="20"/>
  <c r="Z536" i="20"/>
  <c r="Z540" i="20"/>
  <c r="Z544" i="20"/>
  <c r="Z548" i="20"/>
  <c r="Z552" i="20"/>
  <c r="Z556" i="20"/>
  <c r="Z560" i="20"/>
  <c r="Z564" i="20"/>
  <c r="Z568" i="20"/>
  <c r="Z572" i="20"/>
  <c r="Z576" i="20"/>
  <c r="Z580" i="20"/>
  <c r="Z584" i="20"/>
  <c r="Z588" i="20"/>
  <c r="Z592" i="20"/>
  <c r="Z596" i="20"/>
  <c r="Z600" i="20"/>
  <c r="Z604" i="20"/>
  <c r="AA461" i="20"/>
  <c r="AA465" i="20"/>
  <c r="AA469" i="20"/>
  <c r="AA473" i="20"/>
  <c r="AA477" i="20"/>
  <c r="AA481" i="20"/>
  <c r="AA485" i="20"/>
  <c r="AA489" i="20"/>
  <c r="AA493" i="20"/>
  <c r="AA497" i="20"/>
  <c r="AA501" i="20"/>
  <c r="AA505" i="20"/>
  <c r="AA509" i="20"/>
  <c r="AA513" i="20"/>
  <c r="AA517" i="20"/>
  <c r="AA521" i="20"/>
  <c r="AA525" i="20"/>
  <c r="AA529" i="20"/>
  <c r="AA533" i="20"/>
  <c r="AA537" i="20"/>
  <c r="AA541" i="20"/>
  <c r="AA545" i="20"/>
  <c r="AA549" i="20"/>
  <c r="AA553" i="20"/>
  <c r="AA557" i="20"/>
  <c r="AA561" i="20"/>
  <c r="AA565" i="20"/>
  <c r="AA569" i="20"/>
  <c r="AA573" i="20"/>
  <c r="AA577" i="20"/>
  <c r="AA581" i="20"/>
  <c r="AA585" i="20"/>
  <c r="AA589" i="20"/>
  <c r="AA593" i="20"/>
  <c r="AA597" i="20"/>
  <c r="AA601" i="20"/>
  <c r="AB457" i="20"/>
  <c r="AB462" i="20"/>
  <c r="AB466" i="20"/>
  <c r="AB470" i="20"/>
  <c r="AB474" i="20"/>
  <c r="AB478" i="20"/>
  <c r="AB482" i="20"/>
  <c r="AB486" i="20"/>
  <c r="AB490" i="20"/>
  <c r="AB494" i="20"/>
  <c r="AB498" i="20"/>
  <c r="AB502" i="20"/>
  <c r="AB506" i="20"/>
  <c r="AB510" i="20"/>
  <c r="AB514" i="20"/>
  <c r="AB518" i="20"/>
  <c r="AB522" i="20"/>
  <c r="AB526" i="20"/>
  <c r="AB530" i="20"/>
  <c r="AB534" i="20"/>
  <c r="AB538" i="20"/>
  <c r="AB542" i="20"/>
  <c r="AB546" i="20"/>
  <c r="AB550" i="20"/>
  <c r="AB554" i="20"/>
  <c r="AB558" i="20"/>
  <c r="AB562" i="20"/>
  <c r="AB566" i="20"/>
  <c r="AB570" i="20"/>
  <c r="AB574" i="20"/>
  <c r="AB578" i="20"/>
  <c r="AB582" i="20"/>
  <c r="AB586" i="20"/>
  <c r="AB590" i="20"/>
  <c r="AB594" i="20"/>
  <c r="AB598" i="20"/>
  <c r="AB602" i="20"/>
  <c r="AC458" i="20"/>
  <c r="AC463" i="20"/>
  <c r="AC467" i="20"/>
  <c r="AC471" i="20"/>
  <c r="AC475" i="20"/>
  <c r="AC479" i="20"/>
  <c r="AC483" i="20"/>
  <c r="AC487" i="20"/>
  <c r="AC491" i="20"/>
  <c r="AC495" i="20"/>
  <c r="AC499" i="20"/>
  <c r="AC503" i="20"/>
  <c r="AC507" i="20"/>
  <c r="AC511" i="20"/>
  <c r="AC515" i="20"/>
  <c r="AC519" i="20"/>
  <c r="AC523" i="20"/>
  <c r="AC527" i="20"/>
  <c r="AC531" i="20"/>
  <c r="AC535" i="20"/>
  <c r="AC539" i="20"/>
  <c r="AC543" i="20"/>
  <c r="AC547" i="20"/>
  <c r="AC551" i="20"/>
  <c r="AC555" i="20"/>
  <c r="AC559" i="20"/>
  <c r="AC563" i="20"/>
  <c r="AC567" i="20"/>
  <c r="AC571" i="20"/>
  <c r="AC575" i="20"/>
  <c r="AC579" i="20"/>
  <c r="AC583" i="20"/>
  <c r="AC587" i="20"/>
  <c r="AC591" i="20"/>
  <c r="AC595" i="20"/>
  <c r="AC599" i="20"/>
  <c r="AC603" i="20"/>
  <c r="AD459" i="20"/>
  <c r="AD463" i="20"/>
  <c r="AD467" i="20"/>
  <c r="AD471" i="20"/>
  <c r="AD475" i="20"/>
  <c r="AD479" i="20"/>
  <c r="AD483" i="20"/>
  <c r="AD487" i="20"/>
  <c r="AD491" i="20"/>
  <c r="AD495" i="20"/>
  <c r="AD499" i="20"/>
  <c r="AD503" i="20"/>
  <c r="AD507" i="20"/>
  <c r="AD511" i="20"/>
  <c r="AD515" i="20"/>
  <c r="AD519" i="20"/>
  <c r="AD523" i="20"/>
  <c r="AD527" i="20"/>
  <c r="AD531" i="20"/>
  <c r="AD535" i="20"/>
  <c r="AD539" i="20"/>
  <c r="AD543" i="20"/>
  <c r="AD547" i="20"/>
  <c r="AD551" i="20"/>
  <c r="AD555" i="20"/>
  <c r="AD559" i="20"/>
  <c r="AD563" i="20"/>
  <c r="AD567" i="20"/>
  <c r="AD571" i="20"/>
  <c r="AD575" i="20"/>
  <c r="AD579" i="20"/>
  <c r="AD583" i="20"/>
  <c r="AD587" i="20"/>
  <c r="AD591" i="20"/>
  <c r="AD595" i="20"/>
  <c r="AD599" i="20"/>
  <c r="AD603" i="20"/>
  <c r="AE459" i="20"/>
  <c r="AE463" i="20"/>
  <c r="AE467" i="20"/>
  <c r="AK52" i="20"/>
  <c r="AK61" i="20"/>
  <c r="AK69" i="20"/>
  <c r="AK77" i="20"/>
  <c r="AK85" i="20"/>
  <c r="AK93" i="20"/>
  <c r="AK101" i="20"/>
  <c r="AK109" i="20"/>
  <c r="AK117" i="20"/>
  <c r="AK125" i="20"/>
  <c r="AK133" i="20"/>
  <c r="AK141" i="20"/>
  <c r="AK149" i="20"/>
  <c r="AK157" i="20"/>
  <c r="AK165" i="20"/>
  <c r="AK173" i="20"/>
  <c r="AK181" i="20"/>
  <c r="AK189" i="20"/>
  <c r="AK197" i="20"/>
  <c r="AK205" i="20"/>
  <c r="AK213" i="20"/>
  <c r="AK221" i="20"/>
  <c r="AK229" i="20"/>
  <c r="AK237" i="20"/>
  <c r="AK245" i="20"/>
  <c r="AK253" i="20"/>
  <c r="AK261" i="20"/>
  <c r="AK269" i="20"/>
  <c r="AK277" i="20"/>
  <c r="AK285" i="20"/>
  <c r="AK293" i="20"/>
  <c r="AK301" i="20"/>
  <c r="AK309" i="20"/>
  <c r="AK317" i="20"/>
  <c r="AK325" i="20"/>
  <c r="AK333" i="20"/>
  <c r="AK341" i="20"/>
  <c r="AK349" i="20"/>
  <c r="AK357" i="20"/>
  <c r="AK365" i="20"/>
  <c r="AK373" i="20"/>
  <c r="AK381" i="20"/>
  <c r="AK389" i="20"/>
  <c r="AK397" i="20"/>
  <c r="AK405" i="20"/>
  <c r="AK413" i="20"/>
  <c r="AK421" i="20"/>
  <c r="AK429" i="20"/>
  <c r="AK437" i="20"/>
  <c r="AK445" i="20"/>
  <c r="AK453" i="20"/>
  <c r="AK461" i="20"/>
  <c r="AK469" i="20"/>
  <c r="AK477" i="20"/>
  <c r="AK485" i="20"/>
  <c r="AK493" i="20"/>
  <c r="AK501" i="20"/>
  <c r="AK509" i="20"/>
  <c r="AK517" i="20"/>
  <c r="AK525" i="20"/>
  <c r="AK533" i="20"/>
  <c r="AK541" i="20"/>
  <c r="AK549" i="20"/>
  <c r="AK557" i="20"/>
  <c r="AK565" i="20"/>
  <c r="AK573" i="20"/>
  <c r="AK581" i="20"/>
  <c r="AK589" i="20"/>
  <c r="AK597" i="20"/>
  <c r="AJ45" i="20"/>
  <c r="AJ602" i="20"/>
  <c r="X461" i="20"/>
  <c r="X465" i="20"/>
  <c r="X469" i="20"/>
  <c r="X473" i="20"/>
  <c r="X477" i="20"/>
  <c r="X481" i="20"/>
  <c r="X485" i="20"/>
  <c r="X489" i="20"/>
  <c r="X493" i="20"/>
  <c r="X497" i="20"/>
  <c r="X501" i="20"/>
  <c r="X505" i="20"/>
  <c r="X509" i="20"/>
  <c r="X513" i="20"/>
  <c r="X517" i="20"/>
  <c r="X521" i="20"/>
  <c r="X525" i="20"/>
  <c r="X529" i="20"/>
  <c r="X533" i="20"/>
  <c r="X537" i="20"/>
  <c r="X541" i="20"/>
  <c r="X545" i="20"/>
  <c r="X549" i="20"/>
  <c r="X553" i="20"/>
  <c r="X557" i="20"/>
  <c r="X561" i="20"/>
  <c r="X565" i="20"/>
  <c r="X569" i="20"/>
  <c r="X573" i="20"/>
  <c r="X577" i="20"/>
  <c r="X581" i="20"/>
  <c r="X585" i="20"/>
  <c r="X589" i="20"/>
  <c r="X593" i="20"/>
  <c r="X597" i="20"/>
  <c r="X601" i="20"/>
  <c r="Y457" i="20"/>
  <c r="Y462" i="20"/>
  <c r="Y466" i="20"/>
  <c r="Y470" i="20"/>
  <c r="Y474" i="20"/>
  <c r="Y478" i="20"/>
  <c r="Y482" i="20"/>
  <c r="Y486" i="20"/>
  <c r="Y490" i="20"/>
  <c r="Y494" i="20"/>
  <c r="Y498" i="20"/>
  <c r="Y502" i="20"/>
  <c r="Y506" i="20"/>
  <c r="Y510" i="20"/>
  <c r="Y514" i="20"/>
  <c r="Y518" i="20"/>
  <c r="Y522" i="20"/>
  <c r="Y526" i="20"/>
  <c r="Y530" i="20"/>
  <c r="Y534" i="20"/>
  <c r="Y538" i="20"/>
  <c r="Y542" i="20"/>
  <c r="Y546" i="20"/>
  <c r="Y550" i="20"/>
  <c r="Y554" i="20"/>
  <c r="Y558" i="20"/>
  <c r="Y562" i="20"/>
  <c r="Y566" i="20"/>
  <c r="Y570" i="20"/>
  <c r="Y574" i="20"/>
  <c r="Y578" i="20"/>
  <c r="Y582" i="20"/>
  <c r="Y586" i="20"/>
  <c r="Y590" i="20"/>
  <c r="Y594" i="20"/>
  <c r="Y598" i="20"/>
  <c r="Y602" i="20"/>
  <c r="Z458" i="20"/>
  <c r="Z463" i="20"/>
  <c r="Z467" i="20"/>
  <c r="Z471" i="20"/>
  <c r="Z475" i="20"/>
  <c r="Z479" i="20"/>
  <c r="Z483" i="20"/>
  <c r="Z487" i="20"/>
  <c r="Z491" i="20"/>
  <c r="Z495" i="20"/>
  <c r="Z499" i="20"/>
  <c r="Z503" i="20"/>
  <c r="Z507" i="20"/>
  <c r="Z511" i="20"/>
  <c r="Z515" i="20"/>
  <c r="Z519" i="20"/>
  <c r="Z523" i="20"/>
  <c r="Z527" i="20"/>
  <c r="Z531" i="20"/>
  <c r="Z535" i="20"/>
  <c r="Z539" i="20"/>
  <c r="Z543" i="20"/>
  <c r="Z547" i="20"/>
  <c r="Z551" i="20"/>
  <c r="Z555" i="20"/>
  <c r="Z559" i="20"/>
  <c r="Z563" i="20"/>
  <c r="Z567" i="20"/>
  <c r="Z571" i="20"/>
  <c r="Z575" i="20"/>
  <c r="Z579" i="20"/>
  <c r="Z583" i="20"/>
  <c r="Z587" i="20"/>
  <c r="Z591" i="20"/>
  <c r="Z595" i="20"/>
  <c r="Z599" i="20"/>
  <c r="Z603" i="20"/>
  <c r="AA460" i="20"/>
  <c r="AA464" i="20"/>
  <c r="AA468" i="20"/>
  <c r="AA472" i="20"/>
  <c r="AA476" i="20"/>
  <c r="AA480" i="20"/>
  <c r="AA484" i="20"/>
  <c r="AA488" i="20"/>
  <c r="AA492" i="20"/>
  <c r="AA496" i="20"/>
  <c r="AA500" i="20"/>
  <c r="AA504" i="20"/>
  <c r="AA508" i="20"/>
  <c r="AA512" i="20"/>
  <c r="AA516" i="20"/>
  <c r="AA520" i="20"/>
  <c r="AA524" i="20"/>
  <c r="AA528" i="20"/>
  <c r="AA532" i="20"/>
  <c r="AA536" i="20"/>
  <c r="AA540" i="20"/>
  <c r="AA544" i="20"/>
  <c r="AA548" i="20"/>
  <c r="AA552" i="20"/>
  <c r="AA556" i="20"/>
  <c r="AA560" i="20"/>
  <c r="AA564" i="20"/>
  <c r="AA568" i="20"/>
  <c r="AA572" i="20"/>
  <c r="AA576" i="20"/>
  <c r="AA580" i="20"/>
  <c r="AA584" i="20"/>
  <c r="AA588" i="20"/>
  <c r="AA592" i="20"/>
  <c r="AA596" i="20"/>
  <c r="AA600" i="20"/>
  <c r="AA604" i="20"/>
  <c r="AB461" i="20"/>
  <c r="AB465" i="20"/>
  <c r="AB469" i="20"/>
  <c r="AB473" i="20"/>
  <c r="AB477" i="20"/>
  <c r="AB481" i="20"/>
  <c r="AB485" i="20"/>
  <c r="AB489" i="20"/>
  <c r="AB493" i="20"/>
  <c r="AB497" i="20"/>
  <c r="AB501" i="20"/>
  <c r="AB505" i="20"/>
  <c r="AB509" i="20"/>
  <c r="AB513" i="20"/>
  <c r="AB517" i="20"/>
  <c r="AB521" i="20"/>
  <c r="AB525" i="20"/>
  <c r="AB529" i="20"/>
  <c r="AB533" i="20"/>
  <c r="AB537" i="20"/>
  <c r="AB541" i="20"/>
  <c r="AB545" i="20"/>
  <c r="AB549" i="20"/>
  <c r="AB553" i="20"/>
  <c r="AB557" i="20"/>
  <c r="AB561" i="20"/>
  <c r="AB565" i="20"/>
  <c r="AB569" i="20"/>
  <c r="AB573" i="20"/>
  <c r="AB577" i="20"/>
  <c r="AB581" i="20"/>
  <c r="AB585" i="20"/>
  <c r="AB589" i="20"/>
  <c r="AB593" i="20"/>
  <c r="AB597" i="20"/>
  <c r="AB601" i="20"/>
  <c r="AC457" i="20"/>
  <c r="AC462" i="20"/>
  <c r="AC466" i="20"/>
  <c r="AC470" i="20"/>
  <c r="AC474" i="20"/>
  <c r="AC478" i="20"/>
  <c r="AC482" i="20"/>
  <c r="AC486" i="20"/>
  <c r="AC490" i="20"/>
  <c r="AC494" i="20"/>
  <c r="AC498" i="20"/>
  <c r="AC502" i="20"/>
  <c r="AC506" i="20"/>
  <c r="AC510" i="20"/>
  <c r="AC514" i="20"/>
  <c r="AC518" i="20"/>
  <c r="AC522" i="20"/>
  <c r="AC526" i="20"/>
  <c r="AC530" i="20"/>
  <c r="AC534" i="20"/>
  <c r="AC538" i="20"/>
  <c r="AC542" i="20"/>
  <c r="AC546" i="20"/>
  <c r="AC550" i="20"/>
  <c r="AC554" i="20"/>
  <c r="AC558" i="20"/>
  <c r="AC562" i="20"/>
  <c r="AC566" i="20"/>
  <c r="AC570" i="20"/>
  <c r="AC574" i="20"/>
  <c r="AC578" i="20"/>
  <c r="AC582" i="20"/>
  <c r="AC586" i="20"/>
  <c r="AC590" i="20"/>
  <c r="AC594" i="20"/>
  <c r="AC598" i="20"/>
  <c r="AC602" i="20"/>
  <c r="AD458" i="20"/>
  <c r="AD462" i="20"/>
  <c r="AD466" i="20"/>
  <c r="AD470" i="20"/>
  <c r="AK47" i="20"/>
  <c r="AK65" i="20"/>
  <c r="AK81" i="20"/>
  <c r="AK97" i="20"/>
  <c r="AK113" i="20"/>
  <c r="AK129" i="20"/>
  <c r="AK145" i="20"/>
  <c r="AK161" i="20"/>
  <c r="AK177" i="20"/>
  <c r="AK193" i="20"/>
  <c r="AK209" i="20"/>
  <c r="AK225" i="20"/>
  <c r="AK241" i="20"/>
  <c r="AK257" i="20"/>
  <c r="AK273" i="20"/>
  <c r="AK289" i="20"/>
  <c r="AK305" i="20"/>
  <c r="AK321" i="20"/>
  <c r="AK337" i="20"/>
  <c r="AK353" i="20"/>
  <c r="AK369" i="20"/>
  <c r="AK385" i="20"/>
  <c r="AK401" i="20"/>
  <c r="AK417" i="20"/>
  <c r="AK433" i="20"/>
  <c r="AK449" i="20"/>
  <c r="AK465" i="20"/>
  <c r="AK481" i="20"/>
  <c r="AK497" i="20"/>
  <c r="AK513" i="20"/>
  <c r="AK529" i="20"/>
  <c r="AK545" i="20"/>
  <c r="AK561" i="20"/>
  <c r="AK577" i="20"/>
  <c r="AK593" i="20"/>
  <c r="AJ570" i="20"/>
  <c r="X463" i="20"/>
  <c r="X471" i="20"/>
  <c r="X479" i="20"/>
  <c r="X487" i="20"/>
  <c r="X495" i="20"/>
  <c r="X503" i="20"/>
  <c r="X511" i="20"/>
  <c r="X519" i="20"/>
  <c r="X527" i="20"/>
  <c r="X535" i="20"/>
  <c r="X543" i="20"/>
  <c r="X551" i="20"/>
  <c r="X559" i="20"/>
  <c r="X567" i="20"/>
  <c r="X575" i="20"/>
  <c r="X583" i="20"/>
  <c r="X591" i="20"/>
  <c r="X599" i="20"/>
  <c r="Y460" i="20"/>
  <c r="Y468" i="20"/>
  <c r="Y476" i="20"/>
  <c r="Y484" i="20"/>
  <c r="Y492" i="20"/>
  <c r="Y500" i="20"/>
  <c r="Y508" i="20"/>
  <c r="Y516" i="20"/>
  <c r="Y524" i="20"/>
  <c r="Y532" i="20"/>
  <c r="Y540" i="20"/>
  <c r="Y548" i="20"/>
  <c r="Y556" i="20"/>
  <c r="Y564" i="20"/>
  <c r="Y572" i="20"/>
  <c r="Y580" i="20"/>
  <c r="Y588" i="20"/>
  <c r="Y596" i="20"/>
  <c r="Y604" i="20"/>
  <c r="Z465" i="20"/>
  <c r="Z473" i="20"/>
  <c r="Z481" i="20"/>
  <c r="Z489" i="20"/>
  <c r="Z497" i="20"/>
  <c r="Z505" i="20"/>
  <c r="Z513" i="20"/>
  <c r="Z521" i="20"/>
  <c r="Z529" i="20"/>
  <c r="Z537" i="20"/>
  <c r="Z545" i="20"/>
  <c r="Z553" i="20"/>
  <c r="Z561" i="20"/>
  <c r="Z569" i="20"/>
  <c r="Z577" i="20"/>
  <c r="Z585" i="20"/>
  <c r="Z593" i="20"/>
  <c r="Z601" i="20"/>
  <c r="AA462" i="20"/>
  <c r="AA470" i="20"/>
  <c r="AA478" i="20"/>
  <c r="AA486" i="20"/>
  <c r="AA494" i="20"/>
  <c r="AA502" i="20"/>
  <c r="AA510" i="20"/>
  <c r="AA518" i="20"/>
  <c r="AA526" i="20"/>
  <c r="AA534" i="20"/>
  <c r="AA542" i="20"/>
  <c r="AA550" i="20"/>
  <c r="AA558" i="20"/>
  <c r="AA566" i="20"/>
  <c r="AA574" i="20"/>
  <c r="AA582" i="20"/>
  <c r="AA590" i="20"/>
  <c r="AA598" i="20"/>
  <c r="AB458" i="20"/>
  <c r="AB467" i="20"/>
  <c r="AB475" i="20"/>
  <c r="AB483" i="20"/>
  <c r="AB491" i="20"/>
  <c r="AB499" i="20"/>
  <c r="AB507" i="20"/>
  <c r="AB515" i="20"/>
  <c r="AB523" i="20"/>
  <c r="AB531" i="20"/>
  <c r="AB539" i="20"/>
  <c r="AB547" i="20"/>
  <c r="AB555" i="20"/>
  <c r="AB563" i="20"/>
  <c r="AB571" i="20"/>
  <c r="AB579" i="20"/>
  <c r="AB587" i="20"/>
  <c r="AB595" i="20"/>
  <c r="AB603" i="20"/>
  <c r="AC464" i="20"/>
  <c r="AC472" i="20"/>
  <c r="AC480" i="20"/>
  <c r="AC488" i="20"/>
  <c r="AC496" i="20"/>
  <c r="AC504" i="20"/>
  <c r="AC512" i="20"/>
  <c r="AC520" i="20"/>
  <c r="AC528" i="20"/>
  <c r="AC536" i="20"/>
  <c r="AC544" i="20"/>
  <c r="AC552" i="20"/>
  <c r="AC560" i="20"/>
  <c r="AC568" i="20"/>
  <c r="AC576" i="20"/>
  <c r="AC584" i="20"/>
  <c r="AC592" i="20"/>
  <c r="AC600" i="20"/>
  <c r="AD460" i="20"/>
  <c r="AD468" i="20"/>
  <c r="AD474" i="20"/>
  <c r="AD480" i="20"/>
  <c r="AD485" i="20"/>
  <c r="AD490" i="20"/>
  <c r="AD496" i="20"/>
  <c r="AD501" i="20"/>
  <c r="AD506" i="20"/>
  <c r="AD512" i="20"/>
  <c r="AD517" i="20"/>
  <c r="AD522" i="20"/>
  <c r="AD528" i="20"/>
  <c r="AD533" i="20"/>
  <c r="AD538" i="20"/>
  <c r="AD544" i="20"/>
  <c r="AD549" i="20"/>
  <c r="AD554" i="20"/>
  <c r="AD560" i="20"/>
  <c r="AD565" i="20"/>
  <c r="AD570" i="20"/>
  <c r="AD576" i="20"/>
  <c r="AD581" i="20"/>
  <c r="AD586" i="20"/>
  <c r="AD592" i="20"/>
  <c r="AD597" i="20"/>
  <c r="AD602" i="20"/>
  <c r="AE460" i="20"/>
  <c r="AE465" i="20"/>
  <c r="AE470" i="20"/>
  <c r="AE474" i="20"/>
  <c r="AE478" i="20"/>
  <c r="AE482" i="20"/>
  <c r="AE486" i="20"/>
  <c r="AE490" i="20"/>
  <c r="AE494" i="20"/>
  <c r="AE498" i="20"/>
  <c r="AE502" i="20"/>
  <c r="AE506" i="20"/>
  <c r="AE510" i="20"/>
  <c r="AE514" i="20"/>
  <c r="AE518" i="20"/>
  <c r="AE522" i="20"/>
  <c r="AE526" i="20"/>
  <c r="AE530" i="20"/>
  <c r="AE534" i="20"/>
  <c r="AE538" i="20"/>
  <c r="AE542" i="20"/>
  <c r="AE546" i="20"/>
  <c r="AE550" i="20"/>
  <c r="AE554" i="20"/>
  <c r="AE558" i="20"/>
  <c r="AE562" i="20"/>
  <c r="AE566" i="20"/>
  <c r="AE570" i="20"/>
  <c r="AE574" i="20"/>
  <c r="AE578" i="20"/>
  <c r="AE582" i="20"/>
  <c r="AE586" i="20"/>
  <c r="AE590" i="20"/>
  <c r="AE594" i="20"/>
  <c r="AE598" i="20"/>
  <c r="AE602" i="20"/>
  <c r="AF458" i="20"/>
  <c r="AF462" i="20"/>
  <c r="AF466" i="20"/>
  <c r="AF470" i="20"/>
  <c r="AF474" i="20"/>
  <c r="AF478" i="20"/>
  <c r="AF482" i="20"/>
  <c r="AF486" i="20"/>
  <c r="AF490" i="20"/>
  <c r="AF494" i="20"/>
  <c r="AF498" i="20"/>
  <c r="AF502" i="20"/>
  <c r="AF506" i="20"/>
  <c r="AF510" i="20"/>
  <c r="AF514" i="20"/>
  <c r="AF518" i="20"/>
  <c r="AF522" i="20"/>
  <c r="AF526" i="20"/>
  <c r="AF530" i="20"/>
  <c r="AF534" i="20"/>
  <c r="AF538" i="20"/>
  <c r="AF542" i="20"/>
  <c r="AF546" i="20"/>
  <c r="AF550" i="20"/>
  <c r="AF554" i="20"/>
  <c r="AF558" i="20"/>
  <c r="AF562" i="20"/>
  <c r="AF566" i="20"/>
  <c r="AF570" i="20"/>
  <c r="AF574" i="20"/>
  <c r="AF578" i="20"/>
  <c r="AF582" i="20"/>
  <c r="AF586" i="20"/>
  <c r="AF590" i="20"/>
  <c r="AF594" i="20"/>
  <c r="AF598" i="20"/>
  <c r="AF602" i="20"/>
  <c r="AG458" i="20"/>
  <c r="AG462" i="20"/>
  <c r="AG466" i="20"/>
  <c r="AG470" i="20"/>
  <c r="AG474" i="20"/>
  <c r="AG478" i="20"/>
  <c r="AG482" i="20"/>
  <c r="AG486" i="20"/>
  <c r="AG490" i="20"/>
  <c r="AG494" i="20"/>
  <c r="AG498" i="20"/>
  <c r="AG502" i="20"/>
  <c r="AG506" i="20"/>
  <c r="AG510" i="20"/>
  <c r="AG514" i="20"/>
  <c r="AG518" i="20"/>
  <c r="AG522" i="20"/>
  <c r="AG526" i="20"/>
  <c r="AG530" i="20"/>
  <c r="AG534" i="20"/>
  <c r="AG538" i="20"/>
  <c r="AG542" i="20"/>
  <c r="AG546" i="20"/>
  <c r="AG550" i="20"/>
  <c r="AG554" i="20"/>
  <c r="AG558" i="20"/>
  <c r="AG562" i="20"/>
  <c r="AG566" i="20"/>
  <c r="AG570" i="20"/>
  <c r="AG574" i="20"/>
  <c r="AG578" i="20"/>
  <c r="AG582" i="20"/>
  <c r="AG586" i="20"/>
  <c r="AG590" i="20"/>
  <c r="AG594" i="20"/>
  <c r="AG598" i="20"/>
  <c r="AG602" i="20"/>
  <c r="AH458" i="20"/>
  <c r="AH462" i="20"/>
  <c r="AK60" i="20"/>
  <c r="AK76" i="20"/>
  <c r="AK92" i="20"/>
  <c r="AK108" i="20"/>
  <c r="AK124" i="20"/>
  <c r="AK140" i="20"/>
  <c r="AK156" i="20"/>
  <c r="AK172" i="20"/>
  <c r="AK188" i="20"/>
  <c r="AK204" i="20"/>
  <c r="AK220" i="20"/>
  <c r="AK236" i="20"/>
  <c r="AK252" i="20"/>
  <c r="AK268" i="20"/>
  <c r="AK284" i="20"/>
  <c r="N15" i="37" s="1"/>
  <c r="AK300" i="20"/>
  <c r="AK316" i="20"/>
  <c r="AK332" i="20"/>
  <c r="AK348" i="20"/>
  <c r="AK364" i="20"/>
  <c r="AK380" i="20"/>
  <c r="AK396" i="20"/>
  <c r="AK412" i="20"/>
  <c r="AK428" i="20"/>
  <c r="AK444" i="20"/>
  <c r="AK460" i="20"/>
  <c r="AK476" i="20"/>
  <c r="AK492" i="20"/>
  <c r="AK508" i="20"/>
  <c r="AK524" i="20"/>
  <c r="AK540" i="20"/>
  <c r="AK556" i="20"/>
  <c r="AK572" i="20"/>
  <c r="AK588" i="20"/>
  <c r="AK604" i="20"/>
  <c r="X460" i="20"/>
  <c r="X468" i="20"/>
  <c r="X476" i="20"/>
  <c r="X484" i="20"/>
  <c r="X492" i="20"/>
  <c r="X500" i="20"/>
  <c r="X508" i="20"/>
  <c r="X516" i="20"/>
  <c r="X524" i="20"/>
  <c r="X532" i="20"/>
  <c r="X540" i="20"/>
  <c r="X548" i="20"/>
  <c r="X556" i="20"/>
  <c r="X564" i="20"/>
  <c r="X572" i="20"/>
  <c r="X580" i="20"/>
  <c r="X588" i="20"/>
  <c r="X596" i="20"/>
  <c r="X604" i="20"/>
  <c r="Y465" i="20"/>
  <c r="Y473" i="20"/>
  <c r="Y481" i="20"/>
  <c r="Y489" i="20"/>
  <c r="Y497" i="20"/>
  <c r="Y505" i="20"/>
  <c r="Y513" i="20"/>
  <c r="Y521" i="20"/>
  <c r="Y529" i="20"/>
  <c r="Y537" i="20"/>
  <c r="Y545" i="20"/>
  <c r="Y553" i="20"/>
  <c r="Y561" i="20"/>
  <c r="Y569" i="20"/>
  <c r="Y577" i="20"/>
  <c r="Y585" i="20"/>
  <c r="Y593" i="20"/>
  <c r="Y601" i="20"/>
  <c r="Z462" i="20"/>
  <c r="Z470" i="20"/>
  <c r="Z478" i="20"/>
  <c r="Z486" i="20"/>
  <c r="Z494" i="20"/>
  <c r="Z502" i="20"/>
  <c r="Z510" i="20"/>
  <c r="Z518" i="20"/>
  <c r="Z526" i="20"/>
  <c r="Z534" i="20"/>
  <c r="Z542" i="20"/>
  <c r="Z550" i="20"/>
  <c r="Z558" i="20"/>
  <c r="Z566" i="20"/>
  <c r="Z574" i="20"/>
  <c r="Z582" i="20"/>
  <c r="Z590" i="20"/>
  <c r="Z598" i="20"/>
  <c r="AA458" i="20"/>
  <c r="AA467" i="20"/>
  <c r="AA475" i="20"/>
  <c r="AA483" i="20"/>
  <c r="AA491" i="20"/>
  <c r="AA499" i="20"/>
  <c r="AA507" i="20"/>
  <c r="AA515" i="20"/>
  <c r="AA523" i="20"/>
  <c r="AA531" i="20"/>
  <c r="AA539" i="20"/>
  <c r="AA547" i="20"/>
  <c r="AA555" i="20"/>
  <c r="AA563" i="20"/>
  <c r="AA571" i="20"/>
  <c r="AA579" i="20"/>
  <c r="AA587" i="20"/>
  <c r="AA595" i="20"/>
  <c r="AA603" i="20"/>
  <c r="AB464" i="20"/>
  <c r="AB472" i="20"/>
  <c r="AB480" i="20"/>
  <c r="AB488" i="20"/>
  <c r="AB496" i="20"/>
  <c r="AB504" i="20"/>
  <c r="AB512" i="20"/>
  <c r="AB520" i="20"/>
  <c r="AB528" i="20"/>
  <c r="AB536" i="20"/>
  <c r="AB544" i="20"/>
  <c r="AB552" i="20"/>
  <c r="AB560" i="20"/>
  <c r="AB568" i="20"/>
  <c r="AB576" i="20"/>
  <c r="AB584" i="20"/>
  <c r="AB592" i="20"/>
  <c r="AB600" i="20"/>
  <c r="AC461" i="20"/>
  <c r="AC469" i="20"/>
  <c r="AC477" i="20"/>
  <c r="AC485" i="20"/>
  <c r="AC493" i="20"/>
  <c r="AC501" i="20"/>
  <c r="AC509" i="20"/>
  <c r="AC517" i="20"/>
  <c r="AC525" i="20"/>
  <c r="AC533" i="20"/>
  <c r="AC541" i="20"/>
  <c r="AC549" i="20"/>
  <c r="AC557" i="20"/>
  <c r="AC565" i="20"/>
  <c r="AC573" i="20"/>
  <c r="AC581" i="20"/>
  <c r="AC589" i="20"/>
  <c r="AC597" i="20"/>
  <c r="AD457" i="20"/>
  <c r="AD465" i="20"/>
  <c r="AD473" i="20"/>
  <c r="AD478" i="20"/>
  <c r="AD484" i="20"/>
  <c r="AD489" i="20"/>
  <c r="AD494" i="20"/>
  <c r="AD500" i="20"/>
  <c r="AD505" i="20"/>
  <c r="AD510" i="20"/>
  <c r="AD516" i="20"/>
  <c r="AD521" i="20"/>
  <c r="AD526" i="20"/>
  <c r="AD532" i="20"/>
  <c r="AD537" i="20"/>
  <c r="AD542" i="20"/>
  <c r="AD548" i="20"/>
  <c r="AD553" i="20"/>
  <c r="AD558" i="20"/>
  <c r="AD564" i="20"/>
  <c r="AD569" i="20"/>
  <c r="AD574" i="20"/>
  <c r="AD580" i="20"/>
  <c r="AD585" i="20"/>
  <c r="AD590" i="20"/>
  <c r="AD596" i="20"/>
  <c r="AD601" i="20"/>
  <c r="AE458" i="20"/>
  <c r="AE464" i="20"/>
  <c r="AE469" i="20"/>
  <c r="AE473" i="20"/>
  <c r="AE477" i="20"/>
  <c r="AE481" i="20"/>
  <c r="AE485" i="20"/>
  <c r="AE489" i="20"/>
  <c r="AE493" i="20"/>
  <c r="AE497" i="20"/>
  <c r="AE501" i="20"/>
  <c r="AE505" i="20"/>
  <c r="AE509" i="20"/>
  <c r="AE513" i="20"/>
  <c r="AE517" i="20"/>
  <c r="AE521" i="20"/>
  <c r="AE525" i="20"/>
  <c r="AE529" i="20"/>
  <c r="AE533" i="20"/>
  <c r="AE537" i="20"/>
  <c r="AE541" i="20"/>
  <c r="AE545" i="20"/>
  <c r="AE549" i="20"/>
  <c r="AE553" i="20"/>
  <c r="AE557" i="20"/>
  <c r="AE561" i="20"/>
  <c r="AE565" i="20"/>
  <c r="AE569" i="20"/>
  <c r="AE573" i="20"/>
  <c r="AE577" i="20"/>
  <c r="AE581" i="20"/>
  <c r="AE585" i="20"/>
  <c r="AE589" i="20"/>
  <c r="AE593" i="20"/>
  <c r="AE597" i="20"/>
  <c r="AE601" i="20"/>
  <c r="AF457" i="20"/>
  <c r="AF461" i="20"/>
  <c r="AF465" i="20"/>
  <c r="AF469" i="20"/>
  <c r="AF473" i="20"/>
  <c r="AF477" i="20"/>
  <c r="AF481" i="20"/>
  <c r="AF485" i="20"/>
  <c r="AF489" i="20"/>
  <c r="AF493" i="20"/>
  <c r="AF497" i="20"/>
  <c r="AF501" i="20"/>
  <c r="AF505" i="20"/>
  <c r="AF509" i="20"/>
  <c r="AF513" i="20"/>
  <c r="AF517" i="20"/>
  <c r="AF521" i="20"/>
  <c r="AF525" i="20"/>
  <c r="AF529" i="20"/>
  <c r="AF533" i="20"/>
  <c r="AF537" i="20"/>
  <c r="AF541" i="20"/>
  <c r="AF545" i="20"/>
  <c r="AF549" i="20"/>
  <c r="AF553" i="20"/>
  <c r="AF557" i="20"/>
  <c r="AF561" i="20"/>
  <c r="AF565" i="20"/>
  <c r="AF569" i="20"/>
  <c r="AF573" i="20"/>
  <c r="AF577" i="20"/>
  <c r="AF581" i="20"/>
  <c r="AF585" i="20"/>
  <c r="AF589" i="20"/>
  <c r="AF593" i="20"/>
  <c r="AF597" i="20"/>
  <c r="AF601" i="20"/>
  <c r="AG457" i="20"/>
  <c r="AG461" i="20"/>
  <c r="AG465" i="20"/>
  <c r="AG469" i="20"/>
  <c r="AG473" i="20"/>
  <c r="AG477" i="20"/>
  <c r="AG481" i="20"/>
  <c r="AG485" i="20"/>
  <c r="AG489" i="20"/>
  <c r="AG493" i="20"/>
  <c r="AG497" i="20"/>
  <c r="AG501" i="20"/>
  <c r="AG505" i="20"/>
  <c r="AG509" i="20"/>
  <c r="AG513" i="20"/>
  <c r="AG517" i="20"/>
  <c r="AG521" i="20"/>
  <c r="AG525" i="20"/>
  <c r="AG529" i="20"/>
  <c r="AG533" i="20"/>
  <c r="AG537" i="20"/>
  <c r="AG541" i="20"/>
  <c r="AG545" i="20"/>
  <c r="AG549" i="20"/>
  <c r="AG553" i="20"/>
  <c r="AG557" i="20"/>
  <c r="AG561" i="20"/>
  <c r="AG565" i="20"/>
  <c r="AG569" i="20"/>
  <c r="AG573" i="20"/>
  <c r="AG577" i="20"/>
  <c r="AG581" i="20"/>
  <c r="AG585" i="20"/>
  <c r="AG589" i="20"/>
  <c r="AG593" i="20"/>
  <c r="AG597" i="20"/>
  <c r="AG601" i="20"/>
  <c r="AH457" i="20"/>
  <c r="AH461" i="20"/>
  <c r="AH465" i="20"/>
  <c r="AH469" i="20"/>
  <c r="AH473" i="20"/>
  <c r="AH477" i="20"/>
  <c r="AH481" i="20"/>
  <c r="AH485" i="20"/>
  <c r="AH489" i="20"/>
  <c r="AH493" i="20"/>
  <c r="AH497" i="20"/>
  <c r="AH501" i="20"/>
  <c r="AH505" i="20"/>
  <c r="AH509" i="20"/>
  <c r="AH513" i="20"/>
  <c r="AH517" i="20"/>
  <c r="AH521" i="20"/>
  <c r="AH525" i="20"/>
  <c r="AH529" i="20"/>
  <c r="AH533" i="20"/>
  <c r="AH537" i="20"/>
  <c r="AH541" i="20"/>
  <c r="AH545" i="20"/>
  <c r="AH549" i="20"/>
  <c r="AH553" i="20"/>
  <c r="AK51" i="20"/>
  <c r="AK84" i="20"/>
  <c r="AK116" i="20"/>
  <c r="AK148" i="20"/>
  <c r="AK180" i="20"/>
  <c r="AK212" i="20"/>
  <c r="AK244" i="20"/>
  <c r="AK276" i="20"/>
  <c r="AK308" i="20"/>
  <c r="AK340" i="20"/>
  <c r="AK372" i="20"/>
  <c r="AK404" i="20"/>
  <c r="AK436" i="20"/>
  <c r="AK468" i="20"/>
  <c r="AK500" i="20"/>
  <c r="AK532" i="20"/>
  <c r="AK564" i="20"/>
  <c r="AK596" i="20"/>
  <c r="X464" i="20"/>
  <c r="X480" i="20"/>
  <c r="X496" i="20"/>
  <c r="X512" i="20"/>
  <c r="X528" i="20"/>
  <c r="X544" i="20"/>
  <c r="X560" i="20"/>
  <c r="X576" i="20"/>
  <c r="X592" i="20"/>
  <c r="Y461" i="20"/>
  <c r="Y477" i="20"/>
  <c r="Y493" i="20"/>
  <c r="Y509" i="20"/>
  <c r="Y525" i="20"/>
  <c r="Y541" i="20"/>
  <c r="Y557" i="20"/>
  <c r="Y573" i="20"/>
  <c r="Y589" i="20"/>
  <c r="Z457" i="20"/>
  <c r="Z474" i="20"/>
  <c r="Z490" i="20"/>
  <c r="Z506" i="20"/>
  <c r="Z522" i="20"/>
  <c r="Z538" i="20"/>
  <c r="Z554" i="20"/>
  <c r="Z570" i="20"/>
  <c r="Z586" i="20"/>
  <c r="Z602" i="20"/>
  <c r="AA471" i="20"/>
  <c r="AA487" i="20"/>
  <c r="AA503" i="20"/>
  <c r="AA519" i="20"/>
  <c r="AA535" i="20"/>
  <c r="AA551" i="20"/>
  <c r="AA567" i="20"/>
  <c r="AA583" i="20"/>
  <c r="AA599" i="20"/>
  <c r="AB468" i="20"/>
  <c r="AB484" i="20"/>
  <c r="AB500" i="20"/>
  <c r="AB516" i="20"/>
  <c r="AB532" i="20"/>
  <c r="AB548" i="20"/>
  <c r="AB564" i="20"/>
  <c r="AB580" i="20"/>
  <c r="AB596" i="20"/>
  <c r="AC465" i="20"/>
  <c r="AC481" i="20"/>
  <c r="AC497" i="20"/>
  <c r="AC513" i="20"/>
  <c r="AC529" i="20"/>
  <c r="AC545" i="20"/>
  <c r="AC561" i="20"/>
  <c r="AC577" i="20"/>
  <c r="AC593" i="20"/>
  <c r="AD461" i="20"/>
  <c r="AD476" i="20"/>
  <c r="AD486" i="20"/>
  <c r="AD497" i="20"/>
  <c r="AD508" i="20"/>
  <c r="AD518" i="20"/>
  <c r="AD529" i="20"/>
  <c r="AD540" i="20"/>
  <c r="AD550" i="20"/>
  <c r="AD561" i="20"/>
  <c r="AD572" i="20"/>
  <c r="AD582" i="20"/>
  <c r="AD593" i="20"/>
  <c r="AD604" i="20"/>
  <c r="AE466" i="20"/>
  <c r="AE475" i="20"/>
  <c r="AE483" i="20"/>
  <c r="AE491" i="20"/>
  <c r="AE499" i="20"/>
  <c r="AE507" i="20"/>
  <c r="AE515" i="20"/>
  <c r="AE523" i="20"/>
  <c r="AE531" i="20"/>
  <c r="AE539" i="20"/>
  <c r="AE547" i="20"/>
  <c r="AE555" i="20"/>
  <c r="AE563" i="20"/>
  <c r="AE571" i="20"/>
  <c r="AE579" i="20"/>
  <c r="AE587" i="20"/>
  <c r="AE595" i="20"/>
  <c r="AE603" i="20"/>
  <c r="AF463" i="20"/>
  <c r="AF471" i="20"/>
  <c r="AF479" i="20"/>
  <c r="AF487" i="20"/>
  <c r="AF495" i="20"/>
  <c r="AF503" i="20"/>
  <c r="AF511" i="20"/>
  <c r="AF519" i="20"/>
  <c r="AF527" i="20"/>
  <c r="AF535" i="20"/>
  <c r="AF543" i="20"/>
  <c r="AF551" i="20"/>
  <c r="AF559" i="20"/>
  <c r="AF567" i="20"/>
  <c r="AF575" i="20"/>
  <c r="AF583" i="20"/>
  <c r="AF591" i="20"/>
  <c r="AF599" i="20"/>
  <c r="AG459" i="20"/>
  <c r="AG467" i="20"/>
  <c r="AG475" i="20"/>
  <c r="AG483" i="20"/>
  <c r="AG491" i="20"/>
  <c r="AG499" i="20"/>
  <c r="AG507" i="20"/>
  <c r="AG515" i="20"/>
  <c r="AG523" i="20"/>
  <c r="AG531" i="20"/>
  <c r="AG539" i="20"/>
  <c r="AG547" i="20"/>
  <c r="AG555" i="20"/>
  <c r="AG563" i="20"/>
  <c r="AG571" i="20"/>
  <c r="AG579" i="20"/>
  <c r="AG587" i="20"/>
  <c r="AG595" i="20"/>
  <c r="AG603" i="20"/>
  <c r="AH463" i="20"/>
  <c r="AH468" i="20"/>
  <c r="AH474" i="20"/>
  <c r="AH479" i="20"/>
  <c r="AH484" i="20"/>
  <c r="AH490" i="20"/>
  <c r="AH495" i="20"/>
  <c r="AH500" i="20"/>
  <c r="AH506" i="20"/>
  <c r="AH511" i="20"/>
  <c r="AH516" i="20"/>
  <c r="AH522" i="20"/>
  <c r="AH527" i="20"/>
  <c r="AH532" i="20"/>
  <c r="AH538" i="20"/>
  <c r="AH543" i="20"/>
  <c r="AH548" i="20"/>
  <c r="AH554" i="20"/>
  <c r="AH558" i="20"/>
  <c r="AH562" i="20"/>
  <c r="AH566" i="20"/>
  <c r="AH570" i="20"/>
  <c r="AH574" i="20"/>
  <c r="AH578" i="20"/>
  <c r="AH582" i="20"/>
  <c r="AH586" i="20"/>
  <c r="AH590" i="20"/>
  <c r="AH594" i="20"/>
  <c r="AH598" i="20"/>
  <c r="AH602" i="20"/>
  <c r="AK89" i="20"/>
  <c r="AK441" i="20"/>
  <c r="AK537" i="20"/>
  <c r="X467" i="20"/>
  <c r="X515" i="20"/>
  <c r="X547" i="20"/>
  <c r="X595" i="20"/>
  <c r="Y496" i="20"/>
  <c r="Y528" i="20"/>
  <c r="Y576" i="20"/>
  <c r="Z461" i="20"/>
  <c r="Z509" i="20"/>
  <c r="Z541" i="20"/>
  <c r="Z573" i="20"/>
  <c r="AA474" i="20"/>
  <c r="AA506" i="20"/>
  <c r="AA538" i="20"/>
  <c r="AA586" i="20"/>
  <c r="AB471" i="20"/>
  <c r="AB503" i="20"/>
  <c r="AB535" i="20"/>
  <c r="AB583" i="20"/>
  <c r="AC468" i="20"/>
  <c r="AC500" i="20"/>
  <c r="AC532" i="20"/>
  <c r="AC564" i="20"/>
  <c r="AD464" i="20"/>
  <c r="AD488" i="20"/>
  <c r="AD509" i="20"/>
  <c r="AD541" i="20"/>
  <c r="AD562" i="20"/>
  <c r="AD594" i="20"/>
  <c r="AE468" i="20"/>
  <c r="AE492" i="20"/>
  <c r="AE508" i="20"/>
  <c r="AE532" i="20"/>
  <c r="AE556" i="20"/>
  <c r="AE580" i="20"/>
  <c r="AE596" i="20"/>
  <c r="AF472" i="20"/>
  <c r="AF488" i="20"/>
  <c r="AF512" i="20"/>
  <c r="AF536" i="20"/>
  <c r="AF560" i="20"/>
  <c r="AF576" i="20"/>
  <c r="AF600" i="20"/>
  <c r="AG468" i="20"/>
  <c r="AG484" i="20"/>
  <c r="AG508" i="20"/>
  <c r="AG524" i="20"/>
  <c r="AG548" i="20"/>
  <c r="AG572" i="20"/>
  <c r="AG588" i="20"/>
  <c r="AH464" i="20"/>
  <c r="AH480" i="20"/>
  <c r="AH491" i="20"/>
  <c r="AH507" i="20"/>
  <c r="AH518" i="20"/>
  <c r="AH534" i="20"/>
  <c r="AH544" i="20"/>
  <c r="AH555" i="20"/>
  <c r="AH567" i="20"/>
  <c r="AH575" i="20"/>
  <c r="AH587" i="20"/>
  <c r="AH595" i="20"/>
  <c r="AH603" i="20"/>
  <c r="AK132" i="20"/>
  <c r="Y469" i="20"/>
  <c r="Y597" i="20"/>
  <c r="Z498" i="20"/>
  <c r="Z530" i="20"/>
  <c r="Z578" i="20"/>
  <c r="AA463" i="20"/>
  <c r="AA495" i="20"/>
  <c r="AA543" i="20"/>
  <c r="AA575" i="20"/>
  <c r="AB460" i="20"/>
  <c r="AB508" i="20"/>
  <c r="AB540" i="20"/>
  <c r="AB588" i="20"/>
  <c r="AC473" i="20"/>
  <c r="AC505" i="20"/>
  <c r="AC553" i="20"/>
  <c r="AC585" i="20"/>
  <c r="AD469" i="20"/>
  <c r="AD492" i="20"/>
  <c r="AD513" i="20"/>
  <c r="AD534" i="20"/>
  <c r="AE461" i="20"/>
  <c r="AE479" i="20"/>
  <c r="AE503" i="20"/>
  <c r="AE519" i="20"/>
  <c r="AE543" i="20"/>
  <c r="AE559" i="20"/>
  <c r="AE583" i="20"/>
  <c r="AE599" i="20"/>
  <c r="AF475" i="20"/>
  <c r="AF491" i="20"/>
  <c r="AF507" i="20"/>
  <c r="AF523" i="20"/>
  <c r="AF547" i="20"/>
  <c r="AF563" i="20"/>
  <c r="AF579" i="20"/>
  <c r="AF595" i="20"/>
  <c r="AG463" i="20"/>
  <c r="AG479" i="20"/>
  <c r="AG503" i="20"/>
  <c r="AG519" i="20"/>
  <c r="AG543" i="20"/>
  <c r="AG559" i="20"/>
  <c r="AG575" i="20"/>
  <c r="AG599" i="20"/>
  <c r="AH466" i="20"/>
  <c r="AH476" i="20"/>
  <c r="AH492" i="20"/>
  <c r="AH503" i="20"/>
  <c r="AH514" i="20"/>
  <c r="AH530" i="20"/>
  <c r="AH540" i="20"/>
  <c r="AH551" i="20"/>
  <c r="AH564" i="20"/>
  <c r="AH572" i="20"/>
  <c r="AH580" i="20"/>
  <c r="AH588" i="20"/>
  <c r="AH600" i="20"/>
  <c r="AK73" i="20"/>
  <c r="AK105" i="20"/>
  <c r="AK137" i="20"/>
  <c r="AK169" i="20"/>
  <c r="AK201" i="20"/>
  <c r="AK233" i="20"/>
  <c r="AK265" i="20"/>
  <c r="AK297" i="20"/>
  <c r="AK329" i="20"/>
  <c r="AK361" i="20"/>
  <c r="AK393" i="20"/>
  <c r="AK425" i="20"/>
  <c r="AK457" i="20"/>
  <c r="AK489" i="20"/>
  <c r="AK521" i="20"/>
  <c r="AK553" i="20"/>
  <c r="AK585" i="20"/>
  <c r="X458" i="20"/>
  <c r="X475" i="20"/>
  <c r="X491" i="20"/>
  <c r="X507" i="20"/>
  <c r="X523" i="20"/>
  <c r="X539" i="20"/>
  <c r="X555" i="20"/>
  <c r="X571" i="20"/>
  <c r="X587" i="20"/>
  <c r="X603" i="20"/>
  <c r="Y472" i="20"/>
  <c r="Y488" i="20"/>
  <c r="Y504" i="20"/>
  <c r="Y520" i="20"/>
  <c r="Y536" i="20"/>
  <c r="Y552" i="20"/>
  <c r="Y568" i="20"/>
  <c r="Y584" i="20"/>
  <c r="Y600" i="20"/>
  <c r="Z469" i="20"/>
  <c r="Z485" i="20"/>
  <c r="Z501" i="20"/>
  <c r="Z517" i="20"/>
  <c r="Z533" i="20"/>
  <c r="Z549" i="20"/>
  <c r="Z565" i="20"/>
  <c r="Z581" i="20"/>
  <c r="Z597" i="20"/>
  <c r="AA466" i="20"/>
  <c r="AA482" i="20"/>
  <c r="AA498" i="20"/>
  <c r="AA514" i="20"/>
  <c r="AA530" i="20"/>
  <c r="AA546" i="20"/>
  <c r="AA562" i="20"/>
  <c r="AA578" i="20"/>
  <c r="AA594" i="20"/>
  <c r="AB463" i="20"/>
  <c r="AB479" i="20"/>
  <c r="AB495" i="20"/>
  <c r="AB511" i="20"/>
  <c r="AB527" i="20"/>
  <c r="AB543" i="20"/>
  <c r="AB559" i="20"/>
  <c r="AB575" i="20"/>
  <c r="AB591" i="20"/>
  <c r="AC460" i="20"/>
  <c r="AC476" i="20"/>
  <c r="AC492" i="20"/>
  <c r="AC508" i="20"/>
  <c r="AC524" i="20"/>
  <c r="AC540" i="20"/>
  <c r="AC556" i="20"/>
  <c r="AC572" i="20"/>
  <c r="AC588" i="20"/>
  <c r="AC604" i="20"/>
  <c r="AD472" i="20"/>
  <c r="AD482" i="20"/>
  <c r="AD493" i="20"/>
  <c r="AD504" i="20"/>
  <c r="AD514" i="20"/>
  <c r="AD525" i="20"/>
  <c r="AD536" i="20"/>
  <c r="AD546" i="20"/>
  <c r="AD557" i="20"/>
  <c r="AD568" i="20"/>
  <c r="AD578" i="20"/>
  <c r="AD589" i="20"/>
  <c r="AD600" i="20"/>
  <c r="AE462" i="20"/>
  <c r="AE472" i="20"/>
  <c r="AE480" i="20"/>
  <c r="AE488" i="20"/>
  <c r="AE496" i="20"/>
  <c r="AE504" i="20"/>
  <c r="AE512" i="20"/>
  <c r="AE520" i="20"/>
  <c r="AE528" i="20"/>
  <c r="AE536" i="20"/>
  <c r="AE544" i="20"/>
  <c r="AE552" i="20"/>
  <c r="AE560" i="20"/>
  <c r="AE568" i="20"/>
  <c r="AE576" i="20"/>
  <c r="AE584" i="20"/>
  <c r="AE592" i="20"/>
  <c r="AE600" i="20"/>
  <c r="AF460" i="20"/>
  <c r="AF468" i="20"/>
  <c r="AF476" i="20"/>
  <c r="AF484" i="20"/>
  <c r="AF492" i="20"/>
  <c r="AF500" i="20"/>
  <c r="AF508" i="20"/>
  <c r="AF516" i="20"/>
  <c r="AF524" i="20"/>
  <c r="AF532" i="20"/>
  <c r="AF540" i="20"/>
  <c r="AF548" i="20"/>
  <c r="AF556" i="20"/>
  <c r="AF564" i="20"/>
  <c r="AF572" i="20"/>
  <c r="AF580" i="20"/>
  <c r="AF588" i="20"/>
  <c r="AF596" i="20"/>
  <c r="AF604" i="20"/>
  <c r="AG464" i="20"/>
  <c r="AG472" i="20"/>
  <c r="AG480" i="20"/>
  <c r="AG488" i="20"/>
  <c r="AG496" i="20"/>
  <c r="AG504" i="20"/>
  <c r="AG512" i="20"/>
  <c r="AG520" i="20"/>
  <c r="AG528" i="20"/>
  <c r="AG536" i="20"/>
  <c r="AG544" i="20"/>
  <c r="AG552" i="20"/>
  <c r="AG560" i="20"/>
  <c r="AG568" i="20"/>
  <c r="AG576" i="20"/>
  <c r="AG584" i="20"/>
  <c r="AG592" i="20"/>
  <c r="AG600" i="20"/>
  <c r="AH460" i="20"/>
  <c r="AH467" i="20"/>
  <c r="AH472" i="20"/>
  <c r="AH478" i="20"/>
  <c r="AH483" i="20"/>
  <c r="AH488" i="20"/>
  <c r="AH494" i="20"/>
  <c r="AH499" i="20"/>
  <c r="AH504" i="20"/>
  <c r="AH510" i="20"/>
  <c r="AH515" i="20"/>
  <c r="AH520" i="20"/>
  <c r="AH526" i="20"/>
  <c r="AH531" i="20"/>
  <c r="AH536" i="20"/>
  <c r="AH542" i="20"/>
  <c r="AH547" i="20"/>
  <c r="AH552" i="20"/>
  <c r="AH557" i="20"/>
  <c r="AH561" i="20"/>
  <c r="AH565" i="20"/>
  <c r="AH569" i="20"/>
  <c r="AH573" i="20"/>
  <c r="AH577" i="20"/>
  <c r="AH581" i="20"/>
  <c r="AH585" i="20"/>
  <c r="AH589" i="20"/>
  <c r="AH593" i="20"/>
  <c r="AH597" i="20"/>
  <c r="AH601" i="20"/>
  <c r="AK57" i="20"/>
  <c r="AK121" i="20"/>
  <c r="AK153" i="20"/>
  <c r="AK185" i="20"/>
  <c r="AK217" i="20"/>
  <c r="AK249" i="20"/>
  <c r="AK281" i="20"/>
  <c r="AK313" i="20"/>
  <c r="AK345" i="20"/>
  <c r="AK377" i="20"/>
  <c r="AK409" i="20"/>
  <c r="AK473" i="20"/>
  <c r="AK505" i="20"/>
  <c r="AK569" i="20"/>
  <c r="AK601" i="20"/>
  <c r="X483" i="20"/>
  <c r="X499" i="20"/>
  <c r="X531" i="20"/>
  <c r="X563" i="20"/>
  <c r="X579" i="20"/>
  <c r="Y464" i="20"/>
  <c r="Y480" i="20"/>
  <c r="Y512" i="20"/>
  <c r="Y544" i="20"/>
  <c r="Y560" i="20"/>
  <c r="Y592" i="20"/>
  <c r="Z477" i="20"/>
  <c r="Z493" i="20"/>
  <c r="Z525" i="20"/>
  <c r="Z557" i="20"/>
  <c r="Z589" i="20"/>
  <c r="AA457" i="20"/>
  <c r="AA490" i="20"/>
  <c r="AA522" i="20"/>
  <c r="AA554" i="20"/>
  <c r="AA570" i="20"/>
  <c r="AA602" i="20"/>
  <c r="AB487" i="20"/>
  <c r="AB519" i="20"/>
  <c r="AB551" i="20"/>
  <c r="AB567" i="20"/>
  <c r="AB599" i="20"/>
  <c r="AC484" i="20"/>
  <c r="AC516" i="20"/>
  <c r="AC548" i="20"/>
  <c r="AC580" i="20"/>
  <c r="AC596" i="20"/>
  <c r="AD477" i="20"/>
  <c r="AD498" i="20"/>
  <c r="AD520" i="20"/>
  <c r="AD530" i="20"/>
  <c r="AD552" i="20"/>
  <c r="AD573" i="20"/>
  <c r="AD584" i="20"/>
  <c r="AE457" i="20"/>
  <c r="AE476" i="20"/>
  <c r="AE484" i="20"/>
  <c r="AE500" i="20"/>
  <c r="AE516" i="20"/>
  <c r="AE524" i="20"/>
  <c r="AE540" i="20"/>
  <c r="AE548" i="20"/>
  <c r="AE564" i="20"/>
  <c r="AE572" i="20"/>
  <c r="AE588" i="20"/>
  <c r="AE604" i="20"/>
  <c r="AF464" i="20"/>
  <c r="AF480" i="20"/>
  <c r="AF496" i="20"/>
  <c r="AF504" i="20"/>
  <c r="AF520" i="20"/>
  <c r="AF528" i="20"/>
  <c r="AF544" i="20"/>
  <c r="AF552" i="20"/>
  <c r="AF568" i="20"/>
  <c r="AF584" i="20"/>
  <c r="AF592" i="20"/>
  <c r="AG460" i="20"/>
  <c r="AG476" i="20"/>
  <c r="AG492" i="20"/>
  <c r="AG500" i="20"/>
  <c r="AG516" i="20"/>
  <c r="AG532" i="20"/>
  <c r="AG540" i="20"/>
  <c r="AG556" i="20"/>
  <c r="AG564" i="20"/>
  <c r="AG580" i="20"/>
  <c r="AG596" i="20"/>
  <c r="AG604" i="20"/>
  <c r="AH470" i="20"/>
  <c r="AH475" i="20"/>
  <c r="AH486" i="20"/>
  <c r="AH496" i="20"/>
  <c r="AH502" i="20"/>
  <c r="AH512" i="20"/>
  <c r="AH523" i="20"/>
  <c r="AH528" i="20"/>
  <c r="AH539" i="20"/>
  <c r="AH550" i="20"/>
  <c r="AH559" i="20"/>
  <c r="AH563" i="20"/>
  <c r="AH571" i="20"/>
  <c r="AH579" i="20"/>
  <c r="AH583" i="20"/>
  <c r="AH591" i="20"/>
  <c r="AH599" i="20"/>
  <c r="AK68" i="20"/>
  <c r="AK100" i="20"/>
  <c r="AK164" i="20"/>
  <c r="AK196" i="20"/>
  <c r="AK228" i="20"/>
  <c r="AK260" i="20"/>
  <c r="AK292" i="20"/>
  <c r="AK324" i="20"/>
  <c r="AK356" i="20"/>
  <c r="AK388" i="20"/>
  <c r="AK420" i="20"/>
  <c r="AK452" i="20"/>
  <c r="AK484" i="20"/>
  <c r="AK516" i="20"/>
  <c r="AK548" i="20"/>
  <c r="AK580" i="20"/>
  <c r="AJ587" i="20"/>
  <c r="X472" i="20"/>
  <c r="X488" i="20"/>
  <c r="X504" i="20"/>
  <c r="X520" i="20"/>
  <c r="X536" i="20"/>
  <c r="X552" i="20"/>
  <c r="X568" i="20"/>
  <c r="X584" i="20"/>
  <c r="X600" i="20"/>
  <c r="Y485" i="20"/>
  <c r="Y501" i="20"/>
  <c r="Y517" i="20"/>
  <c r="Y533" i="20"/>
  <c r="Y549" i="20"/>
  <c r="Y565" i="20"/>
  <c r="Y581" i="20"/>
  <c r="Z466" i="20"/>
  <c r="Z482" i="20"/>
  <c r="Z514" i="20"/>
  <c r="Z546" i="20"/>
  <c r="Z562" i="20"/>
  <c r="Z594" i="20"/>
  <c r="AA479" i="20"/>
  <c r="AA511" i="20"/>
  <c r="AA527" i="20"/>
  <c r="AA559" i="20"/>
  <c r="AA591" i="20"/>
  <c r="AB476" i="20"/>
  <c r="AB492" i="20"/>
  <c r="AB524" i="20"/>
  <c r="AB556" i="20"/>
  <c r="AB572" i="20"/>
  <c r="AB604" i="20"/>
  <c r="AC489" i="20"/>
  <c r="AC521" i="20"/>
  <c r="AC537" i="20"/>
  <c r="AC569" i="20"/>
  <c r="AC601" i="20"/>
  <c r="AD481" i="20"/>
  <c r="AD502" i="20"/>
  <c r="AD524" i="20"/>
  <c r="AD545" i="20"/>
  <c r="AD556" i="20"/>
  <c r="AD566" i="20"/>
  <c r="AD577" i="20"/>
  <c r="AD588" i="20"/>
  <c r="AD598" i="20"/>
  <c r="AE471" i="20"/>
  <c r="AE487" i="20"/>
  <c r="AE495" i="20"/>
  <c r="AE511" i="20"/>
  <c r="AE527" i="20"/>
  <c r="AE535" i="20"/>
  <c r="AE551" i="20"/>
  <c r="AE567" i="20"/>
  <c r="AE575" i="20"/>
  <c r="AE591" i="20"/>
  <c r="AF459" i="20"/>
  <c r="AF467" i="20"/>
  <c r="AF483" i="20"/>
  <c r="AF499" i="20"/>
  <c r="AF515" i="20"/>
  <c r="AF531" i="20"/>
  <c r="AF539" i="20"/>
  <c r="AF555" i="20"/>
  <c r="AF571" i="20"/>
  <c r="AF587" i="20"/>
  <c r="AF603" i="20"/>
  <c r="AG471" i="20"/>
  <c r="AG487" i="20"/>
  <c r="AG495" i="20"/>
  <c r="AG511" i="20"/>
  <c r="AG527" i="20"/>
  <c r="AG535" i="20"/>
  <c r="AG551" i="20"/>
  <c r="AG567" i="20"/>
  <c r="AG583" i="20"/>
  <c r="AG591" i="20"/>
  <c r="AH459" i="20"/>
  <c r="AH471" i="20"/>
  <c r="AH482" i="20"/>
  <c r="AH487" i="20"/>
  <c r="AH498" i="20"/>
  <c r="AH508" i="20"/>
  <c r="AH519" i="20"/>
  <c r="AH524" i="20"/>
  <c r="AH535" i="20"/>
  <c r="AH546" i="20"/>
  <c r="AH556" i="20"/>
  <c r="AH560" i="20"/>
  <c r="AH568" i="20"/>
  <c r="AH576" i="20"/>
  <c r="AH584" i="20"/>
  <c r="AH592" i="20"/>
  <c r="AH596" i="20"/>
  <c r="AH604" i="20"/>
  <c r="AJ47" i="20"/>
  <c r="AJ594" i="20"/>
  <c r="AJ574" i="20"/>
  <c r="AJ554" i="20"/>
  <c r="AJ538" i="20"/>
  <c r="AJ522" i="20"/>
  <c r="AJ506" i="20"/>
  <c r="AJ490" i="20"/>
  <c r="AJ474" i="20"/>
  <c r="AJ458" i="20"/>
  <c r="AJ583" i="20"/>
  <c r="AJ563" i="20"/>
  <c r="AJ543" i="20"/>
  <c r="AJ527" i="20"/>
  <c r="AJ511" i="20"/>
  <c r="AJ495" i="20"/>
  <c r="AJ475" i="20"/>
  <c r="AJ459" i="20"/>
  <c r="AJ589" i="20"/>
  <c r="AJ573" i="20"/>
  <c r="AJ596" i="20"/>
  <c r="AJ580" i="20"/>
  <c r="AJ564" i="20"/>
  <c r="AJ548" i="20"/>
  <c r="AJ532" i="20"/>
  <c r="AJ516" i="20"/>
  <c r="AJ500" i="20"/>
  <c r="AJ484" i="20"/>
  <c r="AJ468" i="20"/>
  <c r="AJ561" i="20"/>
  <c r="AJ545" i="20"/>
  <c r="AJ529" i="20"/>
  <c r="AJ513" i="20"/>
  <c r="AJ497" i="20"/>
  <c r="AJ481" i="20"/>
  <c r="AJ465" i="20"/>
  <c r="AB459" i="20"/>
  <c r="X459" i="20"/>
  <c r="AJ48" i="20"/>
  <c r="AJ590" i="20"/>
  <c r="AJ566" i="20"/>
  <c r="AJ550" i="20"/>
  <c r="AJ534" i="20"/>
  <c r="AJ518" i="20"/>
  <c r="AJ502" i="20"/>
  <c r="AJ486" i="20"/>
  <c r="AJ470" i="20"/>
  <c r="AJ599" i="20"/>
  <c r="AJ579" i="20"/>
  <c r="AJ559" i="20"/>
  <c r="AJ539" i="20"/>
  <c r="AJ523" i="20"/>
  <c r="AJ507" i="20"/>
  <c r="AJ487" i="20"/>
  <c r="AJ471" i="20"/>
  <c r="AJ601" i="20"/>
  <c r="AJ585" i="20"/>
  <c r="AJ569" i="20"/>
  <c r="AJ592" i="20"/>
  <c r="AJ576" i="20"/>
  <c r="AJ560" i="20"/>
  <c r="AJ544" i="20"/>
  <c r="AJ528" i="20"/>
  <c r="AJ512" i="20"/>
  <c r="AJ496" i="20"/>
  <c r="AJ480" i="20"/>
  <c r="AJ464" i="20"/>
  <c r="AJ557" i="20"/>
  <c r="AJ541" i="20"/>
  <c r="AJ525" i="20"/>
  <c r="AJ509" i="20"/>
  <c r="AJ493" i="20"/>
  <c r="AJ477" i="20"/>
  <c r="AJ461" i="20"/>
  <c r="AA459" i="20"/>
  <c r="AJ46" i="20"/>
  <c r="AJ582" i="20"/>
  <c r="AJ562" i="20"/>
  <c r="AJ546" i="20"/>
  <c r="AJ530" i="20"/>
  <c r="AJ514" i="20"/>
  <c r="AJ498" i="20"/>
  <c r="AJ482" i="20"/>
  <c r="AJ595" i="20"/>
  <c r="AJ575" i="20"/>
  <c r="AJ551" i="20"/>
  <c r="AJ535" i="20"/>
  <c r="AJ519" i="20"/>
  <c r="AJ483" i="20"/>
  <c r="AJ467" i="20"/>
  <c r="AJ581" i="20"/>
  <c r="AJ604" i="20"/>
  <c r="AJ572" i="20"/>
  <c r="AJ540" i="20"/>
  <c r="AJ524" i="20"/>
  <c r="AJ492" i="20"/>
  <c r="AJ476" i="20"/>
  <c r="AJ553" i="20"/>
  <c r="AJ521" i="20"/>
  <c r="AJ505" i="20"/>
  <c r="AJ473" i="20"/>
  <c r="Z459" i="20"/>
  <c r="AJ598" i="20"/>
  <c r="AJ578" i="20"/>
  <c r="AJ558" i="20"/>
  <c r="AJ542" i="20"/>
  <c r="AJ526" i="20"/>
  <c r="AJ510" i="20"/>
  <c r="AJ494" i="20"/>
  <c r="AJ478" i="20"/>
  <c r="AJ462" i="20"/>
  <c r="AJ591" i="20"/>
  <c r="AJ567" i="20"/>
  <c r="AJ547" i="20"/>
  <c r="AJ531" i="20"/>
  <c r="AJ515" i="20"/>
  <c r="AJ499" i="20"/>
  <c r="AJ479" i="20"/>
  <c r="AJ463" i="20"/>
  <c r="AJ593" i="20"/>
  <c r="AJ577" i="20"/>
  <c r="AJ600" i="20"/>
  <c r="AJ584" i="20"/>
  <c r="AJ568" i="20"/>
  <c r="AJ552" i="20"/>
  <c r="AJ536" i="20"/>
  <c r="AJ520" i="20"/>
  <c r="AJ504" i="20"/>
  <c r="AJ488" i="20"/>
  <c r="AJ472" i="20"/>
  <c r="AJ565" i="20"/>
  <c r="AJ549" i="20"/>
  <c r="AJ533" i="20"/>
  <c r="AJ517" i="20"/>
  <c r="AJ501" i="20"/>
  <c r="AJ485" i="20"/>
  <c r="AJ469" i="20"/>
  <c r="AC459" i="20"/>
  <c r="Y459" i="20"/>
  <c r="AJ466" i="20"/>
  <c r="AJ503" i="20"/>
  <c r="AJ597" i="20"/>
  <c r="AJ588" i="20"/>
  <c r="AJ556" i="20"/>
  <c r="AJ508" i="20"/>
  <c r="AJ460" i="20"/>
  <c r="AJ537" i="20"/>
  <c r="AJ489" i="20"/>
  <c r="AJ457" i="20"/>
  <c r="AJ55" i="20"/>
  <c r="AJ54" i="20"/>
  <c r="AJ52" i="20"/>
  <c r="AJ58" i="20"/>
  <c r="AJ50" i="20"/>
  <c r="AJ57" i="20"/>
  <c r="AJ56" i="20"/>
  <c r="AJ51" i="20"/>
  <c r="AJ60" i="20"/>
  <c r="AJ61" i="20"/>
  <c r="AJ59" i="20"/>
  <c r="AJ63" i="20"/>
  <c r="AJ65" i="20"/>
  <c r="AJ64" i="20"/>
  <c r="AJ66" i="20"/>
  <c r="AJ62" i="20"/>
  <c r="AJ76" i="20"/>
  <c r="AJ82" i="20"/>
  <c r="AJ72" i="20"/>
  <c r="AJ71" i="20"/>
  <c r="AJ83" i="20"/>
  <c r="AJ70" i="20"/>
  <c r="AJ69" i="20"/>
  <c r="AJ67" i="20"/>
  <c r="AJ68" i="20"/>
  <c r="AJ121" i="20"/>
  <c r="AJ95" i="20"/>
  <c r="AJ74" i="20"/>
  <c r="AJ75" i="20"/>
  <c r="AJ73" i="20"/>
  <c r="AJ112" i="20"/>
  <c r="AJ127" i="20"/>
  <c r="AJ128" i="20"/>
  <c r="AJ94" i="20"/>
  <c r="AJ115" i="20"/>
  <c r="AJ111" i="20"/>
  <c r="AJ108" i="20"/>
  <c r="AJ104" i="20"/>
  <c r="AJ109" i="20"/>
  <c r="AJ110" i="20"/>
  <c r="AJ105" i="20"/>
  <c r="AJ103" i="20"/>
  <c r="AJ106" i="20"/>
  <c r="AJ100" i="20"/>
  <c r="AJ101" i="20"/>
  <c r="AJ102" i="20"/>
  <c r="AJ96" i="20"/>
  <c r="AJ97" i="20"/>
  <c r="AJ98" i="20"/>
  <c r="AJ99" i="20"/>
  <c r="AJ85" i="20"/>
  <c r="AJ89" i="20"/>
  <c r="AJ90" i="20"/>
  <c r="AJ91" i="20"/>
  <c r="AJ87" i="20"/>
  <c r="AJ88" i="20"/>
  <c r="AJ92" i="20"/>
  <c r="AJ86" i="20"/>
  <c r="AJ84" i="20"/>
  <c r="AJ81" i="20"/>
  <c r="AJ80" i="20"/>
  <c r="AJ77" i="20"/>
  <c r="AJ78" i="20"/>
  <c r="AJ79" i="20"/>
  <c r="AJ122" i="20"/>
  <c r="AJ453" i="20"/>
  <c r="AJ454" i="20"/>
  <c r="AJ455" i="20"/>
  <c r="AJ448" i="20"/>
  <c r="AJ449" i="20"/>
  <c r="AJ450" i="20"/>
  <c r="AJ451" i="20"/>
  <c r="AJ452" i="20"/>
  <c r="AJ443" i="20"/>
  <c r="AJ444" i="20"/>
  <c r="AJ445" i="20"/>
  <c r="AJ446" i="20"/>
  <c r="AJ447" i="20"/>
  <c r="AJ437" i="20"/>
  <c r="AJ438" i="20"/>
  <c r="AJ439" i="20"/>
  <c r="AJ440" i="20"/>
  <c r="AJ441" i="20"/>
  <c r="AJ442" i="20"/>
  <c r="AJ430" i="20"/>
  <c r="AJ431" i="20"/>
  <c r="AJ432" i="20"/>
  <c r="AJ433" i="20"/>
  <c r="AJ434" i="20"/>
  <c r="AJ435" i="20"/>
  <c r="AJ436" i="20"/>
  <c r="AJ426" i="20"/>
  <c r="AJ427" i="20"/>
  <c r="AJ428" i="20"/>
  <c r="AJ429" i="20"/>
  <c r="AJ416" i="20"/>
  <c r="AJ417" i="20"/>
  <c r="AJ418" i="20"/>
  <c r="AJ419" i="20"/>
  <c r="AJ420" i="20"/>
  <c r="AJ421" i="20"/>
  <c r="AJ422" i="20"/>
  <c r="AJ423" i="20"/>
  <c r="AJ424" i="20"/>
  <c r="AJ425" i="20"/>
  <c r="AJ410" i="20"/>
  <c r="AJ411" i="20"/>
  <c r="AJ412" i="20"/>
  <c r="AJ413" i="20"/>
  <c r="AJ414" i="20"/>
  <c r="AJ415" i="20"/>
  <c r="AJ409" i="20"/>
  <c r="AJ408" i="20"/>
  <c r="AJ406" i="20"/>
  <c r="AJ407" i="20"/>
  <c r="AJ405" i="20"/>
  <c r="AJ404" i="20"/>
  <c r="AJ402" i="20"/>
  <c r="AJ403" i="20"/>
  <c r="AJ401" i="20"/>
  <c r="AJ400" i="20"/>
  <c r="AJ399" i="20"/>
  <c r="AJ397" i="20"/>
  <c r="AJ398" i="20"/>
  <c r="AJ395" i="20"/>
  <c r="AJ396" i="20"/>
  <c r="AJ394" i="20"/>
  <c r="AJ393" i="20"/>
  <c r="AJ389" i="20"/>
  <c r="AJ390" i="20"/>
  <c r="AJ391" i="20"/>
  <c r="AJ392" i="20"/>
  <c r="AJ388" i="20"/>
  <c r="AJ387" i="20"/>
  <c r="AJ386" i="20"/>
  <c r="AJ385" i="20"/>
  <c r="AJ383" i="20"/>
  <c r="AJ384" i="20"/>
  <c r="AJ380" i="20"/>
  <c r="AJ381" i="20"/>
  <c r="AJ382" i="20"/>
  <c r="AJ379" i="20"/>
  <c r="AJ378" i="20"/>
  <c r="AJ377" i="20"/>
  <c r="AJ371" i="20"/>
  <c r="AJ372" i="20"/>
  <c r="AJ373" i="20"/>
  <c r="AJ374" i="20"/>
  <c r="AJ375" i="20"/>
  <c r="AJ376" i="20"/>
  <c r="AJ365" i="20"/>
  <c r="AJ366" i="20"/>
  <c r="AJ367" i="20"/>
  <c r="AJ368" i="20"/>
  <c r="AJ369" i="20"/>
  <c r="AJ370" i="20"/>
  <c r="AJ358" i="20"/>
  <c r="AJ359" i="20"/>
  <c r="AJ360" i="20"/>
  <c r="AJ361" i="20"/>
  <c r="AJ362" i="20"/>
  <c r="AJ363" i="20"/>
  <c r="AJ364" i="20"/>
  <c r="AJ357" i="20"/>
  <c r="AJ356" i="20"/>
  <c r="AJ354" i="20"/>
  <c r="AJ355" i="20"/>
  <c r="AJ350" i="20"/>
  <c r="AJ351" i="20"/>
  <c r="AJ352" i="20"/>
  <c r="AJ353" i="20"/>
  <c r="AJ331" i="20"/>
  <c r="AJ332" i="20"/>
  <c r="AJ333" i="20"/>
  <c r="AJ334" i="20"/>
  <c r="AJ335" i="20"/>
  <c r="AJ336" i="20"/>
  <c r="AJ337" i="20"/>
  <c r="AJ338" i="20"/>
  <c r="AJ339" i="20"/>
  <c r="AJ340" i="20"/>
  <c r="AJ341" i="20"/>
  <c r="AJ342" i="20"/>
  <c r="AJ343" i="20"/>
  <c r="AJ344" i="20"/>
  <c r="AJ345" i="20"/>
  <c r="AJ346" i="20"/>
  <c r="AJ347" i="20"/>
  <c r="AJ348" i="20"/>
  <c r="AJ349" i="20"/>
  <c r="AJ330" i="20"/>
  <c r="AJ324" i="20"/>
  <c r="AJ325" i="20"/>
  <c r="AJ326" i="20"/>
  <c r="AJ327" i="20"/>
  <c r="AJ328" i="20"/>
  <c r="AJ329" i="20"/>
  <c r="AJ322" i="20"/>
  <c r="AJ323" i="20"/>
  <c r="AJ320" i="20"/>
  <c r="AJ321" i="20"/>
  <c r="AJ318" i="20"/>
  <c r="AJ319" i="20"/>
  <c r="AJ316" i="20"/>
  <c r="AJ317" i="20"/>
  <c r="AJ313" i="20"/>
  <c r="AJ314" i="20"/>
  <c r="AJ315" i="20"/>
  <c r="AJ304" i="20"/>
  <c r="AJ305" i="20"/>
  <c r="AJ306" i="20"/>
  <c r="AJ307" i="20"/>
  <c r="AJ308" i="20"/>
  <c r="AJ309" i="20"/>
  <c r="AJ310" i="20"/>
  <c r="AJ311" i="20"/>
  <c r="AJ312" i="20"/>
  <c r="AJ300" i="20"/>
  <c r="AJ301" i="20"/>
  <c r="AJ302" i="20"/>
  <c r="AJ303" i="20"/>
  <c r="AJ299" i="20"/>
  <c r="AJ296" i="20"/>
  <c r="AJ297" i="20"/>
  <c r="AJ298" i="20"/>
  <c r="AJ295" i="20"/>
  <c r="AJ292" i="20"/>
  <c r="AJ293" i="20"/>
  <c r="AJ294" i="20"/>
  <c r="AJ291" i="20"/>
  <c r="AJ290" i="20"/>
  <c r="AJ289" i="20"/>
  <c r="AJ287" i="20"/>
  <c r="AJ288" i="20"/>
  <c r="AJ281" i="20"/>
  <c r="AJ282" i="20"/>
  <c r="AJ283" i="20"/>
  <c r="AJ284" i="20"/>
  <c r="AJ285" i="20"/>
  <c r="AJ286" i="20"/>
  <c r="AJ279" i="20"/>
  <c r="AJ280" i="20"/>
  <c r="AJ269" i="20"/>
  <c r="AJ270" i="20"/>
  <c r="AJ271" i="20"/>
  <c r="AJ272" i="20"/>
  <c r="AJ273" i="20"/>
  <c r="AJ274" i="20"/>
  <c r="AJ275" i="20"/>
  <c r="AJ276" i="20"/>
  <c r="AJ277" i="20"/>
  <c r="AJ278" i="20"/>
  <c r="AJ268" i="20"/>
  <c r="AJ264" i="20"/>
  <c r="AJ265" i="20"/>
  <c r="AJ266" i="20"/>
  <c r="AJ267" i="20"/>
  <c r="AJ258" i="20"/>
  <c r="AJ259" i="20"/>
  <c r="AJ260" i="20"/>
  <c r="AJ261" i="20"/>
  <c r="AJ262" i="20"/>
  <c r="AJ263" i="20"/>
  <c r="AJ256" i="20"/>
  <c r="AJ257" i="20"/>
  <c r="AJ255" i="20"/>
  <c r="AJ254" i="20"/>
  <c r="AJ249" i="20"/>
  <c r="AJ250" i="20"/>
  <c r="AJ251" i="20"/>
  <c r="AJ252" i="20"/>
  <c r="AJ253" i="20"/>
  <c r="AJ248" i="20"/>
  <c r="AJ247" i="20"/>
  <c r="AJ246" i="20"/>
  <c r="AJ245" i="20"/>
  <c r="AJ243" i="20"/>
  <c r="AJ244" i="20"/>
  <c r="AJ242" i="20"/>
  <c r="AJ241" i="20"/>
  <c r="AJ240" i="20"/>
  <c r="AJ239" i="20"/>
  <c r="AJ237" i="20"/>
  <c r="AJ238" i="20"/>
  <c r="AJ236" i="20"/>
  <c r="AJ235" i="20"/>
  <c r="AJ234" i="20"/>
  <c r="AJ232" i="20"/>
  <c r="AJ233" i="20"/>
  <c r="AJ230" i="20"/>
  <c r="AJ231" i="20"/>
  <c r="AJ224" i="20"/>
  <c r="AJ225" i="20"/>
  <c r="AJ226" i="20"/>
  <c r="AJ227" i="20"/>
  <c r="AJ228" i="20"/>
  <c r="AJ229" i="20"/>
  <c r="AJ221" i="20"/>
  <c r="AJ222" i="20"/>
  <c r="AJ223" i="20"/>
  <c r="AJ210" i="20"/>
  <c r="AJ211" i="20"/>
  <c r="AJ212" i="20"/>
  <c r="AJ213" i="20"/>
  <c r="AJ214" i="20"/>
  <c r="AJ215" i="20"/>
  <c r="AJ216" i="20"/>
  <c r="AJ217" i="20"/>
  <c r="AJ218" i="20"/>
  <c r="AJ219" i="20"/>
  <c r="AJ220" i="20"/>
  <c r="AJ207" i="20"/>
  <c r="AJ208" i="20"/>
  <c r="AJ209" i="20"/>
  <c r="AJ202" i="20"/>
  <c r="AJ203" i="20"/>
  <c r="AJ204" i="20"/>
  <c r="AJ205" i="20"/>
  <c r="AJ206" i="20"/>
  <c r="AJ200" i="20"/>
  <c r="AJ201" i="20"/>
  <c r="AJ198" i="20"/>
  <c r="AJ199" i="20"/>
  <c r="AJ197" i="20"/>
  <c r="AJ196" i="20"/>
  <c r="AJ195" i="20"/>
  <c r="AJ194" i="20"/>
  <c r="AJ193" i="20"/>
  <c r="AJ192" i="20"/>
  <c r="AJ191" i="20"/>
  <c r="AJ190" i="20"/>
  <c r="AJ188" i="20"/>
  <c r="AJ189" i="20"/>
  <c r="AJ186" i="20"/>
  <c r="AJ187" i="20"/>
  <c r="AJ182" i="20"/>
  <c r="AJ183" i="20"/>
  <c r="AJ184" i="20"/>
  <c r="AJ185" i="20"/>
  <c r="AJ177" i="20"/>
  <c r="AJ178" i="20"/>
  <c r="AJ179" i="20"/>
  <c r="AJ180" i="20"/>
  <c r="AJ181" i="20"/>
  <c r="AJ176" i="20"/>
  <c r="AJ175" i="20"/>
  <c r="AJ173" i="20"/>
  <c r="AJ174" i="20"/>
  <c r="AJ172" i="20"/>
  <c r="AJ170" i="20"/>
  <c r="AJ171" i="20"/>
  <c r="AJ167" i="20"/>
  <c r="AJ168" i="20"/>
  <c r="AJ169" i="20"/>
  <c r="AJ165" i="20"/>
  <c r="AJ166" i="20"/>
  <c r="AJ164" i="20"/>
  <c r="AJ162" i="20"/>
  <c r="AJ163" i="20"/>
  <c r="AJ160" i="20"/>
  <c r="AJ161" i="20"/>
  <c r="AJ159" i="20"/>
  <c r="AJ155" i="20"/>
  <c r="AJ156" i="20"/>
  <c r="AJ157" i="20"/>
  <c r="AJ158" i="20"/>
  <c r="AJ154" i="20"/>
  <c r="AJ153" i="20"/>
  <c r="AJ152" i="20"/>
  <c r="AJ149" i="20"/>
  <c r="AJ150" i="20"/>
  <c r="AJ151" i="20"/>
  <c r="AJ136" i="20"/>
  <c r="AJ137" i="20"/>
  <c r="AJ135" i="20"/>
  <c r="AJ134" i="20"/>
  <c r="AJ130" i="20"/>
  <c r="AJ129" i="20"/>
  <c r="AJ126" i="20"/>
  <c r="AJ93" i="20"/>
  <c r="AJ133" i="20"/>
  <c r="AJ138" i="20"/>
  <c r="AJ139" i="20"/>
  <c r="AJ140" i="20"/>
  <c r="AJ141" i="20"/>
  <c r="AJ142" i="20"/>
  <c r="AJ143" i="20"/>
  <c r="AJ144" i="20"/>
  <c r="AJ145" i="20"/>
  <c r="AJ146" i="20"/>
  <c r="AJ147" i="20"/>
  <c r="AJ148" i="20"/>
  <c r="AJ118" i="20"/>
  <c r="AJ124" i="20"/>
  <c r="AJ116" i="20"/>
  <c r="AJ113" i="20"/>
  <c r="AJ125" i="20"/>
  <c r="AJ117" i="20"/>
  <c r="AJ114" i="20"/>
  <c r="AJ119" i="20"/>
  <c r="AJ123" i="20"/>
  <c r="L13" i="37"/>
  <c r="L12" i="37"/>
  <c r="AG50" i="20"/>
  <c r="AG45" i="20"/>
  <c r="AC47" i="20"/>
  <c r="AB45" i="20"/>
  <c r="AD45" i="20"/>
  <c r="AF45" i="20"/>
  <c r="X46" i="20"/>
  <c r="Z46" i="20"/>
  <c r="AB46" i="20"/>
  <c r="AF46" i="20"/>
  <c r="Y46" i="20"/>
  <c r="AA46" i="20"/>
  <c r="AC46" i="20"/>
  <c r="AE46" i="20"/>
  <c r="AG46" i="20"/>
  <c r="AD46" i="20"/>
  <c r="AA45" i="20"/>
  <c r="AC45" i="20"/>
  <c r="AE45" i="20"/>
  <c r="Z47" i="20"/>
  <c r="AD47" i="20"/>
  <c r="AA47" i="20"/>
  <c r="AE47" i="20"/>
  <c r="X47" i="20"/>
  <c r="AB47" i="20"/>
  <c r="AF47" i="20"/>
  <c r="Y47" i="20"/>
  <c r="AG47" i="20"/>
  <c r="AC48" i="20"/>
  <c r="AG48" i="20"/>
  <c r="Z48" i="20"/>
  <c r="AD48" i="20"/>
  <c r="AA48" i="20"/>
  <c r="AE48" i="20"/>
  <c r="X48" i="20"/>
  <c r="AB48" i="20"/>
  <c r="AF48" i="20"/>
  <c r="Z52" i="20"/>
  <c r="AD52" i="20"/>
  <c r="AA52" i="20"/>
  <c r="AE52" i="20"/>
  <c r="X52" i="20"/>
  <c r="AB52" i="20"/>
  <c r="AF52" i="20"/>
  <c r="Y52" i="20"/>
  <c r="AC52" i="20"/>
  <c r="AG52" i="20"/>
  <c r="Y51" i="20"/>
  <c r="AA51" i="20"/>
  <c r="AC51" i="20"/>
  <c r="AE51" i="20"/>
  <c r="AG51" i="20"/>
  <c r="X51" i="20"/>
  <c r="Z51" i="20"/>
  <c r="AB51" i="20"/>
  <c r="AD51" i="20"/>
  <c r="AF51" i="20"/>
  <c r="Z55" i="20"/>
  <c r="AD55" i="20"/>
  <c r="AA55" i="20"/>
  <c r="AE55" i="20"/>
  <c r="X55" i="20"/>
  <c r="AB55" i="20"/>
  <c r="AF55" i="20"/>
  <c r="Y55" i="20"/>
  <c r="AC55" i="20"/>
  <c r="AG55" i="20"/>
  <c r="Z50" i="20"/>
  <c r="AD50" i="20"/>
  <c r="AA50" i="20"/>
  <c r="AE50" i="20"/>
  <c r="X50" i="20"/>
  <c r="AB50" i="20"/>
  <c r="AF50" i="20"/>
  <c r="Y50" i="20"/>
  <c r="AC50" i="20"/>
  <c r="X56" i="20"/>
  <c r="AB56" i="20"/>
  <c r="AF56" i="20"/>
  <c r="Y56" i="20"/>
  <c r="AC56" i="20"/>
  <c r="AG56" i="20"/>
  <c r="Z56" i="20"/>
  <c r="AD56" i="20"/>
  <c r="AA56" i="20"/>
  <c r="AE56" i="20"/>
  <c r="AD57" i="20"/>
  <c r="Y58" i="20"/>
  <c r="AC58" i="20"/>
  <c r="AG58" i="20"/>
  <c r="AB57" i="20"/>
  <c r="Z58" i="20"/>
  <c r="AE58" i="20"/>
  <c r="Z57" i="20"/>
  <c r="X58" i="20"/>
  <c r="AD58" i="20"/>
  <c r="AB58" i="20"/>
  <c r="AA58" i="20"/>
  <c r="X57" i="20"/>
  <c r="AF57" i="20"/>
  <c r="AF58" i="20"/>
  <c r="Y57" i="20"/>
  <c r="AG57" i="20"/>
  <c r="AA57" i="20"/>
  <c r="AE57" i="20"/>
  <c r="AC57" i="20"/>
  <c r="K13" i="37"/>
  <c r="K12" i="37"/>
  <c r="F13" i="37"/>
  <c r="F12" i="37"/>
  <c r="D13" i="37"/>
  <c r="D12" i="37"/>
  <c r="Z60" i="20"/>
  <c r="AD60" i="20"/>
  <c r="AA60" i="20"/>
  <c r="AE60" i="20"/>
  <c r="X60" i="20"/>
  <c r="AB60" i="20"/>
  <c r="AF60" i="20"/>
  <c r="Y60" i="20"/>
  <c r="AC60" i="20"/>
  <c r="AG60" i="20"/>
  <c r="Z61" i="20"/>
  <c r="AD61" i="20"/>
  <c r="AA61" i="20"/>
  <c r="AE61" i="20"/>
  <c r="X61" i="20"/>
  <c r="AB61" i="20"/>
  <c r="AF61" i="20"/>
  <c r="Y61" i="20"/>
  <c r="AC61" i="20"/>
  <c r="AG61" i="20"/>
  <c r="AH69" i="20"/>
  <c r="AH73" i="20"/>
  <c r="AH77" i="20"/>
  <c r="AH81" i="20"/>
  <c r="AH85" i="20"/>
  <c r="AH89" i="20"/>
  <c r="AH93" i="20"/>
  <c r="AH97" i="20"/>
  <c r="AH101" i="20"/>
  <c r="AH105" i="20"/>
  <c r="AH109" i="20"/>
  <c r="AH113" i="20"/>
  <c r="AH117" i="20"/>
  <c r="AH121" i="20"/>
  <c r="AH125" i="20"/>
  <c r="AH129" i="20"/>
  <c r="AH133" i="20"/>
  <c r="AH137" i="20"/>
  <c r="AH141" i="20"/>
  <c r="AH145" i="20"/>
  <c r="AH149" i="20"/>
  <c r="AH153" i="20"/>
  <c r="AH157" i="20"/>
  <c r="AH161" i="20"/>
  <c r="AH165" i="20"/>
  <c r="AH169" i="20"/>
  <c r="AH173" i="20"/>
  <c r="AH177" i="20"/>
  <c r="AH181" i="20"/>
  <c r="AH185" i="20"/>
  <c r="AH189" i="20"/>
  <c r="AH193" i="20"/>
  <c r="AH197" i="20"/>
  <c r="AH201" i="20"/>
  <c r="AH205" i="20"/>
  <c r="AH209" i="20"/>
  <c r="AH213" i="20"/>
  <c r="AH217" i="20"/>
  <c r="AH221" i="20"/>
  <c r="AH225" i="20"/>
  <c r="AH229" i="20"/>
  <c r="AH233" i="20"/>
  <c r="AH237" i="20"/>
  <c r="AH241" i="20"/>
  <c r="AH245" i="20"/>
  <c r="AH249" i="20"/>
  <c r="AH253" i="20"/>
  <c r="AH257" i="20"/>
  <c r="AH261" i="20"/>
  <c r="AH265" i="20"/>
  <c r="AH269" i="20"/>
  <c r="AH273" i="20"/>
  <c r="AH277" i="20"/>
  <c r="AH281" i="20"/>
  <c r="AH285" i="20"/>
  <c r="AH289" i="20"/>
  <c r="AH293" i="20"/>
  <c r="AH297" i="20"/>
  <c r="AH301" i="20"/>
  <c r="AH305" i="20"/>
  <c r="AH309" i="20"/>
  <c r="AH313" i="20"/>
  <c r="AH317" i="20"/>
  <c r="AH321" i="20"/>
  <c r="AH325" i="20"/>
  <c r="AH329" i="20"/>
  <c r="AH333" i="20"/>
  <c r="AH337" i="20"/>
  <c r="AH341" i="20"/>
  <c r="AH345" i="20"/>
  <c r="AH349" i="20"/>
  <c r="AH353" i="20"/>
  <c r="AH357" i="20"/>
  <c r="AH361" i="20"/>
  <c r="AH365" i="20"/>
  <c r="AH369" i="20"/>
  <c r="AH373" i="20"/>
  <c r="AH377" i="20"/>
  <c r="AH381" i="20"/>
  <c r="AH385" i="20"/>
  <c r="AH389" i="20"/>
  <c r="AH393" i="20"/>
  <c r="AH397" i="20"/>
  <c r="AH71" i="20"/>
  <c r="AH76" i="20"/>
  <c r="AH82" i="20"/>
  <c r="AH87" i="20"/>
  <c r="AH92" i="20"/>
  <c r="AH98" i="20"/>
  <c r="AH103" i="20"/>
  <c r="AH108" i="20"/>
  <c r="AH114" i="20"/>
  <c r="AH119" i="20"/>
  <c r="AH124" i="20"/>
  <c r="AH130" i="20"/>
  <c r="AH135" i="20"/>
  <c r="AH140" i="20"/>
  <c r="AH146" i="20"/>
  <c r="AH151" i="20"/>
  <c r="AH156" i="20"/>
  <c r="AH162" i="20"/>
  <c r="AH167" i="20"/>
  <c r="AH172" i="20"/>
  <c r="AH178" i="20"/>
  <c r="AH183" i="20"/>
  <c r="AH188" i="20"/>
  <c r="AH194" i="20"/>
  <c r="AH199" i="20"/>
  <c r="AH204" i="20"/>
  <c r="AH210" i="20"/>
  <c r="AH215" i="20"/>
  <c r="AH220" i="20"/>
  <c r="AH226" i="20"/>
  <c r="AH231" i="20"/>
  <c r="AH236" i="20"/>
  <c r="AH242" i="20"/>
  <c r="AH247" i="20"/>
  <c r="AH252" i="20"/>
  <c r="AH258" i="20"/>
  <c r="AH263" i="20"/>
  <c r="AH268" i="20"/>
  <c r="AH274" i="20"/>
  <c r="AH279" i="20"/>
  <c r="AH284" i="20"/>
  <c r="AH290" i="20"/>
  <c r="AH295" i="20"/>
  <c r="AH300" i="20"/>
  <c r="AH306" i="20"/>
  <c r="AH311" i="20"/>
  <c r="AH316" i="20"/>
  <c r="AH322" i="20"/>
  <c r="AH327" i="20"/>
  <c r="AH332" i="20"/>
  <c r="AH338" i="20"/>
  <c r="AH343" i="20"/>
  <c r="AH348" i="20"/>
  <c r="AH354" i="20"/>
  <c r="AH359" i="20"/>
  <c r="AH364" i="20"/>
  <c r="AH370" i="20"/>
  <c r="AH375" i="20"/>
  <c r="AH380" i="20"/>
  <c r="AH386" i="20"/>
  <c r="AH391" i="20"/>
  <c r="AH396" i="20"/>
  <c r="AH401" i="20"/>
  <c r="AH405" i="20"/>
  <c r="AH409" i="20"/>
  <c r="AH413" i="20"/>
  <c r="AH417" i="20"/>
  <c r="AH421" i="20"/>
  <c r="AH425" i="20"/>
  <c r="AH429" i="20"/>
  <c r="AH433" i="20"/>
  <c r="AH437" i="20"/>
  <c r="AH441" i="20"/>
  <c r="AH445" i="20"/>
  <c r="AH449" i="20"/>
  <c r="AH453" i="20"/>
  <c r="AH68" i="20"/>
  <c r="AH74" i="20"/>
  <c r="AH79" i="20"/>
  <c r="AH84" i="20"/>
  <c r="AH90" i="20"/>
  <c r="AH95" i="20"/>
  <c r="AH67" i="20"/>
  <c r="AH72" i="20"/>
  <c r="AH78" i="20"/>
  <c r="AH83" i="20"/>
  <c r="AH88" i="20"/>
  <c r="AH94" i="20"/>
  <c r="AH99" i="20"/>
  <c r="AH104" i="20"/>
  <c r="AH110" i="20"/>
  <c r="AH115" i="20"/>
  <c r="AH120" i="20"/>
  <c r="AH126" i="20"/>
  <c r="AH131" i="20"/>
  <c r="AH136" i="20"/>
  <c r="AH142" i="20"/>
  <c r="AH147" i="20"/>
  <c r="AH152" i="20"/>
  <c r="AH158" i="20"/>
  <c r="AH163" i="20"/>
  <c r="AH168" i="20"/>
  <c r="AH174" i="20"/>
  <c r="AH179" i="20"/>
  <c r="AH184" i="20"/>
  <c r="AH190" i="20"/>
  <c r="AH195" i="20"/>
  <c r="AH200" i="20"/>
  <c r="AH206" i="20"/>
  <c r="AH211" i="20"/>
  <c r="AH216" i="20"/>
  <c r="AH222" i="20"/>
  <c r="AH227" i="20"/>
  <c r="AH232" i="20"/>
  <c r="AH238" i="20"/>
  <c r="AH243" i="20"/>
  <c r="AH248" i="20"/>
  <c r="AH254" i="20"/>
  <c r="AH259" i="20"/>
  <c r="AH264" i="20"/>
  <c r="AH270" i="20"/>
  <c r="AH275" i="20"/>
  <c r="AH280" i="20"/>
  <c r="AH286" i="20"/>
  <c r="AH291" i="20"/>
  <c r="AH296" i="20"/>
  <c r="AH302" i="20"/>
  <c r="AH307" i="20"/>
  <c r="AH312" i="20"/>
  <c r="AH318" i="20"/>
  <c r="AH323" i="20"/>
  <c r="AH328" i="20"/>
  <c r="AH334" i="20"/>
  <c r="AH339" i="20"/>
  <c r="AH344" i="20"/>
  <c r="AH350" i="20"/>
  <c r="AH355" i="20"/>
  <c r="AH360" i="20"/>
  <c r="AH366" i="20"/>
  <c r="AH371" i="20"/>
  <c r="AH376" i="20"/>
  <c r="AH382" i="20"/>
  <c r="AH387" i="20"/>
  <c r="AH392" i="20"/>
  <c r="AH398" i="20"/>
  <c r="AH402" i="20"/>
  <c r="AH406" i="20"/>
  <c r="AH410" i="20"/>
  <c r="AH414" i="20"/>
  <c r="AH418" i="20"/>
  <c r="AH422" i="20"/>
  <c r="AH426" i="20"/>
  <c r="AH430" i="20"/>
  <c r="AH434" i="20"/>
  <c r="AH438" i="20"/>
  <c r="AH442" i="20"/>
  <c r="AH446" i="20"/>
  <c r="AH450" i="20"/>
  <c r="AH454" i="20"/>
  <c r="AH70" i="20"/>
  <c r="AH75" i="20"/>
  <c r="AH80" i="20"/>
  <c r="AH86" i="20"/>
  <c r="AH91" i="20"/>
  <c r="AH96" i="20"/>
  <c r="AH102" i="20"/>
  <c r="AH107" i="20"/>
  <c r="AH112" i="20"/>
  <c r="AH118" i="20"/>
  <c r="AH123" i="20"/>
  <c r="AH128" i="20"/>
  <c r="AH134" i="20"/>
  <c r="AH139" i="20"/>
  <c r="AH144" i="20"/>
  <c r="AH150" i="20"/>
  <c r="AH155" i="20"/>
  <c r="AH160" i="20"/>
  <c r="AH166" i="20"/>
  <c r="AH171" i="20"/>
  <c r="AH176" i="20"/>
  <c r="AH182" i="20"/>
  <c r="AH187" i="20"/>
  <c r="AH192" i="20"/>
  <c r="AH198" i="20"/>
  <c r="AH203" i="20"/>
  <c r="AH208" i="20"/>
  <c r="AH214" i="20"/>
  <c r="AH219" i="20"/>
  <c r="AH224" i="20"/>
  <c r="AH230" i="20"/>
  <c r="AH235" i="20"/>
  <c r="AH240" i="20"/>
  <c r="AH246" i="20"/>
  <c r="AH251" i="20"/>
  <c r="AH256" i="20"/>
  <c r="AH262" i="20"/>
  <c r="AH267" i="20"/>
  <c r="AH272" i="20"/>
  <c r="AH278" i="20"/>
  <c r="AH283" i="20"/>
  <c r="AH288" i="20"/>
  <c r="AH294" i="20"/>
  <c r="AH299" i="20"/>
  <c r="AH304" i="20"/>
  <c r="AH310" i="20"/>
  <c r="AH315" i="20"/>
  <c r="AH320" i="20"/>
  <c r="AH326" i="20"/>
  <c r="AH331" i="20"/>
  <c r="AH336" i="20"/>
  <c r="AH342" i="20"/>
  <c r="AH347" i="20"/>
  <c r="AH352" i="20"/>
  <c r="AH358" i="20"/>
  <c r="AH363" i="20"/>
  <c r="AH368" i="20"/>
  <c r="AH374" i="20"/>
  <c r="AH379" i="20"/>
  <c r="AH384" i="20"/>
  <c r="AH390" i="20"/>
  <c r="AH395" i="20"/>
  <c r="AH400" i="20"/>
  <c r="AH404" i="20"/>
  <c r="AH408" i="20"/>
  <c r="AH412" i="20"/>
  <c r="AH416" i="20"/>
  <c r="AH420" i="20"/>
  <c r="AH424" i="20"/>
  <c r="AH428" i="20"/>
  <c r="AH432" i="20"/>
  <c r="AH436" i="20"/>
  <c r="AH440" i="20"/>
  <c r="AH444" i="20"/>
  <c r="AH448" i="20"/>
  <c r="AH452" i="20"/>
  <c r="AH100" i="20"/>
  <c r="AH122" i="20"/>
  <c r="AH143" i="20"/>
  <c r="AH164" i="20"/>
  <c r="AH186" i="20"/>
  <c r="AH207" i="20"/>
  <c r="AH228" i="20"/>
  <c r="AH250" i="20"/>
  <c r="AH271" i="20"/>
  <c r="AH292" i="20"/>
  <c r="AH314" i="20"/>
  <c r="AH335" i="20"/>
  <c r="AH356" i="20"/>
  <c r="AH378" i="20"/>
  <c r="AH399" i="20"/>
  <c r="AH415" i="20"/>
  <c r="AH431" i="20"/>
  <c r="AH447" i="20"/>
  <c r="AH106" i="20"/>
  <c r="AH148" i="20"/>
  <c r="AH170" i="20"/>
  <c r="AH212" i="20"/>
  <c r="AH298" i="20"/>
  <c r="AH340" i="20"/>
  <c r="AH362" i="20"/>
  <c r="AH419" i="20"/>
  <c r="AH111" i="20"/>
  <c r="AH175" i="20"/>
  <c r="AH218" i="20"/>
  <c r="AH260" i="20"/>
  <c r="AH303" i="20"/>
  <c r="AH367" i="20"/>
  <c r="AH388" i="20"/>
  <c r="AH423" i="20"/>
  <c r="AH116" i="20"/>
  <c r="AH138" i="20"/>
  <c r="AH159" i="20"/>
  <c r="AH180" i="20"/>
  <c r="AH202" i="20"/>
  <c r="AH223" i="20"/>
  <c r="AH244" i="20"/>
  <c r="AH266" i="20"/>
  <c r="AH287" i="20"/>
  <c r="AH308" i="20"/>
  <c r="AH330" i="20"/>
  <c r="AH351" i="20"/>
  <c r="AH372" i="20"/>
  <c r="AH394" i="20"/>
  <c r="AH411" i="20"/>
  <c r="AH427" i="20"/>
  <c r="AH443" i="20"/>
  <c r="AH127" i="20"/>
  <c r="AH191" i="20"/>
  <c r="AH234" i="20"/>
  <c r="AH255" i="20"/>
  <c r="AH276" i="20"/>
  <c r="AH319" i="20"/>
  <c r="AH383" i="20"/>
  <c r="AH403" i="20"/>
  <c r="AH435" i="20"/>
  <c r="AH451" i="20"/>
  <c r="AH132" i="20"/>
  <c r="AH154" i="20"/>
  <c r="AH196" i="20"/>
  <c r="AH239" i="20"/>
  <c r="AH282" i="20"/>
  <c r="AH324" i="20"/>
  <c r="AH346" i="20"/>
  <c r="AH407" i="20"/>
  <c r="AH439" i="20"/>
  <c r="AH455" i="20"/>
  <c r="H13" i="37"/>
  <c r="J13" i="37"/>
  <c r="J12" i="37"/>
  <c r="H12" i="37"/>
  <c r="I13" i="37"/>
  <c r="I12" i="37"/>
  <c r="E13" i="37"/>
  <c r="G13" i="37"/>
  <c r="G12" i="37"/>
  <c r="E12" i="37"/>
  <c r="AA59" i="20"/>
  <c r="AE59" i="20"/>
  <c r="X59" i="20"/>
  <c r="AB59" i="20"/>
  <c r="AF59" i="20"/>
  <c r="Y59" i="20"/>
  <c r="AC59" i="20"/>
  <c r="AG59" i="20"/>
  <c r="Z59" i="20"/>
  <c r="AD59" i="20"/>
  <c r="X63" i="20"/>
  <c r="AB63" i="20"/>
  <c r="AF63" i="20"/>
  <c r="Y63" i="20"/>
  <c r="AC63" i="20"/>
  <c r="AG63" i="20"/>
  <c r="Z63" i="20"/>
  <c r="AD63" i="20"/>
  <c r="AA63" i="20"/>
  <c r="AE63" i="20"/>
  <c r="X66" i="20"/>
  <c r="AB66" i="20"/>
  <c r="AF66" i="20"/>
  <c r="Y66" i="20"/>
  <c r="AC66" i="20"/>
  <c r="AG66" i="20"/>
  <c r="Z66" i="20"/>
  <c r="AD66" i="20"/>
  <c r="AA66" i="20"/>
  <c r="AE66" i="20"/>
  <c r="X62" i="20"/>
  <c r="AB62" i="20"/>
  <c r="AF62" i="20"/>
  <c r="Y62" i="20"/>
  <c r="AC62" i="20"/>
  <c r="AG62" i="20"/>
  <c r="Z62" i="20"/>
  <c r="AD62" i="20"/>
  <c r="AA62" i="20"/>
  <c r="AE62" i="20"/>
  <c r="X65" i="20"/>
  <c r="AB65" i="20"/>
  <c r="AF65" i="20"/>
  <c r="Y65" i="20"/>
  <c r="AC65" i="20"/>
  <c r="AG65" i="20"/>
  <c r="Z65" i="20"/>
  <c r="AD65" i="20"/>
  <c r="AA65" i="20"/>
  <c r="AE65" i="20"/>
  <c r="X64" i="20"/>
  <c r="AB64" i="20"/>
  <c r="AF64" i="20"/>
  <c r="Y64" i="20"/>
  <c r="AC64" i="20"/>
  <c r="AG64" i="20"/>
  <c r="Z64" i="20"/>
  <c r="AD64" i="20"/>
  <c r="AA64" i="20"/>
  <c r="AE64" i="20"/>
  <c r="AA72" i="20"/>
  <c r="AB72" i="20"/>
  <c r="AF83" i="20"/>
  <c r="X83" i="20"/>
  <c r="X76" i="20"/>
  <c r="AA76" i="20"/>
  <c r="Y82" i="20"/>
  <c r="AG71" i="20"/>
  <c r="AF71" i="20"/>
  <c r="AE71" i="20"/>
  <c r="AC72" i="20"/>
  <c r="AG76" i="20"/>
  <c r="Y83" i="20"/>
  <c r="X72" i="20"/>
  <c r="AG83" i="20"/>
  <c r="Z83" i="20"/>
  <c r="Z76" i="20"/>
  <c r="AB76" i="20"/>
  <c r="X82" i="20"/>
  <c r="AC82" i="20"/>
  <c r="AA82" i="20"/>
  <c r="AE76" i="20"/>
  <c r="Z71" i="20"/>
  <c r="AC76" i="20"/>
  <c r="Y72" i="20"/>
  <c r="Y71" i="20"/>
  <c r="AD83" i="20"/>
  <c r="AF72" i="20"/>
  <c r="AB83" i="20"/>
  <c r="AD76" i="20"/>
  <c r="AF76" i="20"/>
  <c r="AB82" i="20"/>
  <c r="Z82" i="20"/>
  <c r="AE82" i="20"/>
  <c r="X71" i="20"/>
  <c r="AD71" i="20"/>
  <c r="AG82" i="20"/>
  <c r="AE83" i="20"/>
  <c r="AA83" i="20"/>
  <c r="Z72" i="20"/>
  <c r="Y76" i="20"/>
  <c r="AD72" i="20"/>
  <c r="AC83" i="20"/>
  <c r="AC71" i="20"/>
  <c r="AF82" i="20"/>
  <c r="AD82" i="20"/>
  <c r="AA71" i="20"/>
  <c r="AB71" i="20"/>
  <c r="AG72" i="20"/>
  <c r="AE72" i="20"/>
  <c r="Z69" i="20"/>
  <c r="AE69" i="20"/>
  <c r="Z70" i="20"/>
  <c r="AE70" i="20"/>
  <c r="Y70" i="20"/>
  <c r="AE95" i="20"/>
  <c r="Y95" i="20"/>
  <c r="AD95" i="20"/>
  <c r="AF68" i="20"/>
  <c r="Z68" i="20"/>
  <c r="AE68" i="20"/>
  <c r="AB121" i="20"/>
  <c r="AG121" i="20"/>
  <c r="Y69" i="20"/>
  <c r="AD69" i="20"/>
  <c r="X69" i="20"/>
  <c r="AD70" i="20"/>
  <c r="X70" i="20"/>
  <c r="AC70" i="20"/>
  <c r="X95" i="20"/>
  <c r="AC95" i="20"/>
  <c r="AD68" i="20"/>
  <c r="AA121" i="20"/>
  <c r="AF121" i="20"/>
  <c r="Z121" i="20"/>
  <c r="AC69" i="20"/>
  <c r="AB69" i="20"/>
  <c r="AB70" i="20"/>
  <c r="AG70" i="20"/>
  <c r="AB95" i="20"/>
  <c r="AG95" i="20"/>
  <c r="X68" i="20"/>
  <c r="AC68" i="20"/>
  <c r="AE121" i="20"/>
  <c r="Y121" i="20"/>
  <c r="AD121" i="20"/>
  <c r="AG69" i="20"/>
  <c r="AA69" i="20"/>
  <c r="AF69" i="20"/>
  <c r="AA70" i="20"/>
  <c r="AF70" i="20"/>
  <c r="AA95" i="20"/>
  <c r="AF95" i="20"/>
  <c r="Z95" i="20"/>
  <c r="AB68" i="20"/>
  <c r="AG68" i="20"/>
  <c r="AA68" i="20"/>
  <c r="X121" i="20"/>
  <c r="AC121" i="20"/>
  <c r="Y74" i="20"/>
  <c r="AD74" i="20"/>
  <c r="X74" i="20"/>
  <c r="AB74" i="20"/>
  <c r="AC74" i="20"/>
  <c r="AG74" i="20"/>
  <c r="AA74" i="20"/>
  <c r="AF74" i="20"/>
  <c r="Z74" i="20"/>
  <c r="AE74" i="20"/>
  <c r="Z75" i="20"/>
  <c r="AE75" i="20"/>
  <c r="Y75" i="20"/>
  <c r="AA75" i="20"/>
  <c r="AF75" i="20"/>
  <c r="AD75" i="20"/>
  <c r="X75" i="20"/>
  <c r="AC75" i="20"/>
  <c r="AB75" i="20"/>
  <c r="AG75" i="20"/>
  <c r="X73" i="20"/>
  <c r="AC73" i="20"/>
  <c r="AG73" i="20"/>
  <c r="Z73" i="20"/>
  <c r="Y73" i="20"/>
  <c r="AB73" i="20"/>
  <c r="AA73" i="20"/>
  <c r="AD73" i="20"/>
  <c r="AF73" i="20"/>
  <c r="AE73" i="20"/>
  <c r="Z112" i="20"/>
  <c r="AE112" i="20"/>
  <c r="Y112" i="20"/>
  <c r="AD112" i="20"/>
  <c r="X112" i="20"/>
  <c r="AC112" i="20"/>
  <c r="AB112" i="20"/>
  <c r="AG112" i="20"/>
  <c r="AA112" i="20"/>
  <c r="AF112" i="20"/>
  <c r="Z122" i="20"/>
  <c r="AF122" i="20"/>
  <c r="AA122" i="20"/>
  <c r="AE123" i="20"/>
  <c r="Z123" i="20"/>
  <c r="AG122" i="20"/>
  <c r="AB122" i="20"/>
  <c r="AF123" i="20"/>
  <c r="AA123" i="20"/>
  <c r="AG123" i="20"/>
  <c r="AC122" i="20"/>
  <c r="X122" i="20"/>
  <c r="AB123" i="20"/>
  <c r="AC123" i="20"/>
  <c r="AD122" i="20"/>
  <c r="Y122" i="20"/>
  <c r="AE122" i="20"/>
  <c r="X123" i="20"/>
  <c r="AD123" i="20"/>
  <c r="Y123" i="20"/>
  <c r="Z127" i="20"/>
  <c r="AD127" i="20"/>
  <c r="Y127" i="20"/>
  <c r="AE127" i="20"/>
  <c r="AA127" i="20"/>
  <c r="AF127" i="20"/>
  <c r="AB127" i="20"/>
  <c r="AG127" i="20"/>
  <c r="AC127" i="20"/>
  <c r="X127" i="20"/>
  <c r="AA128" i="20"/>
  <c r="AE128" i="20"/>
  <c r="Y128" i="20"/>
  <c r="AD128" i="20"/>
  <c r="Z128" i="20"/>
  <c r="AF128" i="20"/>
  <c r="AB128" i="20"/>
  <c r="AG128" i="20"/>
  <c r="X128" i="20"/>
  <c r="AC128" i="20"/>
  <c r="Z94" i="20"/>
  <c r="AD94" i="20"/>
  <c r="AA94" i="20"/>
  <c r="AF94" i="20"/>
  <c r="AB94" i="20"/>
  <c r="AG94" i="20"/>
  <c r="X94" i="20"/>
  <c r="AC94" i="20"/>
  <c r="AE94" i="20"/>
  <c r="Y94" i="20"/>
  <c r="Z115" i="20"/>
  <c r="AD115" i="20"/>
  <c r="AA115" i="20"/>
  <c r="AE115" i="20"/>
  <c r="X115" i="20"/>
  <c r="AF115" i="20"/>
  <c r="Y115" i="20"/>
  <c r="AG115" i="20"/>
  <c r="AB115" i="20"/>
  <c r="AC115" i="20"/>
  <c r="Z111" i="20"/>
  <c r="AD111" i="20"/>
  <c r="AA111" i="20"/>
  <c r="AE111" i="20"/>
  <c r="AB111" i="20"/>
  <c r="AC111" i="20"/>
  <c r="X111" i="20"/>
  <c r="AF111" i="20"/>
  <c r="Y111" i="20"/>
  <c r="AG111" i="20"/>
  <c r="AA108" i="20"/>
  <c r="AE108" i="20"/>
  <c r="X108" i="20"/>
  <c r="AB108" i="20"/>
  <c r="AF108" i="20"/>
  <c r="AC108" i="20"/>
  <c r="AD108" i="20"/>
  <c r="Y108" i="20"/>
  <c r="AG108" i="20"/>
  <c r="Z108" i="20"/>
  <c r="X104" i="20"/>
  <c r="AB104" i="20"/>
  <c r="AF104" i="20"/>
  <c r="Y104" i="20"/>
  <c r="AC104" i="20"/>
  <c r="AG104" i="20"/>
  <c r="AD104" i="20"/>
  <c r="AE104" i="20"/>
  <c r="Z104" i="20"/>
  <c r="AA104" i="20"/>
  <c r="X109" i="20"/>
  <c r="AB109" i="20"/>
  <c r="AF109" i="20"/>
  <c r="Y109" i="20"/>
  <c r="AC109" i="20"/>
  <c r="AG109" i="20"/>
  <c r="Z109" i="20"/>
  <c r="AA109" i="20"/>
  <c r="AD109" i="20"/>
  <c r="AE109" i="20"/>
  <c r="Y110" i="20"/>
  <c r="AC110" i="20"/>
  <c r="AG110" i="20"/>
  <c r="Z110" i="20"/>
  <c r="AD110" i="20"/>
  <c r="AE110" i="20"/>
  <c r="X110" i="20"/>
  <c r="AF110" i="20"/>
  <c r="AA110" i="20"/>
  <c r="AB110" i="20"/>
  <c r="Y105" i="20"/>
  <c r="AC105" i="20"/>
  <c r="AG105" i="20"/>
  <c r="Z105" i="20"/>
  <c r="AD105" i="20"/>
  <c r="AA105" i="20"/>
  <c r="AB105" i="20"/>
  <c r="AE105" i="20"/>
  <c r="AF105" i="20"/>
  <c r="X105" i="20"/>
  <c r="AA103" i="20"/>
  <c r="AE103" i="20"/>
  <c r="X103" i="20"/>
  <c r="AB103" i="20"/>
  <c r="AF103" i="20"/>
  <c r="Y103" i="20"/>
  <c r="AG103" i="20"/>
  <c r="Z103" i="20"/>
  <c r="AC103" i="20"/>
  <c r="AD103" i="20"/>
  <c r="Z106" i="20"/>
  <c r="AD106" i="20"/>
  <c r="AA106" i="20"/>
  <c r="AE106" i="20"/>
  <c r="X106" i="20"/>
  <c r="AF106" i="20"/>
  <c r="Y106" i="20"/>
  <c r="AG106" i="20"/>
  <c r="AB106" i="20"/>
  <c r="AC106" i="20"/>
  <c r="X100" i="20"/>
  <c r="AB100" i="20"/>
  <c r="AF100" i="20"/>
  <c r="Z100" i="20"/>
  <c r="AD100" i="20"/>
  <c r="AA100" i="20"/>
  <c r="AE100" i="20"/>
  <c r="Y100" i="20"/>
  <c r="AC100" i="20"/>
  <c r="AG100" i="20"/>
  <c r="Y101" i="20"/>
  <c r="AC101" i="20"/>
  <c r="AG101" i="20"/>
  <c r="AA101" i="20"/>
  <c r="AE101" i="20"/>
  <c r="X101" i="20"/>
  <c r="AB101" i="20"/>
  <c r="AF101" i="20"/>
  <c r="AD101" i="20"/>
  <c r="Z101" i="20"/>
  <c r="Z102" i="20"/>
  <c r="AD102" i="20"/>
  <c r="X102" i="20"/>
  <c r="AB102" i="20"/>
  <c r="AF102" i="20"/>
  <c r="Y102" i="20"/>
  <c r="AC102" i="20"/>
  <c r="AG102" i="20"/>
  <c r="AA102" i="20"/>
  <c r="AE102" i="20"/>
  <c r="X96" i="20"/>
  <c r="AB96" i="20"/>
  <c r="AF96" i="20"/>
  <c r="Z96" i="20"/>
  <c r="AD96" i="20"/>
  <c r="AA96" i="20"/>
  <c r="AE96" i="20"/>
  <c r="Y96" i="20"/>
  <c r="AC96" i="20"/>
  <c r="AG96" i="20"/>
  <c r="Y97" i="20"/>
  <c r="AC97" i="20"/>
  <c r="AG97" i="20"/>
  <c r="AA97" i="20"/>
  <c r="AE97" i="20"/>
  <c r="X97" i="20"/>
  <c r="AB97" i="20"/>
  <c r="AF97" i="20"/>
  <c r="Z97" i="20"/>
  <c r="AD97" i="20"/>
  <c r="Z98" i="20"/>
  <c r="AD98" i="20"/>
  <c r="X98" i="20"/>
  <c r="AB98" i="20"/>
  <c r="AF98" i="20"/>
  <c r="Y98" i="20"/>
  <c r="AC98" i="20"/>
  <c r="AG98" i="20"/>
  <c r="AE98" i="20"/>
  <c r="AA98" i="20"/>
  <c r="AA99" i="20"/>
  <c r="AE99" i="20"/>
  <c r="Y99" i="20"/>
  <c r="AC99" i="20"/>
  <c r="AG99" i="20"/>
  <c r="Z99" i="20"/>
  <c r="AD99" i="20"/>
  <c r="X99" i="20"/>
  <c r="AB99" i="20"/>
  <c r="AF99" i="20"/>
  <c r="X85" i="20"/>
  <c r="AB85" i="20"/>
  <c r="AF85" i="20"/>
  <c r="Y85" i="20"/>
  <c r="AC85" i="20"/>
  <c r="AG85" i="20"/>
  <c r="Z85" i="20"/>
  <c r="AD85" i="20"/>
  <c r="AA85" i="20"/>
  <c r="AE85" i="20"/>
  <c r="X89" i="20"/>
  <c r="AB89" i="20"/>
  <c r="AF89" i="20"/>
  <c r="Z89" i="20"/>
  <c r="AD89" i="20"/>
  <c r="AA89" i="20"/>
  <c r="AE89" i="20"/>
  <c r="AG89" i="20"/>
  <c r="Y89" i="20"/>
  <c r="AC89" i="20"/>
  <c r="Y90" i="20"/>
  <c r="AC90" i="20"/>
  <c r="AG90" i="20"/>
  <c r="AA90" i="20"/>
  <c r="AE90" i="20"/>
  <c r="X90" i="20"/>
  <c r="AB90" i="20"/>
  <c r="AF90" i="20"/>
  <c r="Z90" i="20"/>
  <c r="AD90" i="20"/>
  <c r="Z91" i="20"/>
  <c r="AD91" i="20"/>
  <c r="X91" i="20"/>
  <c r="AB91" i="20"/>
  <c r="AF91" i="20"/>
  <c r="Y91" i="20"/>
  <c r="AC91" i="20"/>
  <c r="AG91" i="20"/>
  <c r="AA91" i="20"/>
  <c r="AE91" i="20"/>
  <c r="Z87" i="20"/>
  <c r="AD87" i="20"/>
  <c r="AA87" i="20"/>
  <c r="AE87" i="20"/>
  <c r="X87" i="20"/>
  <c r="AB87" i="20"/>
  <c r="AF87" i="20"/>
  <c r="Y87" i="20"/>
  <c r="AC87" i="20"/>
  <c r="AG87" i="20"/>
  <c r="AA88" i="20"/>
  <c r="AE88" i="20"/>
  <c r="X88" i="20"/>
  <c r="Y88" i="20"/>
  <c r="AC88" i="20"/>
  <c r="AG88" i="20"/>
  <c r="Z88" i="20"/>
  <c r="AD88" i="20"/>
  <c r="AB88" i="20"/>
  <c r="AF88" i="20"/>
  <c r="AA92" i="20"/>
  <c r="AE92" i="20"/>
  <c r="Y92" i="20"/>
  <c r="AC92" i="20"/>
  <c r="AG92" i="20"/>
  <c r="Z92" i="20"/>
  <c r="AD92" i="20"/>
  <c r="AF92" i="20"/>
  <c r="X92" i="20"/>
  <c r="AB92" i="20"/>
  <c r="Y86" i="20"/>
  <c r="AC86" i="20"/>
  <c r="AG86" i="20"/>
  <c r="Z86" i="20"/>
  <c r="AD86" i="20"/>
  <c r="AA86" i="20"/>
  <c r="AE86" i="20"/>
  <c r="X86" i="20"/>
  <c r="AB86" i="20"/>
  <c r="AF86" i="20"/>
  <c r="AA84" i="20"/>
  <c r="AE84" i="20"/>
  <c r="X84" i="20"/>
  <c r="AB84" i="20"/>
  <c r="AF84" i="20"/>
  <c r="Y84" i="20"/>
  <c r="AC84" i="20"/>
  <c r="AG84" i="20"/>
  <c r="Z84" i="20"/>
  <c r="AD84" i="20"/>
  <c r="X81" i="20"/>
  <c r="AB81" i="20"/>
  <c r="AF81" i="20"/>
  <c r="Y81" i="20"/>
  <c r="AC81" i="20"/>
  <c r="AG81" i="20"/>
  <c r="Z81" i="20"/>
  <c r="AD81" i="20"/>
  <c r="AA81" i="20"/>
  <c r="AE81" i="20"/>
  <c r="Z80" i="20"/>
  <c r="AD80" i="20"/>
  <c r="AA80" i="20"/>
  <c r="AE80" i="20"/>
  <c r="X80" i="20"/>
  <c r="AB80" i="20"/>
  <c r="AF80" i="20"/>
  <c r="Y80" i="20"/>
  <c r="AC80" i="20"/>
  <c r="AG80" i="20"/>
  <c r="AA77" i="20"/>
  <c r="AE77" i="20"/>
  <c r="X77" i="20"/>
  <c r="AB77" i="20"/>
  <c r="AF77" i="20"/>
  <c r="Y77" i="20"/>
  <c r="AC77" i="20"/>
  <c r="AG77" i="20"/>
  <c r="Z77" i="20"/>
  <c r="AD77" i="20"/>
  <c r="X78" i="20"/>
  <c r="AB78" i="20"/>
  <c r="AF78" i="20"/>
  <c r="Y78" i="20"/>
  <c r="AC78" i="20"/>
  <c r="AG78" i="20"/>
  <c r="Z78" i="20"/>
  <c r="AD78" i="20"/>
  <c r="AA78" i="20"/>
  <c r="AE78" i="20"/>
  <c r="Y79" i="20"/>
  <c r="AC79" i="20"/>
  <c r="AG79" i="20"/>
  <c r="Z79" i="20"/>
  <c r="AD79" i="20"/>
  <c r="AA79" i="20"/>
  <c r="AE79" i="20"/>
  <c r="X79" i="20"/>
  <c r="AB79" i="20"/>
  <c r="AF79" i="20"/>
  <c r="X453" i="20"/>
  <c r="AB453" i="20"/>
  <c r="AF453" i="20"/>
  <c r="Y453" i="20"/>
  <c r="AC453" i="20"/>
  <c r="AG453" i="20"/>
  <c r="Z453" i="20"/>
  <c r="AD453" i="20"/>
  <c r="AA453" i="20"/>
  <c r="AE453" i="20"/>
  <c r="Y454" i="20"/>
  <c r="AC454" i="20"/>
  <c r="AG454" i="20"/>
  <c r="Z454" i="20"/>
  <c r="AD454" i="20"/>
  <c r="AA454" i="20"/>
  <c r="AE454" i="20"/>
  <c r="X454" i="20"/>
  <c r="AB454" i="20"/>
  <c r="AF454" i="20"/>
  <c r="Z455" i="20"/>
  <c r="AD455" i="20"/>
  <c r="AA455" i="20"/>
  <c r="AE455" i="20"/>
  <c r="X455" i="20"/>
  <c r="AB455" i="20"/>
  <c r="AF455" i="20"/>
  <c r="Y455" i="20"/>
  <c r="AC455" i="20"/>
  <c r="AG455" i="20"/>
  <c r="AA448" i="20"/>
  <c r="AE448" i="20"/>
  <c r="X448" i="20"/>
  <c r="AB448" i="20"/>
  <c r="AF448" i="20"/>
  <c r="Y448" i="20"/>
  <c r="AC448" i="20"/>
  <c r="AG448" i="20"/>
  <c r="Z448" i="20"/>
  <c r="AD448" i="20"/>
  <c r="X449" i="20"/>
  <c r="AB449" i="20"/>
  <c r="AF449" i="20"/>
  <c r="Y449" i="20"/>
  <c r="AC449" i="20"/>
  <c r="AG449" i="20"/>
  <c r="Z449" i="20"/>
  <c r="AD449" i="20"/>
  <c r="AA449" i="20"/>
  <c r="AE449" i="20"/>
  <c r="Y450" i="20"/>
  <c r="AC450" i="20"/>
  <c r="AG450" i="20"/>
  <c r="Z450" i="20"/>
  <c r="AD450" i="20"/>
  <c r="AA450" i="20"/>
  <c r="AE450" i="20"/>
  <c r="X450" i="20"/>
  <c r="AB450" i="20"/>
  <c r="AF450" i="20"/>
  <c r="Z451" i="20"/>
  <c r="AD451" i="20"/>
  <c r="AA451" i="20"/>
  <c r="AE451" i="20"/>
  <c r="X451" i="20"/>
  <c r="AB451" i="20"/>
  <c r="AF451" i="20"/>
  <c r="Y451" i="20"/>
  <c r="AC451" i="20"/>
  <c r="AG451" i="20"/>
  <c r="AA452" i="20"/>
  <c r="AE452" i="20"/>
  <c r="X452" i="20"/>
  <c r="AB452" i="20"/>
  <c r="AF452" i="20"/>
  <c r="Y452" i="20"/>
  <c r="AC452" i="20"/>
  <c r="AG452" i="20"/>
  <c r="Z452" i="20"/>
  <c r="AD452" i="20"/>
  <c r="Z443" i="20"/>
  <c r="AD443" i="20"/>
  <c r="AA443" i="20"/>
  <c r="AE443" i="20"/>
  <c r="X443" i="20"/>
  <c r="AB443" i="20"/>
  <c r="AF443" i="20"/>
  <c r="Y443" i="20"/>
  <c r="AC443" i="20"/>
  <c r="AG443" i="20"/>
  <c r="AA444" i="20"/>
  <c r="AE444" i="20"/>
  <c r="X444" i="20"/>
  <c r="AB444" i="20"/>
  <c r="AF444" i="20"/>
  <c r="Y444" i="20"/>
  <c r="AC444" i="20"/>
  <c r="AG444" i="20"/>
  <c r="Z444" i="20"/>
  <c r="AD444" i="20"/>
  <c r="X445" i="20"/>
  <c r="AB445" i="20"/>
  <c r="AF445" i="20"/>
  <c r="Y445" i="20"/>
  <c r="AC445" i="20"/>
  <c r="AG445" i="20"/>
  <c r="Z445" i="20"/>
  <c r="AD445" i="20"/>
  <c r="AA445" i="20"/>
  <c r="AE445" i="20"/>
  <c r="Y446" i="20"/>
  <c r="AC446" i="20"/>
  <c r="AG446" i="20"/>
  <c r="Z446" i="20"/>
  <c r="AD446" i="20"/>
  <c r="AA446" i="20"/>
  <c r="AE446" i="20"/>
  <c r="X446" i="20"/>
  <c r="AB446" i="20"/>
  <c r="AF446" i="20"/>
  <c r="Z447" i="20"/>
  <c r="AD447" i="20"/>
  <c r="AA447" i="20"/>
  <c r="AE447" i="20"/>
  <c r="X447" i="20"/>
  <c r="AB447" i="20"/>
  <c r="AF447" i="20"/>
  <c r="Y447" i="20"/>
  <c r="AC447" i="20"/>
  <c r="AG447" i="20"/>
  <c r="X437" i="20"/>
  <c r="AB437" i="20"/>
  <c r="AF437" i="20"/>
  <c r="Y437" i="20"/>
  <c r="AC437" i="20"/>
  <c r="AG437" i="20"/>
  <c r="Z437" i="20"/>
  <c r="AD437" i="20"/>
  <c r="AA437" i="20"/>
  <c r="AE437" i="20"/>
  <c r="Y438" i="20"/>
  <c r="AC438" i="20"/>
  <c r="AG438" i="20"/>
  <c r="Z438" i="20"/>
  <c r="AD438" i="20"/>
  <c r="AA438" i="20"/>
  <c r="AE438" i="20"/>
  <c r="X438" i="20"/>
  <c r="AB438" i="20"/>
  <c r="AF438" i="20"/>
  <c r="Z439" i="20"/>
  <c r="AD439" i="20"/>
  <c r="AA439" i="20"/>
  <c r="AE439" i="20"/>
  <c r="X439" i="20"/>
  <c r="AB439" i="20"/>
  <c r="AF439" i="20"/>
  <c r="Y439" i="20"/>
  <c r="AC439" i="20"/>
  <c r="AG439" i="20"/>
  <c r="AA440" i="20"/>
  <c r="AE440" i="20"/>
  <c r="X440" i="20"/>
  <c r="AB440" i="20"/>
  <c r="AF440" i="20"/>
  <c r="Y440" i="20"/>
  <c r="AC440" i="20"/>
  <c r="AG440" i="20"/>
  <c r="Z440" i="20"/>
  <c r="AD440" i="20"/>
  <c r="X441" i="20"/>
  <c r="AB441" i="20"/>
  <c r="AF441" i="20"/>
  <c r="Y441" i="20"/>
  <c r="AC441" i="20"/>
  <c r="AG441" i="20"/>
  <c r="Z441" i="20"/>
  <c r="AD441" i="20"/>
  <c r="AA441" i="20"/>
  <c r="AE441" i="20"/>
  <c r="Y442" i="20"/>
  <c r="AC442" i="20"/>
  <c r="AG442" i="20"/>
  <c r="Z442" i="20"/>
  <c r="AD442" i="20"/>
  <c r="AA442" i="20"/>
  <c r="AE442" i="20"/>
  <c r="X442" i="20"/>
  <c r="AB442" i="20"/>
  <c r="AF442" i="20"/>
  <c r="X430" i="20"/>
  <c r="AB430" i="20"/>
  <c r="AF430" i="20"/>
  <c r="AC430" i="20"/>
  <c r="Y430" i="20"/>
  <c r="AD430" i="20"/>
  <c r="Z430" i="20"/>
  <c r="AE430" i="20"/>
  <c r="AA430" i="20"/>
  <c r="AG430" i="20"/>
  <c r="Y431" i="20"/>
  <c r="AC431" i="20"/>
  <c r="AG431" i="20"/>
  <c r="AB431" i="20"/>
  <c r="X431" i="20"/>
  <c r="AD431" i="20"/>
  <c r="Z431" i="20"/>
  <c r="AE431" i="20"/>
  <c r="AA431" i="20"/>
  <c r="AF431" i="20"/>
  <c r="AA432" i="20"/>
  <c r="AE432" i="20"/>
  <c r="X432" i="20"/>
  <c r="AB432" i="20"/>
  <c r="AF432" i="20"/>
  <c r="Y432" i="20"/>
  <c r="AC432" i="20"/>
  <c r="AG432" i="20"/>
  <c r="Z432" i="20"/>
  <c r="AD432" i="20"/>
  <c r="X433" i="20"/>
  <c r="AB433" i="20"/>
  <c r="AF433" i="20"/>
  <c r="Y433" i="20"/>
  <c r="AC433" i="20"/>
  <c r="AG433" i="20"/>
  <c r="Z433" i="20"/>
  <c r="AD433" i="20"/>
  <c r="AA433" i="20"/>
  <c r="AE433" i="20"/>
  <c r="Y434" i="20"/>
  <c r="AC434" i="20"/>
  <c r="AG434" i="20"/>
  <c r="Z434" i="20"/>
  <c r="AD434" i="20"/>
  <c r="AA434" i="20"/>
  <c r="AE434" i="20"/>
  <c r="X434" i="20"/>
  <c r="AB434" i="20"/>
  <c r="AF434" i="20"/>
  <c r="Z435" i="20"/>
  <c r="AD435" i="20"/>
  <c r="AA435" i="20"/>
  <c r="AE435" i="20"/>
  <c r="X435" i="20"/>
  <c r="AB435" i="20"/>
  <c r="AF435" i="20"/>
  <c r="Y435" i="20"/>
  <c r="AC435" i="20"/>
  <c r="AG435" i="20"/>
  <c r="AA436" i="20"/>
  <c r="AE436" i="20"/>
  <c r="X436" i="20"/>
  <c r="AB436" i="20"/>
  <c r="AF436" i="20"/>
  <c r="Y436" i="20"/>
  <c r="AC436" i="20"/>
  <c r="AG436" i="20"/>
  <c r="Z436" i="20"/>
  <c r="AD436" i="20"/>
  <c r="X426" i="20"/>
  <c r="AB426" i="20"/>
  <c r="AF426" i="20"/>
  <c r="Y426" i="20"/>
  <c r="AD426" i="20"/>
  <c r="Z426" i="20"/>
  <c r="AE426" i="20"/>
  <c r="AA426" i="20"/>
  <c r="AG426" i="20"/>
  <c r="AC426" i="20"/>
  <c r="Y427" i="20"/>
  <c r="AC427" i="20"/>
  <c r="AG427" i="20"/>
  <c r="X427" i="20"/>
  <c r="AD427" i="20"/>
  <c r="Z427" i="20"/>
  <c r="AE427" i="20"/>
  <c r="AA427" i="20"/>
  <c r="AF427" i="20"/>
  <c r="AB427" i="20"/>
  <c r="Z428" i="20"/>
  <c r="AD428" i="20"/>
  <c r="X428" i="20"/>
  <c r="AC428" i="20"/>
  <c r="Y428" i="20"/>
  <c r="AE428" i="20"/>
  <c r="AA428" i="20"/>
  <c r="AF428" i="20"/>
  <c r="AB428" i="20"/>
  <c r="AG428" i="20"/>
  <c r="AA429" i="20"/>
  <c r="AE429" i="20"/>
  <c r="X429" i="20"/>
  <c r="AC429" i="20"/>
  <c r="Y429" i="20"/>
  <c r="AD429" i="20"/>
  <c r="Z429" i="20"/>
  <c r="AF429" i="20"/>
  <c r="AB429" i="20"/>
  <c r="AG429" i="20"/>
  <c r="Z416" i="20"/>
  <c r="AD416" i="20"/>
  <c r="AB416" i="20"/>
  <c r="AG416" i="20"/>
  <c r="X416" i="20"/>
  <c r="AC416" i="20"/>
  <c r="Y416" i="20"/>
  <c r="AE416" i="20"/>
  <c r="AA416" i="20"/>
  <c r="AF416" i="20"/>
  <c r="AA417" i="20"/>
  <c r="AE417" i="20"/>
  <c r="AB417" i="20"/>
  <c r="AG417" i="20"/>
  <c r="X417" i="20"/>
  <c r="AC417" i="20"/>
  <c r="Y417" i="20"/>
  <c r="AD417" i="20"/>
  <c r="Z417" i="20"/>
  <c r="AF417" i="20"/>
  <c r="X418" i="20"/>
  <c r="AB418" i="20"/>
  <c r="AF418" i="20"/>
  <c r="AA418" i="20"/>
  <c r="AG418" i="20"/>
  <c r="AC418" i="20"/>
  <c r="Y418" i="20"/>
  <c r="AD418" i="20"/>
  <c r="Z418" i="20"/>
  <c r="AE418" i="20"/>
  <c r="Y419" i="20"/>
  <c r="AC419" i="20"/>
  <c r="AG419" i="20"/>
  <c r="AA419" i="20"/>
  <c r="AF419" i="20"/>
  <c r="AB419" i="20"/>
  <c r="X419" i="20"/>
  <c r="AD419" i="20"/>
  <c r="Z419" i="20"/>
  <c r="AE419" i="20"/>
  <c r="Z420" i="20"/>
  <c r="AD420" i="20"/>
  <c r="AA420" i="20"/>
  <c r="AF420" i="20"/>
  <c r="AB420" i="20"/>
  <c r="AG420" i="20"/>
  <c r="X420" i="20"/>
  <c r="AC420" i="20"/>
  <c r="Y420" i="20"/>
  <c r="AE420" i="20"/>
  <c r="AA421" i="20"/>
  <c r="AE421" i="20"/>
  <c r="Z421" i="20"/>
  <c r="AF421" i="20"/>
  <c r="AB421" i="20"/>
  <c r="AG421" i="20"/>
  <c r="X421" i="20"/>
  <c r="AC421" i="20"/>
  <c r="Y421" i="20"/>
  <c r="AD421" i="20"/>
  <c r="X422" i="20"/>
  <c r="AB422" i="20"/>
  <c r="AF422" i="20"/>
  <c r="Z422" i="20"/>
  <c r="AE422" i="20"/>
  <c r="AA422" i="20"/>
  <c r="AG422" i="20"/>
  <c r="AC422" i="20"/>
  <c r="Y422" i="20"/>
  <c r="AD422" i="20"/>
  <c r="Y423" i="20"/>
  <c r="AC423" i="20"/>
  <c r="AG423" i="20"/>
  <c r="Z423" i="20"/>
  <c r="AE423" i="20"/>
  <c r="AA423" i="20"/>
  <c r="AF423" i="20"/>
  <c r="AB423" i="20"/>
  <c r="X423" i="20"/>
  <c r="AD423" i="20"/>
  <c r="Z424" i="20"/>
  <c r="AD424" i="20"/>
  <c r="Y424" i="20"/>
  <c r="AE424" i="20"/>
  <c r="AA424" i="20"/>
  <c r="AF424" i="20"/>
  <c r="AB424" i="20"/>
  <c r="AG424" i="20"/>
  <c r="X424" i="20"/>
  <c r="AC424" i="20"/>
  <c r="AA425" i="20"/>
  <c r="AE425" i="20"/>
  <c r="Y425" i="20"/>
  <c r="AD425" i="20"/>
  <c r="Z425" i="20"/>
  <c r="AF425" i="20"/>
  <c r="AB425" i="20"/>
  <c r="AG425" i="20"/>
  <c r="X425" i="20"/>
  <c r="AC425" i="20"/>
  <c r="X410" i="20"/>
  <c r="AB410" i="20"/>
  <c r="AF410" i="20"/>
  <c r="Y410" i="20"/>
  <c r="AD410" i="20"/>
  <c r="Z410" i="20"/>
  <c r="AE410" i="20"/>
  <c r="AA410" i="20"/>
  <c r="AG410" i="20"/>
  <c r="AC410" i="20"/>
  <c r="Y411" i="20"/>
  <c r="AC411" i="20"/>
  <c r="AG411" i="20"/>
  <c r="X411" i="20"/>
  <c r="AD411" i="20"/>
  <c r="Z411" i="20"/>
  <c r="AE411" i="20"/>
  <c r="AA411" i="20"/>
  <c r="AF411" i="20"/>
  <c r="AB411" i="20"/>
  <c r="Z412" i="20"/>
  <c r="AD412" i="20"/>
  <c r="X412" i="20"/>
  <c r="AC412" i="20"/>
  <c r="Y412" i="20"/>
  <c r="AE412" i="20"/>
  <c r="AA412" i="20"/>
  <c r="AF412" i="20"/>
  <c r="AB412" i="20"/>
  <c r="AG412" i="20"/>
  <c r="AA413" i="20"/>
  <c r="AE413" i="20"/>
  <c r="X413" i="20"/>
  <c r="AC413" i="20"/>
  <c r="Y413" i="20"/>
  <c r="AD413" i="20"/>
  <c r="Z413" i="20"/>
  <c r="AF413" i="20"/>
  <c r="AB413" i="20"/>
  <c r="AG413" i="20"/>
  <c r="X414" i="20"/>
  <c r="AB414" i="20"/>
  <c r="AF414" i="20"/>
  <c r="AC414" i="20"/>
  <c r="Y414" i="20"/>
  <c r="AD414" i="20"/>
  <c r="Z414" i="20"/>
  <c r="AE414" i="20"/>
  <c r="AA414" i="20"/>
  <c r="AG414" i="20"/>
  <c r="Y415" i="20"/>
  <c r="AC415" i="20"/>
  <c r="AG415" i="20"/>
  <c r="AB415" i="20"/>
  <c r="X415" i="20"/>
  <c r="AD415" i="20"/>
  <c r="Z415" i="20"/>
  <c r="AE415" i="20"/>
  <c r="AA415" i="20"/>
  <c r="AF415" i="20"/>
  <c r="AA409" i="20"/>
  <c r="AE409" i="20"/>
  <c r="Y409" i="20"/>
  <c r="AD409" i="20"/>
  <c r="Z409" i="20"/>
  <c r="AF409" i="20"/>
  <c r="AB409" i="20"/>
  <c r="AG409" i="20"/>
  <c r="X409" i="20"/>
  <c r="AC409" i="20"/>
  <c r="Z408" i="20"/>
  <c r="AD408" i="20"/>
  <c r="Y408" i="20"/>
  <c r="AE408" i="20"/>
  <c r="AA408" i="20"/>
  <c r="AF408" i="20"/>
  <c r="AB408" i="20"/>
  <c r="AG408" i="20"/>
  <c r="X408" i="20"/>
  <c r="AC408" i="20"/>
  <c r="X406" i="20"/>
  <c r="AB406" i="20"/>
  <c r="AF406" i="20"/>
  <c r="Z406" i="20"/>
  <c r="AE406" i="20"/>
  <c r="AA406" i="20"/>
  <c r="AG406" i="20"/>
  <c r="AC406" i="20"/>
  <c r="Y406" i="20"/>
  <c r="AD406" i="20"/>
  <c r="Y407" i="20"/>
  <c r="AC407" i="20"/>
  <c r="AG407" i="20"/>
  <c r="Z407" i="20"/>
  <c r="AE407" i="20"/>
  <c r="AF407" i="20"/>
  <c r="AA407" i="20"/>
  <c r="AB407" i="20"/>
  <c r="X407" i="20"/>
  <c r="AD407" i="20"/>
  <c r="AA405" i="20"/>
  <c r="AE405" i="20"/>
  <c r="Z405" i="20"/>
  <c r="AF405" i="20"/>
  <c r="AB405" i="20"/>
  <c r="AG405" i="20"/>
  <c r="X405" i="20"/>
  <c r="AC405" i="20"/>
  <c r="Y405" i="20"/>
  <c r="AD405" i="20"/>
  <c r="Z404" i="20"/>
  <c r="AD404" i="20"/>
  <c r="AA404" i="20"/>
  <c r="AF404" i="20"/>
  <c r="AB404" i="20"/>
  <c r="AG404" i="20"/>
  <c r="X404" i="20"/>
  <c r="AC404" i="20"/>
  <c r="Y404" i="20"/>
  <c r="AE404" i="20"/>
  <c r="X402" i="20"/>
  <c r="AB402" i="20"/>
  <c r="AF402" i="20"/>
  <c r="AA402" i="20"/>
  <c r="AG402" i="20"/>
  <c r="AC402" i="20"/>
  <c r="Y402" i="20"/>
  <c r="AD402" i="20"/>
  <c r="Z402" i="20"/>
  <c r="AE402" i="20"/>
  <c r="Y403" i="20"/>
  <c r="AC403" i="20"/>
  <c r="AG403" i="20"/>
  <c r="AA403" i="20"/>
  <c r="AF403" i="20"/>
  <c r="AB403" i="20"/>
  <c r="X403" i="20"/>
  <c r="AD403" i="20"/>
  <c r="Z403" i="20"/>
  <c r="AE403" i="20"/>
  <c r="AA401" i="20"/>
  <c r="AE401" i="20"/>
  <c r="AB401" i="20"/>
  <c r="AG401" i="20"/>
  <c r="X401" i="20"/>
  <c r="AC401" i="20"/>
  <c r="Y401" i="20"/>
  <c r="AD401" i="20"/>
  <c r="Z401" i="20"/>
  <c r="AF401" i="20"/>
  <c r="Z400" i="20"/>
  <c r="AD400" i="20"/>
  <c r="AB400" i="20"/>
  <c r="AG400" i="20"/>
  <c r="X400" i="20"/>
  <c r="AC400" i="20"/>
  <c r="Y400" i="20"/>
  <c r="AE400" i="20"/>
  <c r="AA400" i="20"/>
  <c r="AF400" i="20"/>
  <c r="Y399" i="20"/>
  <c r="AC399" i="20"/>
  <c r="AG399" i="20"/>
  <c r="AB399" i="20"/>
  <c r="X399" i="20"/>
  <c r="AD399" i="20"/>
  <c r="Z399" i="20"/>
  <c r="AE399" i="20"/>
  <c r="AA399" i="20"/>
  <c r="AF399" i="20"/>
  <c r="AA397" i="20"/>
  <c r="AE397" i="20"/>
  <c r="X397" i="20"/>
  <c r="AC397" i="20"/>
  <c r="Y397" i="20"/>
  <c r="AD397" i="20"/>
  <c r="Z397" i="20"/>
  <c r="AF397" i="20"/>
  <c r="AB397" i="20"/>
  <c r="AG397" i="20"/>
  <c r="X398" i="20"/>
  <c r="AB398" i="20"/>
  <c r="AF398" i="20"/>
  <c r="AC398" i="20"/>
  <c r="Y398" i="20"/>
  <c r="AD398" i="20"/>
  <c r="Z398" i="20"/>
  <c r="AE398" i="20"/>
  <c r="AA398" i="20"/>
  <c r="AG398" i="20"/>
  <c r="Y395" i="20"/>
  <c r="AC395" i="20"/>
  <c r="AG395" i="20"/>
  <c r="X395" i="20"/>
  <c r="AD395" i="20"/>
  <c r="Z395" i="20"/>
  <c r="AE395" i="20"/>
  <c r="AA395" i="20"/>
  <c r="AF395" i="20"/>
  <c r="AB395" i="20"/>
  <c r="Z396" i="20"/>
  <c r="AD396" i="20"/>
  <c r="X396" i="20"/>
  <c r="AC396" i="20"/>
  <c r="Y396" i="20"/>
  <c r="AE396" i="20"/>
  <c r="AA396" i="20"/>
  <c r="AF396" i="20"/>
  <c r="AB396" i="20"/>
  <c r="AG396" i="20"/>
  <c r="AA394" i="20"/>
  <c r="X394" i="20"/>
  <c r="AB394" i="20"/>
  <c r="AF394" i="20"/>
  <c r="AD394" i="20"/>
  <c r="Y394" i="20"/>
  <c r="AE394" i="20"/>
  <c r="Z394" i="20"/>
  <c r="AG394" i="20"/>
  <c r="AC394" i="20"/>
  <c r="Z393" i="20"/>
  <c r="AD393" i="20"/>
  <c r="AA393" i="20"/>
  <c r="AE393" i="20"/>
  <c r="Y393" i="20"/>
  <c r="AG393" i="20"/>
  <c r="AB393" i="20"/>
  <c r="AC393" i="20"/>
  <c r="X393" i="20"/>
  <c r="AF393" i="20"/>
  <c r="Y389" i="20"/>
  <c r="Z389" i="20"/>
  <c r="AD389" i="20"/>
  <c r="AA389" i="20"/>
  <c r="AE389" i="20"/>
  <c r="AC389" i="20"/>
  <c r="AF389" i="20"/>
  <c r="X389" i="20"/>
  <c r="AG389" i="20"/>
  <c r="AB389" i="20"/>
  <c r="AA390" i="20"/>
  <c r="AE390" i="20"/>
  <c r="X390" i="20"/>
  <c r="AB390" i="20"/>
  <c r="AF390" i="20"/>
  <c r="Z390" i="20"/>
  <c r="AC390" i="20"/>
  <c r="AD390" i="20"/>
  <c r="Y390" i="20"/>
  <c r="AG390" i="20"/>
  <c r="X391" i="20"/>
  <c r="AB391" i="20"/>
  <c r="AF391" i="20"/>
  <c r="Y391" i="20"/>
  <c r="AC391" i="20"/>
  <c r="AG391" i="20"/>
  <c r="AE391" i="20"/>
  <c r="Z391" i="20"/>
  <c r="AA391" i="20"/>
  <c r="AD391" i="20"/>
  <c r="Y392" i="20"/>
  <c r="AC392" i="20"/>
  <c r="AG392" i="20"/>
  <c r="Z392" i="20"/>
  <c r="AD392" i="20"/>
  <c r="AB392" i="20"/>
  <c r="AE392" i="20"/>
  <c r="X392" i="20"/>
  <c r="AF392" i="20"/>
  <c r="AA392" i="20"/>
  <c r="X388" i="20"/>
  <c r="AB388" i="20"/>
  <c r="AF388" i="20"/>
  <c r="Y388" i="20"/>
  <c r="AC388" i="20"/>
  <c r="AG388" i="20"/>
  <c r="Z388" i="20"/>
  <c r="AD388" i="20"/>
  <c r="AA388" i="20"/>
  <c r="AE388" i="20"/>
  <c r="AA387" i="20"/>
  <c r="AE387" i="20"/>
  <c r="X387" i="20"/>
  <c r="AB387" i="20"/>
  <c r="AF387" i="20"/>
  <c r="Y387" i="20"/>
  <c r="AC387" i="20"/>
  <c r="AG387" i="20"/>
  <c r="Z387" i="20"/>
  <c r="AD387" i="20"/>
  <c r="Z386" i="20"/>
  <c r="AD386" i="20"/>
  <c r="AA386" i="20"/>
  <c r="AE386" i="20"/>
  <c r="X386" i="20"/>
  <c r="AB386" i="20"/>
  <c r="AF386" i="20"/>
  <c r="AG386" i="20"/>
  <c r="Y386" i="20"/>
  <c r="AC386" i="20"/>
  <c r="Y385" i="20"/>
  <c r="AC385" i="20"/>
  <c r="AG385" i="20"/>
  <c r="Z385" i="20"/>
  <c r="AD385" i="20"/>
  <c r="AA385" i="20"/>
  <c r="AE385" i="20"/>
  <c r="AB385" i="20"/>
  <c r="AF385" i="20"/>
  <c r="X385" i="20"/>
  <c r="AA383" i="20"/>
  <c r="AE383" i="20"/>
  <c r="X383" i="20"/>
  <c r="AB383" i="20"/>
  <c r="AF383" i="20"/>
  <c r="Y383" i="20"/>
  <c r="AC383" i="20"/>
  <c r="AG383" i="20"/>
  <c r="Z383" i="20"/>
  <c r="AD383" i="20"/>
  <c r="X384" i="20"/>
  <c r="AB384" i="20"/>
  <c r="AF384" i="20"/>
  <c r="Y384" i="20"/>
  <c r="AC384" i="20"/>
  <c r="AG384" i="20"/>
  <c r="Z384" i="20"/>
  <c r="AD384" i="20"/>
  <c r="AA384" i="20"/>
  <c r="AE384" i="20"/>
  <c r="X380" i="20"/>
  <c r="AB380" i="20"/>
  <c r="AF380" i="20"/>
  <c r="Y380" i="20"/>
  <c r="AC380" i="20"/>
  <c r="AG380" i="20"/>
  <c r="Z380" i="20"/>
  <c r="AD380" i="20"/>
  <c r="AA380" i="20"/>
  <c r="AE380" i="20"/>
  <c r="Y381" i="20"/>
  <c r="AC381" i="20"/>
  <c r="AG381" i="20"/>
  <c r="Z381" i="20"/>
  <c r="AD381" i="20"/>
  <c r="AA381" i="20"/>
  <c r="AE381" i="20"/>
  <c r="X381" i="20"/>
  <c r="AB381" i="20"/>
  <c r="AF381" i="20"/>
  <c r="Z382" i="20"/>
  <c r="AD382" i="20"/>
  <c r="AA382" i="20"/>
  <c r="AE382" i="20"/>
  <c r="X382" i="20"/>
  <c r="AB382" i="20"/>
  <c r="AF382" i="20"/>
  <c r="AC382" i="20"/>
  <c r="AG382" i="20"/>
  <c r="Y382" i="20"/>
  <c r="AA379" i="20"/>
  <c r="AE379" i="20"/>
  <c r="X379" i="20"/>
  <c r="AB379" i="20"/>
  <c r="AF379" i="20"/>
  <c r="Y379" i="20"/>
  <c r="AC379" i="20"/>
  <c r="AG379" i="20"/>
  <c r="AD379" i="20"/>
  <c r="Z379" i="20"/>
  <c r="Z378" i="20"/>
  <c r="AD378" i="20"/>
  <c r="AA378" i="20"/>
  <c r="AE378" i="20"/>
  <c r="X378" i="20"/>
  <c r="AB378" i="20"/>
  <c r="AF378" i="20"/>
  <c r="Y378" i="20"/>
  <c r="AC378" i="20"/>
  <c r="AG378" i="20"/>
  <c r="Y377" i="20"/>
  <c r="AC377" i="20"/>
  <c r="AG377" i="20"/>
  <c r="Z377" i="20"/>
  <c r="AD377" i="20"/>
  <c r="AA377" i="20"/>
  <c r="AE377" i="20"/>
  <c r="X377" i="20"/>
  <c r="AB377" i="20"/>
  <c r="AF377" i="20"/>
  <c r="AA371" i="20"/>
  <c r="AE371" i="20"/>
  <c r="X371" i="20"/>
  <c r="AB371" i="20"/>
  <c r="AF371" i="20"/>
  <c r="Y371" i="20"/>
  <c r="AC371" i="20"/>
  <c r="AG371" i="20"/>
  <c r="Z371" i="20"/>
  <c r="AD371" i="20"/>
  <c r="X372" i="20"/>
  <c r="AB372" i="20"/>
  <c r="AF372" i="20"/>
  <c r="Y372" i="20"/>
  <c r="AC372" i="20"/>
  <c r="AG372" i="20"/>
  <c r="Z372" i="20"/>
  <c r="AD372" i="20"/>
  <c r="AA372" i="20"/>
  <c r="AE372" i="20"/>
  <c r="Y373" i="20"/>
  <c r="AC373" i="20"/>
  <c r="AG373" i="20"/>
  <c r="Z373" i="20"/>
  <c r="AD373" i="20"/>
  <c r="AA373" i="20"/>
  <c r="AE373" i="20"/>
  <c r="AF373" i="20"/>
  <c r="X373" i="20"/>
  <c r="AB373" i="20"/>
  <c r="Z374" i="20"/>
  <c r="AD374" i="20"/>
  <c r="AA374" i="20"/>
  <c r="AE374" i="20"/>
  <c r="X374" i="20"/>
  <c r="AB374" i="20"/>
  <c r="AF374" i="20"/>
  <c r="Y374" i="20"/>
  <c r="AC374" i="20"/>
  <c r="AG374" i="20"/>
  <c r="AA375" i="20"/>
  <c r="AE375" i="20"/>
  <c r="X375" i="20"/>
  <c r="AB375" i="20"/>
  <c r="AF375" i="20"/>
  <c r="Y375" i="20"/>
  <c r="AC375" i="20"/>
  <c r="AG375" i="20"/>
  <c r="Z375" i="20"/>
  <c r="AD375" i="20"/>
  <c r="X376" i="20"/>
  <c r="AB376" i="20"/>
  <c r="AF376" i="20"/>
  <c r="Y376" i="20"/>
  <c r="AC376" i="20"/>
  <c r="AG376" i="20"/>
  <c r="Z376" i="20"/>
  <c r="AD376" i="20"/>
  <c r="AE376" i="20"/>
  <c r="AA376" i="20"/>
  <c r="Y365" i="20"/>
  <c r="AC365" i="20"/>
  <c r="AG365" i="20"/>
  <c r="Z365" i="20"/>
  <c r="AD365" i="20"/>
  <c r="AA365" i="20"/>
  <c r="AE365" i="20"/>
  <c r="X365" i="20"/>
  <c r="AB365" i="20"/>
  <c r="AF365" i="20"/>
  <c r="Z366" i="20"/>
  <c r="AD366" i="20"/>
  <c r="AA366" i="20"/>
  <c r="AE366" i="20"/>
  <c r="X366" i="20"/>
  <c r="AB366" i="20"/>
  <c r="AF366" i="20"/>
  <c r="AC366" i="20"/>
  <c r="AG366" i="20"/>
  <c r="Y366" i="20"/>
  <c r="AA367" i="20"/>
  <c r="AE367" i="20"/>
  <c r="X367" i="20"/>
  <c r="AB367" i="20"/>
  <c r="AF367" i="20"/>
  <c r="Y367" i="20"/>
  <c r="AC367" i="20"/>
  <c r="AG367" i="20"/>
  <c r="Z367" i="20"/>
  <c r="AD367" i="20"/>
  <c r="X368" i="20"/>
  <c r="AB368" i="20"/>
  <c r="AF368" i="20"/>
  <c r="Y368" i="20"/>
  <c r="AC368" i="20"/>
  <c r="AG368" i="20"/>
  <c r="Z368" i="20"/>
  <c r="AD368" i="20"/>
  <c r="AA368" i="20"/>
  <c r="AE368" i="20"/>
  <c r="Y369" i="20"/>
  <c r="AC369" i="20"/>
  <c r="AG369" i="20"/>
  <c r="Z369" i="20"/>
  <c r="AD369" i="20"/>
  <c r="AA369" i="20"/>
  <c r="AE369" i="20"/>
  <c r="AB369" i="20"/>
  <c r="AF369" i="20"/>
  <c r="X369" i="20"/>
  <c r="Z370" i="20"/>
  <c r="AD370" i="20"/>
  <c r="AA370" i="20"/>
  <c r="AE370" i="20"/>
  <c r="X370" i="20"/>
  <c r="AB370" i="20"/>
  <c r="AF370" i="20"/>
  <c r="AG370" i="20"/>
  <c r="Y370" i="20"/>
  <c r="AC370" i="20"/>
  <c r="Z358" i="20"/>
  <c r="AD358" i="20"/>
  <c r="AA358" i="20"/>
  <c r="AE358" i="20"/>
  <c r="X358" i="20"/>
  <c r="AB358" i="20"/>
  <c r="AF358" i="20"/>
  <c r="Y358" i="20"/>
  <c r="AC358" i="20"/>
  <c r="AG358" i="20"/>
  <c r="AA359" i="20"/>
  <c r="AE359" i="20"/>
  <c r="X359" i="20"/>
  <c r="AB359" i="20"/>
  <c r="AF359" i="20"/>
  <c r="Y359" i="20"/>
  <c r="AC359" i="20"/>
  <c r="AG359" i="20"/>
  <c r="Z359" i="20"/>
  <c r="AD359" i="20"/>
  <c r="X360" i="20"/>
  <c r="AB360" i="20"/>
  <c r="AF360" i="20"/>
  <c r="Y360" i="20"/>
  <c r="AC360" i="20"/>
  <c r="AG360" i="20"/>
  <c r="Z360" i="20"/>
  <c r="AD360" i="20"/>
  <c r="AE360" i="20"/>
  <c r="AA360" i="20"/>
  <c r="Y361" i="20"/>
  <c r="AC361" i="20"/>
  <c r="AG361" i="20"/>
  <c r="Z361" i="20"/>
  <c r="AD361" i="20"/>
  <c r="AA361" i="20"/>
  <c r="AE361" i="20"/>
  <c r="X361" i="20"/>
  <c r="AB361" i="20"/>
  <c r="AF361" i="20"/>
  <c r="Z362" i="20"/>
  <c r="AD362" i="20"/>
  <c r="AA362" i="20"/>
  <c r="AE362" i="20"/>
  <c r="X362" i="20"/>
  <c r="AB362" i="20"/>
  <c r="AF362" i="20"/>
  <c r="Y362" i="20"/>
  <c r="AC362" i="20"/>
  <c r="AG362" i="20"/>
  <c r="AA363" i="20"/>
  <c r="AE363" i="20"/>
  <c r="X363" i="20"/>
  <c r="AB363" i="20"/>
  <c r="AF363" i="20"/>
  <c r="Y363" i="20"/>
  <c r="AC363" i="20"/>
  <c r="AG363" i="20"/>
  <c r="AD363" i="20"/>
  <c r="Z363" i="20"/>
  <c r="X364" i="20"/>
  <c r="AB364" i="20"/>
  <c r="AF364" i="20"/>
  <c r="Y364" i="20"/>
  <c r="AC364" i="20"/>
  <c r="AG364" i="20"/>
  <c r="Z364" i="20"/>
  <c r="AD364" i="20"/>
  <c r="AA364" i="20"/>
  <c r="AE364" i="20"/>
  <c r="Y357" i="20"/>
  <c r="AC357" i="20"/>
  <c r="AG357" i="20"/>
  <c r="Z357" i="20"/>
  <c r="AD357" i="20"/>
  <c r="AA357" i="20"/>
  <c r="AE357" i="20"/>
  <c r="AF357" i="20"/>
  <c r="X357" i="20"/>
  <c r="AB357" i="20"/>
  <c r="X356" i="20"/>
  <c r="AB356" i="20"/>
  <c r="AF356" i="20"/>
  <c r="Y356" i="20"/>
  <c r="AC356" i="20"/>
  <c r="AG356" i="20"/>
  <c r="Z356" i="20"/>
  <c r="AD356" i="20"/>
  <c r="AA356" i="20"/>
  <c r="AE356" i="20"/>
  <c r="Z354" i="20"/>
  <c r="AD354" i="20"/>
  <c r="AA354" i="20"/>
  <c r="AE354" i="20"/>
  <c r="X354" i="20"/>
  <c r="AB354" i="20"/>
  <c r="AF354" i="20"/>
  <c r="AG354" i="20"/>
  <c r="Y354" i="20"/>
  <c r="AC354" i="20"/>
  <c r="AA355" i="20"/>
  <c r="AE355" i="20"/>
  <c r="X355" i="20"/>
  <c r="AB355" i="20"/>
  <c r="AF355" i="20"/>
  <c r="Y355" i="20"/>
  <c r="AC355" i="20"/>
  <c r="AG355" i="20"/>
  <c r="Z355" i="20"/>
  <c r="AD355" i="20"/>
  <c r="Z350" i="20"/>
  <c r="AD350" i="20"/>
  <c r="AA350" i="20"/>
  <c r="AE350" i="20"/>
  <c r="X350" i="20"/>
  <c r="AB350" i="20"/>
  <c r="AF350" i="20"/>
  <c r="AC350" i="20"/>
  <c r="AG350" i="20"/>
  <c r="Y350" i="20"/>
  <c r="AA351" i="20"/>
  <c r="AE351" i="20"/>
  <c r="X351" i="20"/>
  <c r="AB351" i="20"/>
  <c r="AF351" i="20"/>
  <c r="Y351" i="20"/>
  <c r="AC351" i="20"/>
  <c r="AG351" i="20"/>
  <c r="Z351" i="20"/>
  <c r="AD351" i="20"/>
  <c r="X352" i="20"/>
  <c r="AB352" i="20"/>
  <c r="AF352" i="20"/>
  <c r="Y352" i="20"/>
  <c r="AC352" i="20"/>
  <c r="AG352" i="20"/>
  <c r="Z352" i="20"/>
  <c r="AD352" i="20"/>
  <c r="AA352" i="20"/>
  <c r="AE352" i="20"/>
  <c r="Y353" i="20"/>
  <c r="AC353" i="20"/>
  <c r="AG353" i="20"/>
  <c r="Z353" i="20"/>
  <c r="AD353" i="20"/>
  <c r="AA353" i="20"/>
  <c r="AE353" i="20"/>
  <c r="AB353" i="20"/>
  <c r="AF353" i="20"/>
  <c r="X353" i="20"/>
  <c r="AA331" i="20"/>
  <c r="AE331" i="20"/>
  <c r="X331" i="20"/>
  <c r="AB331" i="20"/>
  <c r="AF331" i="20"/>
  <c r="Y331" i="20"/>
  <c r="AC331" i="20"/>
  <c r="AG331" i="20"/>
  <c r="AD331" i="20"/>
  <c r="Z331" i="20"/>
  <c r="X332" i="20"/>
  <c r="AB332" i="20"/>
  <c r="AF332" i="20"/>
  <c r="Y332" i="20"/>
  <c r="AC332" i="20"/>
  <c r="AG332" i="20"/>
  <c r="Z332" i="20"/>
  <c r="AD332" i="20"/>
  <c r="AA332" i="20"/>
  <c r="AE332" i="20"/>
  <c r="Y333" i="20"/>
  <c r="AC333" i="20"/>
  <c r="AG333" i="20"/>
  <c r="Z333" i="20"/>
  <c r="AD333" i="20"/>
  <c r="AA333" i="20"/>
  <c r="AE333" i="20"/>
  <c r="X333" i="20"/>
  <c r="AB333" i="20"/>
  <c r="AF333" i="20"/>
  <c r="Z334" i="20"/>
  <c r="AD334" i="20"/>
  <c r="AA334" i="20"/>
  <c r="AE334" i="20"/>
  <c r="X334" i="20"/>
  <c r="AB334" i="20"/>
  <c r="AF334" i="20"/>
  <c r="AC334" i="20"/>
  <c r="AG334" i="20"/>
  <c r="Y334" i="20"/>
  <c r="AA335" i="20"/>
  <c r="AE335" i="20"/>
  <c r="X335" i="20"/>
  <c r="AB335" i="20"/>
  <c r="AF335" i="20"/>
  <c r="Y335" i="20"/>
  <c r="AC335" i="20"/>
  <c r="AG335" i="20"/>
  <c r="Z335" i="20"/>
  <c r="AD335" i="20"/>
  <c r="X336" i="20"/>
  <c r="AB336" i="20"/>
  <c r="AF336" i="20"/>
  <c r="Y336" i="20"/>
  <c r="AC336" i="20"/>
  <c r="AG336" i="20"/>
  <c r="Z336" i="20"/>
  <c r="AD336" i="20"/>
  <c r="AA336" i="20"/>
  <c r="AE336" i="20"/>
  <c r="Y337" i="20"/>
  <c r="AC337" i="20"/>
  <c r="AG337" i="20"/>
  <c r="Z337" i="20"/>
  <c r="AD337" i="20"/>
  <c r="AA337" i="20"/>
  <c r="AE337" i="20"/>
  <c r="AB337" i="20"/>
  <c r="AF337" i="20"/>
  <c r="X337" i="20"/>
  <c r="Z338" i="20"/>
  <c r="AD338" i="20"/>
  <c r="AA338" i="20"/>
  <c r="AE338" i="20"/>
  <c r="X338" i="20"/>
  <c r="AB338" i="20"/>
  <c r="AF338" i="20"/>
  <c r="AG338" i="20"/>
  <c r="Y338" i="20"/>
  <c r="AC338" i="20"/>
  <c r="AA339" i="20"/>
  <c r="AE339" i="20"/>
  <c r="X339" i="20"/>
  <c r="AB339" i="20"/>
  <c r="AF339" i="20"/>
  <c r="Y339" i="20"/>
  <c r="AC339" i="20"/>
  <c r="AG339" i="20"/>
  <c r="Z339" i="20"/>
  <c r="AD339" i="20"/>
  <c r="X340" i="20"/>
  <c r="AB340" i="20"/>
  <c r="AF340" i="20"/>
  <c r="Y340" i="20"/>
  <c r="AC340" i="20"/>
  <c r="AG340" i="20"/>
  <c r="Z340" i="20"/>
  <c r="AD340" i="20"/>
  <c r="AA340" i="20"/>
  <c r="AE340" i="20"/>
  <c r="Y341" i="20"/>
  <c r="AC341" i="20"/>
  <c r="AG341" i="20"/>
  <c r="Z341" i="20"/>
  <c r="AD341" i="20"/>
  <c r="AA341" i="20"/>
  <c r="AE341" i="20"/>
  <c r="AF341" i="20"/>
  <c r="X341" i="20"/>
  <c r="AB341" i="20"/>
  <c r="Z342" i="20"/>
  <c r="AD342" i="20"/>
  <c r="AA342" i="20"/>
  <c r="AE342" i="20"/>
  <c r="X342" i="20"/>
  <c r="AB342" i="20"/>
  <c r="AF342" i="20"/>
  <c r="Y342" i="20"/>
  <c r="AC342" i="20"/>
  <c r="AG342" i="20"/>
  <c r="AA343" i="20"/>
  <c r="AE343" i="20"/>
  <c r="X343" i="20"/>
  <c r="AB343" i="20"/>
  <c r="AF343" i="20"/>
  <c r="Y343" i="20"/>
  <c r="AC343" i="20"/>
  <c r="AG343" i="20"/>
  <c r="Z343" i="20"/>
  <c r="AD343" i="20"/>
  <c r="X344" i="20"/>
  <c r="AB344" i="20"/>
  <c r="AF344" i="20"/>
  <c r="Y344" i="20"/>
  <c r="AC344" i="20"/>
  <c r="AG344" i="20"/>
  <c r="Z344" i="20"/>
  <c r="AD344" i="20"/>
  <c r="AE344" i="20"/>
  <c r="AA344" i="20"/>
  <c r="Y345" i="20"/>
  <c r="AC345" i="20"/>
  <c r="AG345" i="20"/>
  <c r="Z345" i="20"/>
  <c r="AD345" i="20"/>
  <c r="AA345" i="20"/>
  <c r="AE345" i="20"/>
  <c r="X345" i="20"/>
  <c r="AB345" i="20"/>
  <c r="AF345" i="20"/>
  <c r="Z346" i="20"/>
  <c r="AD346" i="20"/>
  <c r="AA346" i="20"/>
  <c r="AE346" i="20"/>
  <c r="X346" i="20"/>
  <c r="AB346" i="20"/>
  <c r="AF346" i="20"/>
  <c r="Y346" i="20"/>
  <c r="AC346" i="20"/>
  <c r="AG346" i="20"/>
  <c r="AA347" i="20"/>
  <c r="AE347" i="20"/>
  <c r="X347" i="20"/>
  <c r="AB347" i="20"/>
  <c r="AF347" i="20"/>
  <c r="Y347" i="20"/>
  <c r="AC347" i="20"/>
  <c r="AG347" i="20"/>
  <c r="AD347" i="20"/>
  <c r="Z347" i="20"/>
  <c r="X348" i="20"/>
  <c r="AB348" i="20"/>
  <c r="AF348" i="20"/>
  <c r="Y348" i="20"/>
  <c r="AC348" i="20"/>
  <c r="AG348" i="20"/>
  <c r="Z348" i="20"/>
  <c r="AD348" i="20"/>
  <c r="AA348" i="20"/>
  <c r="AE348" i="20"/>
  <c r="Y349" i="20"/>
  <c r="AC349" i="20"/>
  <c r="AG349" i="20"/>
  <c r="Z349" i="20"/>
  <c r="AD349" i="20"/>
  <c r="AA349" i="20"/>
  <c r="AE349" i="20"/>
  <c r="X349" i="20"/>
  <c r="AB349" i="20"/>
  <c r="AF349" i="20"/>
  <c r="Z330" i="20"/>
  <c r="AD330" i="20"/>
  <c r="AA330" i="20"/>
  <c r="AE330" i="20"/>
  <c r="X330" i="20"/>
  <c r="AB330" i="20"/>
  <c r="AF330" i="20"/>
  <c r="Y330" i="20"/>
  <c r="AC330" i="20"/>
  <c r="AG330" i="20"/>
  <c r="X324" i="20"/>
  <c r="AB324" i="20"/>
  <c r="AF324" i="20"/>
  <c r="Y324" i="20"/>
  <c r="AC324" i="20"/>
  <c r="AG324" i="20"/>
  <c r="Z324" i="20"/>
  <c r="AD324" i="20"/>
  <c r="AA324" i="20"/>
  <c r="AE324" i="20"/>
  <c r="Y325" i="20"/>
  <c r="AC325" i="20"/>
  <c r="AG325" i="20"/>
  <c r="Z325" i="20"/>
  <c r="AD325" i="20"/>
  <c r="AA325" i="20"/>
  <c r="AE325" i="20"/>
  <c r="AF325" i="20"/>
  <c r="X325" i="20"/>
  <c r="AB325" i="20"/>
  <c r="Z326" i="20"/>
  <c r="AD326" i="20"/>
  <c r="AA326" i="20"/>
  <c r="AE326" i="20"/>
  <c r="X326" i="20"/>
  <c r="AB326" i="20"/>
  <c r="AF326" i="20"/>
  <c r="Y326" i="20"/>
  <c r="AC326" i="20"/>
  <c r="AG326" i="20"/>
  <c r="AA327" i="20"/>
  <c r="AE327" i="20"/>
  <c r="X327" i="20"/>
  <c r="AB327" i="20"/>
  <c r="AF327" i="20"/>
  <c r="Y327" i="20"/>
  <c r="AC327" i="20"/>
  <c r="AG327" i="20"/>
  <c r="Z327" i="20"/>
  <c r="AD327" i="20"/>
  <c r="X328" i="20"/>
  <c r="AB328" i="20"/>
  <c r="AF328" i="20"/>
  <c r="Y328" i="20"/>
  <c r="AC328" i="20"/>
  <c r="AG328" i="20"/>
  <c r="Z328" i="20"/>
  <c r="AD328" i="20"/>
  <c r="AE328" i="20"/>
  <c r="AA328" i="20"/>
  <c r="Y329" i="20"/>
  <c r="AC329" i="20"/>
  <c r="AG329" i="20"/>
  <c r="Z329" i="20"/>
  <c r="AD329" i="20"/>
  <c r="AA329" i="20"/>
  <c r="AE329" i="20"/>
  <c r="X329" i="20"/>
  <c r="AB329" i="20"/>
  <c r="AF329" i="20"/>
  <c r="Z322" i="20"/>
  <c r="AD322" i="20"/>
  <c r="AA322" i="20"/>
  <c r="AE322" i="20"/>
  <c r="X322" i="20"/>
  <c r="AB322" i="20"/>
  <c r="AF322" i="20"/>
  <c r="AG322" i="20"/>
  <c r="Y322" i="20"/>
  <c r="AC322" i="20"/>
  <c r="AA323" i="20"/>
  <c r="AE323" i="20"/>
  <c r="X323" i="20"/>
  <c r="AB323" i="20"/>
  <c r="AF323" i="20"/>
  <c r="Y323" i="20"/>
  <c r="AC323" i="20"/>
  <c r="AG323" i="20"/>
  <c r="Z323" i="20"/>
  <c r="AD323" i="20"/>
  <c r="X320" i="20"/>
  <c r="AB320" i="20"/>
  <c r="AF320" i="20"/>
  <c r="Y320" i="20"/>
  <c r="AC320" i="20"/>
  <c r="AG320" i="20"/>
  <c r="Z320" i="20"/>
  <c r="AD320" i="20"/>
  <c r="AA320" i="20"/>
  <c r="AE320" i="20"/>
  <c r="Y321" i="20"/>
  <c r="AC321" i="20"/>
  <c r="AG321" i="20"/>
  <c r="Z321" i="20"/>
  <c r="AD321" i="20"/>
  <c r="AA321" i="20"/>
  <c r="AE321" i="20"/>
  <c r="AB321" i="20"/>
  <c r="AF321" i="20"/>
  <c r="X321" i="20"/>
  <c r="Z318" i="20"/>
  <c r="AD318" i="20"/>
  <c r="AA318" i="20"/>
  <c r="AE318" i="20"/>
  <c r="X318" i="20"/>
  <c r="AB318" i="20"/>
  <c r="AF318" i="20"/>
  <c r="AC318" i="20"/>
  <c r="AG318" i="20"/>
  <c r="Y318" i="20"/>
  <c r="AA319" i="20"/>
  <c r="AE319" i="20"/>
  <c r="X319" i="20"/>
  <c r="AB319" i="20"/>
  <c r="AF319" i="20"/>
  <c r="Y319" i="20"/>
  <c r="AC319" i="20"/>
  <c r="AG319" i="20"/>
  <c r="Z319" i="20"/>
  <c r="AD319" i="20"/>
  <c r="X316" i="20"/>
  <c r="AB316" i="20"/>
  <c r="AF316" i="20"/>
  <c r="Y316" i="20"/>
  <c r="AC316" i="20"/>
  <c r="AG316" i="20"/>
  <c r="Z316" i="20"/>
  <c r="AD316" i="20"/>
  <c r="AA316" i="20"/>
  <c r="AE316" i="20"/>
  <c r="Y317" i="20"/>
  <c r="AC317" i="20"/>
  <c r="AG317" i="20"/>
  <c r="Z317" i="20"/>
  <c r="AD317" i="20"/>
  <c r="AA317" i="20"/>
  <c r="AE317" i="20"/>
  <c r="X317" i="20"/>
  <c r="AB317" i="20"/>
  <c r="AF317" i="20"/>
  <c r="Y313" i="20"/>
  <c r="AC313" i="20"/>
  <c r="AG313" i="20"/>
  <c r="Z313" i="20"/>
  <c r="AD313" i="20"/>
  <c r="AE313" i="20"/>
  <c r="X313" i="20"/>
  <c r="AF313" i="20"/>
  <c r="AA313" i="20"/>
  <c r="AB313" i="20"/>
  <c r="Z314" i="20"/>
  <c r="AD314" i="20"/>
  <c r="AA314" i="20"/>
  <c r="AE314" i="20"/>
  <c r="X314" i="20"/>
  <c r="AB314" i="20"/>
  <c r="AF314" i="20"/>
  <c r="Y314" i="20"/>
  <c r="AC314" i="20"/>
  <c r="AG314" i="20"/>
  <c r="AA315" i="20"/>
  <c r="AE315" i="20"/>
  <c r="X315" i="20"/>
  <c r="AB315" i="20"/>
  <c r="AF315" i="20"/>
  <c r="Y315" i="20"/>
  <c r="AC315" i="20"/>
  <c r="AG315" i="20"/>
  <c r="AD315" i="20"/>
  <c r="Z315" i="20"/>
  <c r="AA304" i="20"/>
  <c r="AE304" i="20"/>
  <c r="X304" i="20"/>
  <c r="AB304" i="20"/>
  <c r="AF304" i="20"/>
  <c r="Y304" i="20"/>
  <c r="AC304" i="20"/>
  <c r="AG304" i="20"/>
  <c r="Z304" i="20"/>
  <c r="AD304" i="20"/>
  <c r="X305" i="20"/>
  <c r="AB305" i="20"/>
  <c r="AF305" i="20"/>
  <c r="Y305" i="20"/>
  <c r="AC305" i="20"/>
  <c r="AG305" i="20"/>
  <c r="Z305" i="20"/>
  <c r="AD305" i="20"/>
  <c r="AA305" i="20"/>
  <c r="AE305" i="20"/>
  <c r="Y306" i="20"/>
  <c r="AC306" i="20"/>
  <c r="AG306" i="20"/>
  <c r="Z306" i="20"/>
  <c r="AD306" i="20"/>
  <c r="AA306" i="20"/>
  <c r="AE306" i="20"/>
  <c r="AB306" i="20"/>
  <c r="AF306" i="20"/>
  <c r="X306" i="20"/>
  <c r="Z307" i="20"/>
  <c r="AD307" i="20"/>
  <c r="AA307" i="20"/>
  <c r="AE307" i="20"/>
  <c r="X307" i="20"/>
  <c r="AB307" i="20"/>
  <c r="AF307" i="20"/>
  <c r="AG307" i="20"/>
  <c r="Y307" i="20"/>
  <c r="AC307" i="20"/>
  <c r="AA308" i="20"/>
  <c r="AE308" i="20"/>
  <c r="X308" i="20"/>
  <c r="AB308" i="20"/>
  <c r="AF308" i="20"/>
  <c r="Y308" i="20"/>
  <c r="AC308" i="20"/>
  <c r="AG308" i="20"/>
  <c r="Z308" i="20"/>
  <c r="AD308" i="20"/>
  <c r="X309" i="20"/>
  <c r="AB309" i="20"/>
  <c r="AF309" i="20"/>
  <c r="Y309" i="20"/>
  <c r="AC309" i="20"/>
  <c r="AG309" i="20"/>
  <c r="Z309" i="20"/>
  <c r="AD309" i="20"/>
  <c r="AA309" i="20"/>
  <c r="AE309" i="20"/>
  <c r="Y310" i="20"/>
  <c r="AC310" i="20"/>
  <c r="AG310" i="20"/>
  <c r="Z310" i="20"/>
  <c r="AD310" i="20"/>
  <c r="AA310" i="20"/>
  <c r="AE310" i="20"/>
  <c r="AF310" i="20"/>
  <c r="X310" i="20"/>
  <c r="AB310" i="20"/>
  <c r="Z311" i="20"/>
  <c r="AD311" i="20"/>
  <c r="AA311" i="20"/>
  <c r="AE311" i="20"/>
  <c r="X311" i="20"/>
  <c r="AB311" i="20"/>
  <c r="AF311" i="20"/>
  <c r="Y311" i="20"/>
  <c r="AC311" i="20"/>
  <c r="AG311" i="20"/>
  <c r="X312" i="20"/>
  <c r="AB312" i="20"/>
  <c r="AF312" i="20"/>
  <c r="Y312" i="20"/>
  <c r="AC312" i="20"/>
  <c r="AG312" i="20"/>
  <c r="Z312" i="20"/>
  <c r="AA312" i="20"/>
  <c r="AD312" i="20"/>
  <c r="AE312" i="20"/>
  <c r="AA300" i="20"/>
  <c r="AE300" i="20"/>
  <c r="X300" i="20"/>
  <c r="AB300" i="20"/>
  <c r="AF300" i="20"/>
  <c r="Y300" i="20"/>
  <c r="AC300" i="20"/>
  <c r="AG300" i="20"/>
  <c r="AD300" i="20"/>
  <c r="Z300" i="20"/>
  <c r="X301" i="20"/>
  <c r="AB301" i="20"/>
  <c r="AF301" i="20"/>
  <c r="Y301" i="20"/>
  <c r="AC301" i="20"/>
  <c r="AG301" i="20"/>
  <c r="Z301" i="20"/>
  <c r="AD301" i="20"/>
  <c r="AA301" i="20"/>
  <c r="AE301" i="20"/>
  <c r="Y302" i="20"/>
  <c r="AC302" i="20"/>
  <c r="AG302" i="20"/>
  <c r="Z302" i="20"/>
  <c r="AD302" i="20"/>
  <c r="AA302" i="20"/>
  <c r="AE302" i="20"/>
  <c r="X302" i="20"/>
  <c r="AB302" i="20"/>
  <c r="AF302" i="20"/>
  <c r="Z303" i="20"/>
  <c r="AD303" i="20"/>
  <c r="AA303" i="20"/>
  <c r="AE303" i="20"/>
  <c r="X303" i="20"/>
  <c r="AB303" i="20"/>
  <c r="AF303" i="20"/>
  <c r="AC303" i="20"/>
  <c r="AG303" i="20"/>
  <c r="Y303" i="20"/>
  <c r="Z299" i="20"/>
  <c r="AD299" i="20"/>
  <c r="AA299" i="20"/>
  <c r="AE299" i="20"/>
  <c r="X299" i="20"/>
  <c r="AB299" i="20"/>
  <c r="AF299" i="20"/>
  <c r="Y299" i="20"/>
  <c r="AC299" i="20"/>
  <c r="AG299" i="20"/>
  <c r="AA296" i="20"/>
  <c r="AE296" i="20"/>
  <c r="X296" i="20"/>
  <c r="AB296" i="20"/>
  <c r="AF296" i="20"/>
  <c r="Y296" i="20"/>
  <c r="AC296" i="20"/>
  <c r="AG296" i="20"/>
  <c r="Z296" i="20"/>
  <c r="AD296" i="20"/>
  <c r="X297" i="20"/>
  <c r="AB297" i="20"/>
  <c r="AF297" i="20"/>
  <c r="Y297" i="20"/>
  <c r="AC297" i="20"/>
  <c r="AG297" i="20"/>
  <c r="Z297" i="20"/>
  <c r="AD297" i="20"/>
  <c r="AE297" i="20"/>
  <c r="AA297" i="20"/>
  <c r="Y298" i="20"/>
  <c r="AC298" i="20"/>
  <c r="AG298" i="20"/>
  <c r="Z298" i="20"/>
  <c r="AD298" i="20"/>
  <c r="AA298" i="20"/>
  <c r="AE298" i="20"/>
  <c r="X298" i="20"/>
  <c r="AB298" i="20"/>
  <c r="AF298" i="20"/>
  <c r="Z295" i="20"/>
  <c r="AD295" i="20"/>
  <c r="AA295" i="20"/>
  <c r="AE295" i="20"/>
  <c r="X295" i="20"/>
  <c r="AB295" i="20"/>
  <c r="AF295" i="20"/>
  <c r="Y295" i="20"/>
  <c r="AC295" i="20"/>
  <c r="AG295" i="20"/>
  <c r="AA292" i="20"/>
  <c r="AE292" i="20"/>
  <c r="X292" i="20"/>
  <c r="AB292" i="20"/>
  <c r="AF292" i="20"/>
  <c r="Y292" i="20"/>
  <c r="AC292" i="20"/>
  <c r="AG292" i="20"/>
  <c r="Z292" i="20"/>
  <c r="AD292" i="20"/>
  <c r="X293" i="20"/>
  <c r="AB293" i="20"/>
  <c r="AF293" i="20"/>
  <c r="Y293" i="20"/>
  <c r="AC293" i="20"/>
  <c r="AG293" i="20"/>
  <c r="Z293" i="20"/>
  <c r="AD293" i="20"/>
  <c r="AA293" i="20"/>
  <c r="AE293" i="20"/>
  <c r="Y294" i="20"/>
  <c r="AC294" i="20"/>
  <c r="AG294" i="20"/>
  <c r="Z294" i="20"/>
  <c r="AD294" i="20"/>
  <c r="AA294" i="20"/>
  <c r="AE294" i="20"/>
  <c r="AF294" i="20"/>
  <c r="X294" i="20"/>
  <c r="AB294" i="20"/>
  <c r="Z291" i="20"/>
  <c r="AD291" i="20"/>
  <c r="AA291" i="20"/>
  <c r="AE291" i="20"/>
  <c r="X291" i="20"/>
  <c r="AB291" i="20"/>
  <c r="AF291" i="20"/>
  <c r="Y291" i="20"/>
  <c r="AC291" i="20"/>
  <c r="AG291" i="20"/>
  <c r="Y290" i="20"/>
  <c r="AC290" i="20"/>
  <c r="AG290" i="20"/>
  <c r="Z290" i="20"/>
  <c r="AD290" i="20"/>
  <c r="AA290" i="20"/>
  <c r="AE290" i="20"/>
  <c r="X290" i="20"/>
  <c r="AB290" i="20"/>
  <c r="AF290" i="20"/>
  <c r="X289" i="20"/>
  <c r="AB289" i="20"/>
  <c r="AF289" i="20"/>
  <c r="Y289" i="20"/>
  <c r="AC289" i="20"/>
  <c r="AG289" i="20"/>
  <c r="Z289" i="20"/>
  <c r="AD289" i="20"/>
  <c r="AA289" i="20"/>
  <c r="AE289" i="20"/>
  <c r="Z287" i="20"/>
  <c r="AD287" i="20"/>
  <c r="AA287" i="20"/>
  <c r="AE287" i="20"/>
  <c r="X287" i="20"/>
  <c r="AB287" i="20"/>
  <c r="AF287" i="20"/>
  <c r="Y287" i="20"/>
  <c r="AC287" i="20"/>
  <c r="AG287" i="20"/>
  <c r="AA288" i="20"/>
  <c r="AE288" i="20"/>
  <c r="X288" i="20"/>
  <c r="AB288" i="20"/>
  <c r="AF288" i="20"/>
  <c r="Y288" i="20"/>
  <c r="AC288" i="20"/>
  <c r="AG288" i="20"/>
  <c r="Z288" i="20"/>
  <c r="AD288" i="20"/>
  <c r="X281" i="20"/>
  <c r="AB281" i="20"/>
  <c r="AF281" i="20"/>
  <c r="Y281" i="20"/>
  <c r="AC281" i="20"/>
  <c r="AG281" i="20"/>
  <c r="Z281" i="20"/>
  <c r="AD281" i="20"/>
  <c r="AA281" i="20"/>
  <c r="AE281" i="20"/>
  <c r="Y282" i="20"/>
  <c r="AC282" i="20"/>
  <c r="AG282" i="20"/>
  <c r="Z282" i="20"/>
  <c r="AD282" i="20"/>
  <c r="AA282" i="20"/>
  <c r="AE282" i="20"/>
  <c r="X282" i="20"/>
  <c r="AB282" i="20"/>
  <c r="AF282" i="20"/>
  <c r="Z283" i="20"/>
  <c r="AD283" i="20"/>
  <c r="AA283" i="20"/>
  <c r="AE283" i="20"/>
  <c r="X283" i="20"/>
  <c r="AB283" i="20"/>
  <c r="AF283" i="20"/>
  <c r="Y283" i="20"/>
  <c r="AC283" i="20"/>
  <c r="AG283" i="20"/>
  <c r="AA284" i="20"/>
  <c r="AE284" i="20"/>
  <c r="X284" i="20"/>
  <c r="AB284" i="20"/>
  <c r="AF284" i="20"/>
  <c r="Y284" i="20"/>
  <c r="AC284" i="20"/>
  <c r="AG284" i="20"/>
  <c r="Z284" i="20"/>
  <c r="AD284" i="20"/>
  <c r="X285" i="20"/>
  <c r="AB285" i="20"/>
  <c r="AF285" i="20"/>
  <c r="Y285" i="20"/>
  <c r="AC285" i="20"/>
  <c r="AG285" i="20"/>
  <c r="Z285" i="20"/>
  <c r="AD285" i="20"/>
  <c r="AA285" i="20"/>
  <c r="AE285" i="20"/>
  <c r="Y286" i="20"/>
  <c r="AC286" i="20"/>
  <c r="AG286" i="20"/>
  <c r="Z286" i="20"/>
  <c r="AD286" i="20"/>
  <c r="AA286" i="20"/>
  <c r="AE286" i="20"/>
  <c r="X286" i="20"/>
  <c r="AB286" i="20"/>
  <c r="AF286" i="20"/>
  <c r="Z279" i="20"/>
  <c r="AD279" i="20"/>
  <c r="AA279" i="20"/>
  <c r="AE279" i="20"/>
  <c r="X279" i="20"/>
  <c r="AB279" i="20"/>
  <c r="AF279" i="20"/>
  <c r="Y279" i="20"/>
  <c r="AC279" i="20"/>
  <c r="AG279" i="20"/>
  <c r="AA280" i="20"/>
  <c r="AE280" i="20"/>
  <c r="X280" i="20"/>
  <c r="AB280" i="20"/>
  <c r="AF280" i="20"/>
  <c r="Y280" i="20"/>
  <c r="AC280" i="20"/>
  <c r="AG280" i="20"/>
  <c r="Z280" i="20"/>
  <c r="AD280" i="20"/>
  <c r="X269" i="20"/>
  <c r="AB269" i="20"/>
  <c r="AF269" i="20"/>
  <c r="Y269" i="20"/>
  <c r="AC269" i="20"/>
  <c r="AG269" i="20"/>
  <c r="Z269" i="20"/>
  <c r="AD269" i="20"/>
  <c r="AA269" i="20"/>
  <c r="AE269" i="20"/>
  <c r="Y270" i="20"/>
  <c r="AC270" i="20"/>
  <c r="AG270" i="20"/>
  <c r="Z270" i="20"/>
  <c r="AD270" i="20"/>
  <c r="AA270" i="20"/>
  <c r="AE270" i="20"/>
  <c r="X270" i="20"/>
  <c r="AB270" i="20"/>
  <c r="AF270" i="20"/>
  <c r="Z271" i="20"/>
  <c r="AD271" i="20"/>
  <c r="AA271" i="20"/>
  <c r="AE271" i="20"/>
  <c r="X271" i="20"/>
  <c r="AB271" i="20"/>
  <c r="AF271" i="20"/>
  <c r="Y271" i="20"/>
  <c r="AC271" i="20"/>
  <c r="AG271" i="20"/>
  <c r="AA272" i="20"/>
  <c r="AE272" i="20"/>
  <c r="X272" i="20"/>
  <c r="AB272" i="20"/>
  <c r="AF272" i="20"/>
  <c r="Y272" i="20"/>
  <c r="AC272" i="20"/>
  <c r="AG272" i="20"/>
  <c r="Z272" i="20"/>
  <c r="AD272" i="20"/>
  <c r="X273" i="20"/>
  <c r="AB273" i="20"/>
  <c r="AF273" i="20"/>
  <c r="Y273" i="20"/>
  <c r="AC273" i="20"/>
  <c r="AG273" i="20"/>
  <c r="Z273" i="20"/>
  <c r="AD273" i="20"/>
  <c r="AA273" i="20"/>
  <c r="AE273" i="20"/>
  <c r="Y274" i="20"/>
  <c r="AC274" i="20"/>
  <c r="AG274" i="20"/>
  <c r="Z274" i="20"/>
  <c r="AD274" i="20"/>
  <c r="AA274" i="20"/>
  <c r="AE274" i="20"/>
  <c r="X274" i="20"/>
  <c r="AB274" i="20"/>
  <c r="AF274" i="20"/>
  <c r="Z275" i="20"/>
  <c r="AD275" i="20"/>
  <c r="AA275" i="20"/>
  <c r="AE275" i="20"/>
  <c r="X275" i="20"/>
  <c r="AB275" i="20"/>
  <c r="AF275" i="20"/>
  <c r="Y275" i="20"/>
  <c r="AC275" i="20"/>
  <c r="AG275" i="20"/>
  <c r="AA276" i="20"/>
  <c r="AE276" i="20"/>
  <c r="X276" i="20"/>
  <c r="AB276" i="20"/>
  <c r="AF276" i="20"/>
  <c r="Y276" i="20"/>
  <c r="AC276" i="20"/>
  <c r="AG276" i="20"/>
  <c r="Z276" i="20"/>
  <c r="AD276" i="20"/>
  <c r="X277" i="20"/>
  <c r="AB277" i="20"/>
  <c r="AF277" i="20"/>
  <c r="Y277" i="20"/>
  <c r="AC277" i="20"/>
  <c r="AG277" i="20"/>
  <c r="Z277" i="20"/>
  <c r="AD277" i="20"/>
  <c r="AA277" i="20"/>
  <c r="AE277" i="20"/>
  <c r="Y278" i="20"/>
  <c r="AC278" i="20"/>
  <c r="AG278" i="20"/>
  <c r="Z278" i="20"/>
  <c r="AD278" i="20"/>
  <c r="AA278" i="20"/>
  <c r="AE278" i="20"/>
  <c r="X278" i="20"/>
  <c r="AB278" i="20"/>
  <c r="AF278" i="20"/>
  <c r="AA268" i="20"/>
  <c r="AE268" i="20"/>
  <c r="X268" i="20"/>
  <c r="AB268" i="20"/>
  <c r="AF268" i="20"/>
  <c r="Y268" i="20"/>
  <c r="AC268" i="20"/>
  <c r="AG268" i="20"/>
  <c r="Z268" i="20"/>
  <c r="AD268" i="20"/>
  <c r="Y264" i="20"/>
  <c r="AC264" i="20"/>
  <c r="AG264" i="20"/>
  <c r="Z264" i="20"/>
  <c r="AD264" i="20"/>
  <c r="AA264" i="20"/>
  <c r="AE264" i="20"/>
  <c r="AB264" i="20"/>
  <c r="AF264" i="20"/>
  <c r="X264" i="20"/>
  <c r="Z265" i="20"/>
  <c r="AD265" i="20"/>
  <c r="AA265" i="20"/>
  <c r="AE265" i="20"/>
  <c r="X265" i="20"/>
  <c r="AB265" i="20"/>
  <c r="AF265" i="20"/>
  <c r="AG265" i="20"/>
  <c r="Y265" i="20"/>
  <c r="AC265" i="20"/>
  <c r="AA266" i="20"/>
  <c r="AE266" i="20"/>
  <c r="X266" i="20"/>
  <c r="AB266" i="20"/>
  <c r="AF266" i="20"/>
  <c r="Y266" i="20"/>
  <c r="AC266" i="20"/>
  <c r="AG266" i="20"/>
  <c r="Z266" i="20"/>
  <c r="AD266" i="20"/>
  <c r="X267" i="20"/>
  <c r="AB267" i="20"/>
  <c r="Y267" i="20"/>
  <c r="AC267" i="20"/>
  <c r="Z267" i="20"/>
  <c r="AD267" i="20"/>
  <c r="AA267" i="20"/>
  <c r="AE267" i="20"/>
  <c r="AF267" i="20"/>
  <c r="AG267" i="20"/>
  <c r="AA258" i="20"/>
  <c r="AE258" i="20"/>
  <c r="X258" i="20"/>
  <c r="AB258" i="20"/>
  <c r="AF258" i="20"/>
  <c r="Y258" i="20"/>
  <c r="AC258" i="20"/>
  <c r="AG258" i="20"/>
  <c r="AD258" i="20"/>
  <c r="Z258" i="20"/>
  <c r="X259" i="20"/>
  <c r="AB259" i="20"/>
  <c r="AF259" i="20"/>
  <c r="Y259" i="20"/>
  <c r="AC259" i="20"/>
  <c r="AG259" i="20"/>
  <c r="Z259" i="20"/>
  <c r="AD259" i="20"/>
  <c r="AA259" i="20"/>
  <c r="AE259" i="20"/>
  <c r="Y260" i="20"/>
  <c r="AC260" i="20"/>
  <c r="AG260" i="20"/>
  <c r="Z260" i="20"/>
  <c r="AD260" i="20"/>
  <c r="AA260" i="20"/>
  <c r="AE260" i="20"/>
  <c r="X260" i="20"/>
  <c r="AB260" i="20"/>
  <c r="AF260" i="20"/>
  <c r="Z261" i="20"/>
  <c r="AD261" i="20"/>
  <c r="AA261" i="20"/>
  <c r="AE261" i="20"/>
  <c r="X261" i="20"/>
  <c r="AB261" i="20"/>
  <c r="AF261" i="20"/>
  <c r="AC261" i="20"/>
  <c r="AG261" i="20"/>
  <c r="Y261" i="20"/>
  <c r="AA262" i="20"/>
  <c r="AE262" i="20"/>
  <c r="X262" i="20"/>
  <c r="AB262" i="20"/>
  <c r="AF262" i="20"/>
  <c r="Y262" i="20"/>
  <c r="AC262" i="20"/>
  <c r="AG262" i="20"/>
  <c r="Z262" i="20"/>
  <c r="AD262" i="20"/>
  <c r="X263" i="20"/>
  <c r="AB263" i="20"/>
  <c r="AF263" i="20"/>
  <c r="Y263" i="20"/>
  <c r="AC263" i="20"/>
  <c r="AG263" i="20"/>
  <c r="Z263" i="20"/>
  <c r="AD263" i="20"/>
  <c r="AA263" i="20"/>
  <c r="AE263" i="20"/>
  <c r="Y256" i="20"/>
  <c r="AC256" i="20"/>
  <c r="AG256" i="20"/>
  <c r="Z256" i="20"/>
  <c r="AD256" i="20"/>
  <c r="AA256" i="20"/>
  <c r="AE256" i="20"/>
  <c r="X256" i="20"/>
  <c r="AB256" i="20"/>
  <c r="AF256" i="20"/>
  <c r="Z257" i="20"/>
  <c r="AD257" i="20"/>
  <c r="AA257" i="20"/>
  <c r="AE257" i="20"/>
  <c r="X257" i="20"/>
  <c r="AB257" i="20"/>
  <c r="AF257" i="20"/>
  <c r="Y257" i="20"/>
  <c r="AC257" i="20"/>
  <c r="AG257" i="20"/>
  <c r="X255" i="20"/>
  <c r="AB255" i="20"/>
  <c r="AF255" i="20"/>
  <c r="Y255" i="20"/>
  <c r="AC255" i="20"/>
  <c r="AG255" i="20"/>
  <c r="Z255" i="20"/>
  <c r="AD255" i="20"/>
  <c r="AE255" i="20"/>
  <c r="AA255" i="20"/>
  <c r="AA254" i="20"/>
  <c r="AE254" i="20"/>
  <c r="X254" i="20"/>
  <c r="AB254" i="20"/>
  <c r="AF254" i="20"/>
  <c r="Y254" i="20"/>
  <c r="AC254" i="20"/>
  <c r="AG254" i="20"/>
  <c r="Z254" i="20"/>
  <c r="AD254" i="20"/>
  <c r="Z249" i="20"/>
  <c r="AD249" i="20"/>
  <c r="AA249" i="20"/>
  <c r="AE249" i="20"/>
  <c r="X249" i="20"/>
  <c r="AB249" i="20"/>
  <c r="AF249" i="20"/>
  <c r="AG249" i="20"/>
  <c r="Y249" i="20"/>
  <c r="AC249" i="20"/>
  <c r="AA250" i="20"/>
  <c r="AE250" i="20"/>
  <c r="X250" i="20"/>
  <c r="AB250" i="20"/>
  <c r="AF250" i="20"/>
  <c r="Y250" i="20"/>
  <c r="AC250" i="20"/>
  <c r="AG250" i="20"/>
  <c r="Z250" i="20"/>
  <c r="AD250" i="20"/>
  <c r="X251" i="20"/>
  <c r="AB251" i="20"/>
  <c r="AF251" i="20"/>
  <c r="Y251" i="20"/>
  <c r="AC251" i="20"/>
  <c r="AG251" i="20"/>
  <c r="Z251" i="20"/>
  <c r="AD251" i="20"/>
  <c r="AA251" i="20"/>
  <c r="AE251" i="20"/>
  <c r="Y252" i="20"/>
  <c r="AC252" i="20"/>
  <c r="AG252" i="20"/>
  <c r="Z252" i="20"/>
  <c r="AD252" i="20"/>
  <c r="AA252" i="20"/>
  <c r="AE252" i="20"/>
  <c r="AF252" i="20"/>
  <c r="X252" i="20"/>
  <c r="AB252" i="20"/>
  <c r="Z253" i="20"/>
  <c r="AD253" i="20"/>
  <c r="AA253" i="20"/>
  <c r="AE253" i="20"/>
  <c r="X253" i="20"/>
  <c r="AB253" i="20"/>
  <c r="AF253" i="20"/>
  <c r="Y253" i="20"/>
  <c r="AC253" i="20"/>
  <c r="AG253" i="20"/>
  <c r="Y248" i="20"/>
  <c r="AC248" i="20"/>
  <c r="AG248" i="20"/>
  <c r="Z248" i="20"/>
  <c r="AD248" i="20"/>
  <c r="AA248" i="20"/>
  <c r="AE248" i="20"/>
  <c r="AB248" i="20"/>
  <c r="AF248" i="20"/>
  <c r="X248" i="20"/>
  <c r="X247" i="20"/>
  <c r="AB247" i="20"/>
  <c r="AF247" i="20"/>
  <c r="Y247" i="20"/>
  <c r="AC247" i="20"/>
  <c r="AG247" i="20"/>
  <c r="Z247" i="20"/>
  <c r="AD247" i="20"/>
  <c r="AA247" i="20"/>
  <c r="AE247" i="20"/>
  <c r="AA246" i="20"/>
  <c r="AE246" i="20"/>
  <c r="X246" i="20"/>
  <c r="AB246" i="20"/>
  <c r="AF246" i="20"/>
  <c r="Y246" i="20"/>
  <c r="AC246" i="20"/>
  <c r="AG246" i="20"/>
  <c r="Z246" i="20"/>
  <c r="AD246" i="20"/>
  <c r="Z245" i="20"/>
  <c r="AD245" i="20"/>
  <c r="AA245" i="20"/>
  <c r="AE245" i="20"/>
  <c r="X245" i="20"/>
  <c r="AB245" i="20"/>
  <c r="AF245" i="20"/>
  <c r="AC245" i="20"/>
  <c r="AG245" i="20"/>
  <c r="Y245" i="20"/>
  <c r="X243" i="20"/>
  <c r="AB243" i="20"/>
  <c r="AF243" i="20"/>
  <c r="Y243" i="20"/>
  <c r="AC243" i="20"/>
  <c r="AG243" i="20"/>
  <c r="Z243" i="20"/>
  <c r="AD243" i="20"/>
  <c r="AA243" i="20"/>
  <c r="AE243" i="20"/>
  <c r="Y244" i="20"/>
  <c r="AC244" i="20"/>
  <c r="AG244" i="20"/>
  <c r="Z244" i="20"/>
  <c r="AD244" i="20"/>
  <c r="AA244" i="20"/>
  <c r="AE244" i="20"/>
  <c r="X244" i="20"/>
  <c r="AB244" i="20"/>
  <c r="AF244" i="20"/>
  <c r="AA242" i="20"/>
  <c r="AE242" i="20"/>
  <c r="X242" i="20"/>
  <c r="AB242" i="20"/>
  <c r="AF242" i="20"/>
  <c r="Y242" i="20"/>
  <c r="AC242" i="20"/>
  <c r="AG242" i="20"/>
  <c r="AD242" i="20"/>
  <c r="Z242" i="20"/>
  <c r="Z241" i="20"/>
  <c r="AD241" i="20"/>
  <c r="AA241" i="20"/>
  <c r="AE241" i="20"/>
  <c r="X241" i="20"/>
  <c r="AB241" i="20"/>
  <c r="AF241" i="20"/>
  <c r="Y241" i="20"/>
  <c r="AC241" i="20"/>
  <c r="AG241" i="20"/>
  <c r="Y240" i="20"/>
  <c r="AC240" i="20"/>
  <c r="AG240" i="20"/>
  <c r="Z240" i="20"/>
  <c r="AD240" i="20"/>
  <c r="AA240" i="20"/>
  <c r="AE240" i="20"/>
  <c r="X240" i="20"/>
  <c r="AB240" i="20"/>
  <c r="AF240" i="20"/>
  <c r="X239" i="20"/>
  <c r="AB239" i="20"/>
  <c r="AF239" i="20"/>
  <c r="Y239" i="20"/>
  <c r="AC239" i="20"/>
  <c r="AG239" i="20"/>
  <c r="Z239" i="20"/>
  <c r="AD239" i="20"/>
  <c r="AE239" i="20"/>
  <c r="AA239" i="20"/>
  <c r="Z237" i="20"/>
  <c r="AD237" i="20"/>
  <c r="AA237" i="20"/>
  <c r="AE237" i="20"/>
  <c r="X237" i="20"/>
  <c r="AB237" i="20"/>
  <c r="AF237" i="20"/>
  <c r="Y237" i="20"/>
  <c r="AC237" i="20"/>
  <c r="AG237" i="20"/>
  <c r="AA238" i="20"/>
  <c r="AE238" i="20"/>
  <c r="X238" i="20"/>
  <c r="AB238" i="20"/>
  <c r="AF238" i="20"/>
  <c r="Y238" i="20"/>
  <c r="AC238" i="20"/>
  <c r="AG238" i="20"/>
  <c r="Z238" i="20"/>
  <c r="AD238" i="20"/>
  <c r="Y236" i="20"/>
  <c r="AC236" i="20"/>
  <c r="AG236" i="20"/>
  <c r="Z236" i="20"/>
  <c r="AD236" i="20"/>
  <c r="AA236" i="20"/>
  <c r="AE236" i="20"/>
  <c r="AF236" i="20"/>
  <c r="X236" i="20"/>
  <c r="AB236" i="20"/>
  <c r="X235" i="20"/>
  <c r="AB235" i="20"/>
  <c r="AF235" i="20"/>
  <c r="Y235" i="20"/>
  <c r="AC235" i="20"/>
  <c r="AG235" i="20"/>
  <c r="Z235" i="20"/>
  <c r="AD235" i="20"/>
  <c r="AA235" i="20"/>
  <c r="AE235" i="20"/>
  <c r="AA234" i="20"/>
  <c r="AE234" i="20"/>
  <c r="X234" i="20"/>
  <c r="AB234" i="20"/>
  <c r="AF234" i="20"/>
  <c r="Y234" i="20"/>
  <c r="AC234" i="20"/>
  <c r="AG234" i="20"/>
  <c r="Z234" i="20"/>
  <c r="AD234" i="20"/>
  <c r="Y232" i="20"/>
  <c r="AC232" i="20"/>
  <c r="AG232" i="20"/>
  <c r="Z232" i="20"/>
  <c r="AD232" i="20"/>
  <c r="AA232" i="20"/>
  <c r="AE232" i="20"/>
  <c r="AB232" i="20"/>
  <c r="AF232" i="20"/>
  <c r="X232" i="20"/>
  <c r="Z233" i="20"/>
  <c r="AD233" i="20"/>
  <c r="AA233" i="20"/>
  <c r="AE233" i="20"/>
  <c r="X233" i="20"/>
  <c r="AB233" i="20"/>
  <c r="AF233" i="20"/>
  <c r="AG233" i="20"/>
  <c r="Y233" i="20"/>
  <c r="AC233" i="20"/>
  <c r="AA230" i="20"/>
  <c r="AE230" i="20"/>
  <c r="X230" i="20"/>
  <c r="AB230" i="20"/>
  <c r="AF230" i="20"/>
  <c r="Y230" i="20"/>
  <c r="AC230" i="20"/>
  <c r="AG230" i="20"/>
  <c r="Z230" i="20"/>
  <c r="AD230" i="20"/>
  <c r="X231" i="20"/>
  <c r="AB231" i="20"/>
  <c r="AF231" i="20"/>
  <c r="Y231" i="20"/>
  <c r="AC231" i="20"/>
  <c r="AG231" i="20"/>
  <c r="Z231" i="20"/>
  <c r="AD231" i="20"/>
  <c r="AA231" i="20"/>
  <c r="AE231" i="20"/>
  <c r="Y224" i="20"/>
  <c r="AC224" i="20"/>
  <c r="AG224" i="20"/>
  <c r="Z224" i="20"/>
  <c r="AD224" i="20"/>
  <c r="AA224" i="20"/>
  <c r="AE224" i="20"/>
  <c r="X224" i="20"/>
  <c r="AB224" i="20"/>
  <c r="AF224" i="20"/>
  <c r="Z225" i="20"/>
  <c r="AD225" i="20"/>
  <c r="AA225" i="20"/>
  <c r="AE225" i="20"/>
  <c r="X225" i="20"/>
  <c r="AB225" i="20"/>
  <c r="AF225" i="20"/>
  <c r="Y225" i="20"/>
  <c r="AC225" i="20"/>
  <c r="AG225" i="20"/>
  <c r="AA226" i="20"/>
  <c r="AE226" i="20"/>
  <c r="X226" i="20"/>
  <c r="AB226" i="20"/>
  <c r="AF226" i="20"/>
  <c r="Y226" i="20"/>
  <c r="AC226" i="20"/>
  <c r="AG226" i="20"/>
  <c r="AD226" i="20"/>
  <c r="Z226" i="20"/>
  <c r="X227" i="20"/>
  <c r="AB227" i="20"/>
  <c r="AF227" i="20"/>
  <c r="Y227" i="20"/>
  <c r="AC227" i="20"/>
  <c r="AG227" i="20"/>
  <c r="Z227" i="20"/>
  <c r="AD227" i="20"/>
  <c r="AA227" i="20"/>
  <c r="AE227" i="20"/>
  <c r="Y228" i="20"/>
  <c r="AC228" i="20"/>
  <c r="AG228" i="20"/>
  <c r="Z228" i="20"/>
  <c r="AD228" i="20"/>
  <c r="AA228" i="20"/>
  <c r="AE228" i="20"/>
  <c r="X228" i="20"/>
  <c r="AB228" i="20"/>
  <c r="AF228" i="20"/>
  <c r="Z229" i="20"/>
  <c r="AD229" i="20"/>
  <c r="AA229" i="20"/>
  <c r="AE229" i="20"/>
  <c r="X229" i="20"/>
  <c r="AB229" i="20"/>
  <c r="AF229" i="20"/>
  <c r="AC229" i="20"/>
  <c r="AG229" i="20"/>
  <c r="Y229" i="20"/>
  <c r="X221" i="20"/>
  <c r="Y221" i="20"/>
  <c r="Z221" i="20"/>
  <c r="AD221" i="20"/>
  <c r="AA221" i="20"/>
  <c r="AE221" i="20"/>
  <c r="AB221" i="20"/>
  <c r="AF221" i="20"/>
  <c r="AC221" i="20"/>
  <c r="AG221" i="20"/>
  <c r="AA222" i="20"/>
  <c r="AE222" i="20"/>
  <c r="X222" i="20"/>
  <c r="AB222" i="20"/>
  <c r="AF222" i="20"/>
  <c r="Y222" i="20"/>
  <c r="AC222" i="20"/>
  <c r="AG222" i="20"/>
  <c r="Z222" i="20"/>
  <c r="AD222" i="20"/>
  <c r="X223" i="20"/>
  <c r="AB223" i="20"/>
  <c r="AF223" i="20"/>
  <c r="Y223" i="20"/>
  <c r="AC223" i="20"/>
  <c r="AG223" i="20"/>
  <c r="Z223" i="20"/>
  <c r="AD223" i="20"/>
  <c r="AE223" i="20"/>
  <c r="AA223" i="20"/>
  <c r="Y210" i="20"/>
  <c r="AC210" i="20"/>
  <c r="AG210" i="20"/>
  <c r="Z210" i="20"/>
  <c r="AD210" i="20"/>
  <c r="AA210" i="20"/>
  <c r="AE210" i="20"/>
  <c r="AF210" i="20"/>
  <c r="X210" i="20"/>
  <c r="AB210" i="20"/>
  <c r="Z211" i="20"/>
  <c r="AD211" i="20"/>
  <c r="AA211" i="20"/>
  <c r="AE211" i="20"/>
  <c r="X211" i="20"/>
  <c r="AB211" i="20"/>
  <c r="AF211" i="20"/>
  <c r="Y211" i="20"/>
  <c r="AC211" i="20"/>
  <c r="AG211" i="20"/>
  <c r="AA212" i="20"/>
  <c r="AE212" i="20"/>
  <c r="X212" i="20"/>
  <c r="AB212" i="20"/>
  <c r="AF212" i="20"/>
  <c r="Y212" i="20"/>
  <c r="AC212" i="20"/>
  <c r="AG212" i="20"/>
  <c r="Z212" i="20"/>
  <c r="AD212" i="20"/>
  <c r="X213" i="20"/>
  <c r="AB213" i="20"/>
  <c r="AF213" i="20"/>
  <c r="Y213" i="20"/>
  <c r="AC213" i="20"/>
  <c r="AG213" i="20"/>
  <c r="Z213" i="20"/>
  <c r="AD213" i="20"/>
  <c r="AE213" i="20"/>
  <c r="AA213" i="20"/>
  <c r="Y214" i="20"/>
  <c r="AC214" i="20"/>
  <c r="AG214" i="20"/>
  <c r="Z214" i="20"/>
  <c r="AD214" i="20"/>
  <c r="AA214" i="20"/>
  <c r="AE214" i="20"/>
  <c r="X214" i="20"/>
  <c r="AB214" i="20"/>
  <c r="AF214" i="20"/>
  <c r="Z215" i="20"/>
  <c r="AD215" i="20"/>
  <c r="AA215" i="20"/>
  <c r="AE215" i="20"/>
  <c r="X215" i="20"/>
  <c r="AB215" i="20"/>
  <c r="AF215" i="20"/>
  <c r="Y215" i="20"/>
  <c r="AC215" i="20"/>
  <c r="AG215" i="20"/>
  <c r="AA216" i="20"/>
  <c r="AE216" i="20"/>
  <c r="X216" i="20"/>
  <c r="AB216" i="20"/>
  <c r="AF216" i="20"/>
  <c r="Y216" i="20"/>
  <c r="AC216" i="20"/>
  <c r="AG216" i="20"/>
  <c r="AD216" i="20"/>
  <c r="Z216" i="20"/>
  <c r="X217" i="20"/>
  <c r="AB217" i="20"/>
  <c r="AF217" i="20"/>
  <c r="Y217" i="20"/>
  <c r="AC217" i="20"/>
  <c r="AG217" i="20"/>
  <c r="Z217" i="20"/>
  <c r="AD217" i="20"/>
  <c r="AA217" i="20"/>
  <c r="AE217" i="20"/>
  <c r="Y218" i="20"/>
  <c r="AC218" i="20"/>
  <c r="AG218" i="20"/>
  <c r="Z218" i="20"/>
  <c r="AD218" i="20"/>
  <c r="AA218" i="20"/>
  <c r="AE218" i="20"/>
  <c r="X218" i="20"/>
  <c r="AB218" i="20"/>
  <c r="AF218" i="20"/>
  <c r="Z219" i="20"/>
  <c r="AD219" i="20"/>
  <c r="AA219" i="20"/>
  <c r="AE219" i="20"/>
  <c r="X219" i="20"/>
  <c r="AB219" i="20"/>
  <c r="AF219" i="20"/>
  <c r="AC219" i="20"/>
  <c r="AG219" i="20"/>
  <c r="Y219" i="20"/>
  <c r="AA220" i="20"/>
  <c r="AE220" i="20"/>
  <c r="X220" i="20"/>
  <c r="AB220" i="20"/>
  <c r="AF220" i="20"/>
  <c r="Y220" i="20"/>
  <c r="AC220" i="20"/>
  <c r="AG220" i="20"/>
  <c r="Z220" i="20"/>
  <c r="AD220" i="20"/>
  <c r="Z207" i="20"/>
  <c r="AD207" i="20"/>
  <c r="AA207" i="20"/>
  <c r="AE207" i="20"/>
  <c r="X207" i="20"/>
  <c r="AB207" i="20"/>
  <c r="AF207" i="20"/>
  <c r="AG207" i="20"/>
  <c r="Y207" i="20"/>
  <c r="AC207" i="20"/>
  <c r="AA208" i="20"/>
  <c r="AE208" i="20"/>
  <c r="X208" i="20"/>
  <c r="AB208" i="20"/>
  <c r="AF208" i="20"/>
  <c r="Y208" i="20"/>
  <c r="AC208" i="20"/>
  <c r="AG208" i="20"/>
  <c r="Z208" i="20"/>
  <c r="AD208" i="20"/>
  <c r="X209" i="20"/>
  <c r="AB209" i="20"/>
  <c r="AF209" i="20"/>
  <c r="Y209" i="20"/>
  <c r="AC209" i="20"/>
  <c r="AG209" i="20"/>
  <c r="Z209" i="20"/>
  <c r="AD209" i="20"/>
  <c r="AA209" i="20"/>
  <c r="AE209" i="20"/>
  <c r="Y202" i="20"/>
  <c r="AC202" i="20"/>
  <c r="AG202" i="20"/>
  <c r="Z202" i="20"/>
  <c r="AD202" i="20"/>
  <c r="AA202" i="20"/>
  <c r="AE202" i="20"/>
  <c r="X202" i="20"/>
  <c r="AB202" i="20"/>
  <c r="AF202" i="20"/>
  <c r="Z203" i="20"/>
  <c r="AD203" i="20"/>
  <c r="AA203" i="20"/>
  <c r="AE203" i="20"/>
  <c r="X203" i="20"/>
  <c r="AB203" i="20"/>
  <c r="AF203" i="20"/>
  <c r="AC203" i="20"/>
  <c r="AG203" i="20"/>
  <c r="Y203" i="20"/>
  <c r="AA204" i="20"/>
  <c r="AE204" i="20"/>
  <c r="X204" i="20"/>
  <c r="AB204" i="20"/>
  <c r="AF204" i="20"/>
  <c r="Y204" i="20"/>
  <c r="AC204" i="20"/>
  <c r="AG204" i="20"/>
  <c r="Z204" i="20"/>
  <c r="AD204" i="20"/>
  <c r="X205" i="20"/>
  <c r="AB205" i="20"/>
  <c r="AF205" i="20"/>
  <c r="Y205" i="20"/>
  <c r="AC205" i="20"/>
  <c r="AG205" i="20"/>
  <c r="Z205" i="20"/>
  <c r="AD205" i="20"/>
  <c r="AA205" i="20"/>
  <c r="AE205" i="20"/>
  <c r="Y206" i="20"/>
  <c r="AC206" i="20"/>
  <c r="AG206" i="20"/>
  <c r="Z206" i="20"/>
  <c r="AD206" i="20"/>
  <c r="AA206" i="20"/>
  <c r="AE206" i="20"/>
  <c r="AB206" i="20"/>
  <c r="AF206" i="20"/>
  <c r="X206" i="20"/>
  <c r="AA200" i="20"/>
  <c r="AE200" i="20"/>
  <c r="X200" i="20"/>
  <c r="AB200" i="20"/>
  <c r="AF200" i="20"/>
  <c r="Y200" i="20"/>
  <c r="AC200" i="20"/>
  <c r="AG200" i="20"/>
  <c r="AD200" i="20"/>
  <c r="Z200" i="20"/>
  <c r="X201" i="20"/>
  <c r="AB201" i="20"/>
  <c r="AF201" i="20"/>
  <c r="Y201" i="20"/>
  <c r="AC201" i="20"/>
  <c r="AG201" i="20"/>
  <c r="Z201" i="20"/>
  <c r="AD201" i="20"/>
  <c r="AA201" i="20"/>
  <c r="AE201" i="20"/>
  <c r="Y198" i="20"/>
  <c r="AC198" i="20"/>
  <c r="AG198" i="20"/>
  <c r="Z198" i="20"/>
  <c r="AD198" i="20"/>
  <c r="AA198" i="20"/>
  <c r="AE198" i="20"/>
  <c r="X198" i="20"/>
  <c r="AB198" i="20"/>
  <c r="AF198" i="20"/>
  <c r="Z199" i="20"/>
  <c r="AD199" i="20"/>
  <c r="AA199" i="20"/>
  <c r="AE199" i="20"/>
  <c r="X199" i="20"/>
  <c r="AB199" i="20"/>
  <c r="AF199" i="20"/>
  <c r="Y199" i="20"/>
  <c r="AC199" i="20"/>
  <c r="AG199" i="20"/>
  <c r="X197" i="20"/>
  <c r="AB197" i="20"/>
  <c r="AF197" i="20"/>
  <c r="Y197" i="20"/>
  <c r="AC197" i="20"/>
  <c r="AG197" i="20"/>
  <c r="Z197" i="20"/>
  <c r="AD197" i="20"/>
  <c r="AE197" i="20"/>
  <c r="AA197" i="20"/>
  <c r="AA196" i="20"/>
  <c r="AE196" i="20"/>
  <c r="X196" i="20"/>
  <c r="AB196" i="20"/>
  <c r="AF196" i="20"/>
  <c r="Y196" i="20"/>
  <c r="AC196" i="20"/>
  <c r="AG196" i="20"/>
  <c r="Z196" i="20"/>
  <c r="AD196" i="20"/>
  <c r="Z195" i="20"/>
  <c r="AD195" i="20"/>
  <c r="AA195" i="20"/>
  <c r="AE195" i="20"/>
  <c r="X195" i="20"/>
  <c r="AB195" i="20"/>
  <c r="AF195" i="20"/>
  <c r="Y195" i="20"/>
  <c r="AC195" i="20"/>
  <c r="AG195" i="20"/>
  <c r="Y194" i="20"/>
  <c r="AC194" i="20"/>
  <c r="AG194" i="20"/>
  <c r="Z194" i="20"/>
  <c r="AD194" i="20"/>
  <c r="AA194" i="20"/>
  <c r="AE194" i="20"/>
  <c r="AF194" i="20"/>
  <c r="X194" i="20"/>
  <c r="AB194" i="20"/>
  <c r="X193" i="20"/>
  <c r="AB193" i="20"/>
  <c r="AF193" i="20"/>
  <c r="Y193" i="20"/>
  <c r="AC193" i="20"/>
  <c r="AG193" i="20"/>
  <c r="Z193" i="20"/>
  <c r="AD193" i="20"/>
  <c r="AA193" i="20"/>
  <c r="AE193" i="20"/>
  <c r="AA192" i="20"/>
  <c r="AE192" i="20"/>
  <c r="X192" i="20"/>
  <c r="AB192" i="20"/>
  <c r="AF192" i="20"/>
  <c r="Y192" i="20"/>
  <c r="AC192" i="20"/>
  <c r="AG192" i="20"/>
  <c r="Z192" i="20"/>
  <c r="AD192" i="20"/>
  <c r="Z191" i="20"/>
  <c r="AD191" i="20"/>
  <c r="AA191" i="20"/>
  <c r="AE191" i="20"/>
  <c r="X191" i="20"/>
  <c r="AB191" i="20"/>
  <c r="AF191" i="20"/>
  <c r="AG191" i="20"/>
  <c r="Y191" i="20"/>
  <c r="AC191" i="20"/>
  <c r="Y190" i="20"/>
  <c r="AC190" i="20"/>
  <c r="AG190" i="20"/>
  <c r="Z190" i="20"/>
  <c r="AD190" i="20"/>
  <c r="AA190" i="20"/>
  <c r="AE190" i="20"/>
  <c r="AB190" i="20"/>
  <c r="AF190" i="20"/>
  <c r="X190" i="20"/>
  <c r="AA188" i="20"/>
  <c r="AE188" i="20"/>
  <c r="X188" i="20"/>
  <c r="AB188" i="20"/>
  <c r="AF188" i="20"/>
  <c r="Y188" i="20"/>
  <c r="AC188" i="20"/>
  <c r="AG188" i="20"/>
  <c r="Z188" i="20"/>
  <c r="AD188" i="20"/>
  <c r="X189" i="20"/>
  <c r="AB189" i="20"/>
  <c r="AF189" i="20"/>
  <c r="Y189" i="20"/>
  <c r="AC189" i="20"/>
  <c r="AG189" i="20"/>
  <c r="Z189" i="20"/>
  <c r="AD189" i="20"/>
  <c r="AA189" i="20"/>
  <c r="AE189" i="20"/>
  <c r="Y186" i="20"/>
  <c r="AC186" i="20"/>
  <c r="AG186" i="20"/>
  <c r="Z186" i="20"/>
  <c r="AD186" i="20"/>
  <c r="AA186" i="20"/>
  <c r="AE186" i="20"/>
  <c r="X186" i="20"/>
  <c r="AB186" i="20"/>
  <c r="AF186" i="20"/>
  <c r="Z187" i="20"/>
  <c r="AD187" i="20"/>
  <c r="AA187" i="20"/>
  <c r="AE187" i="20"/>
  <c r="X187" i="20"/>
  <c r="AB187" i="20"/>
  <c r="AF187" i="20"/>
  <c r="AC187" i="20"/>
  <c r="AG187" i="20"/>
  <c r="Y187" i="20"/>
  <c r="Y182" i="20"/>
  <c r="AC182" i="20"/>
  <c r="AG182" i="20"/>
  <c r="Z182" i="20"/>
  <c r="AD182" i="20"/>
  <c r="AA182" i="20"/>
  <c r="AE182" i="20"/>
  <c r="X182" i="20"/>
  <c r="AB182" i="20"/>
  <c r="AF182" i="20"/>
  <c r="Z183" i="20"/>
  <c r="AD183" i="20"/>
  <c r="AA183" i="20"/>
  <c r="AE183" i="20"/>
  <c r="X183" i="20"/>
  <c r="AB183" i="20"/>
  <c r="AF183" i="20"/>
  <c r="Y183" i="20"/>
  <c r="AC183" i="20"/>
  <c r="AG183" i="20"/>
  <c r="AA184" i="20"/>
  <c r="AE184" i="20"/>
  <c r="X184" i="20"/>
  <c r="AB184" i="20"/>
  <c r="AF184" i="20"/>
  <c r="Y184" i="20"/>
  <c r="AC184" i="20"/>
  <c r="AG184" i="20"/>
  <c r="AD184" i="20"/>
  <c r="Z184" i="20"/>
  <c r="X185" i="20"/>
  <c r="AB185" i="20"/>
  <c r="AF185" i="20"/>
  <c r="Y185" i="20"/>
  <c r="AC185" i="20"/>
  <c r="AG185" i="20"/>
  <c r="Z185" i="20"/>
  <c r="AD185" i="20"/>
  <c r="AA185" i="20"/>
  <c r="AE185" i="20"/>
  <c r="X177" i="20"/>
  <c r="AB177" i="20"/>
  <c r="AF177" i="20"/>
  <c r="Y177" i="20"/>
  <c r="AC177" i="20"/>
  <c r="AG177" i="20"/>
  <c r="Z177" i="20"/>
  <c r="AD177" i="20"/>
  <c r="AA177" i="20"/>
  <c r="AE177" i="20"/>
  <c r="Y178" i="20"/>
  <c r="AC178" i="20"/>
  <c r="AG178" i="20"/>
  <c r="Z178" i="20"/>
  <c r="AD178" i="20"/>
  <c r="AA178" i="20"/>
  <c r="AE178" i="20"/>
  <c r="AF178" i="20"/>
  <c r="X178" i="20"/>
  <c r="AB178" i="20"/>
  <c r="Z179" i="20"/>
  <c r="AD179" i="20"/>
  <c r="AA179" i="20"/>
  <c r="AE179" i="20"/>
  <c r="X179" i="20"/>
  <c r="AB179" i="20"/>
  <c r="AF179" i="20"/>
  <c r="Y179" i="20"/>
  <c r="AC179" i="20"/>
  <c r="AG179" i="20"/>
  <c r="AA180" i="20"/>
  <c r="AE180" i="20"/>
  <c r="X180" i="20"/>
  <c r="AB180" i="20"/>
  <c r="AF180" i="20"/>
  <c r="Y180" i="20"/>
  <c r="AC180" i="20"/>
  <c r="AG180" i="20"/>
  <c r="Z180" i="20"/>
  <c r="AD180" i="20"/>
  <c r="X181" i="20"/>
  <c r="AB181" i="20"/>
  <c r="AF181" i="20"/>
  <c r="Y181" i="20"/>
  <c r="AC181" i="20"/>
  <c r="AG181" i="20"/>
  <c r="Z181" i="20"/>
  <c r="AD181" i="20"/>
  <c r="AE181" i="20"/>
  <c r="AA181" i="20"/>
  <c r="AA176" i="20"/>
  <c r="AE176" i="20"/>
  <c r="X176" i="20"/>
  <c r="AB176" i="20"/>
  <c r="AF176" i="20"/>
  <c r="Y176" i="20"/>
  <c r="AC176" i="20"/>
  <c r="AG176" i="20"/>
  <c r="Z176" i="20"/>
  <c r="AD176" i="20"/>
  <c r="Z175" i="20"/>
  <c r="AD175" i="20"/>
  <c r="AA175" i="20"/>
  <c r="AE175" i="20"/>
  <c r="X175" i="20"/>
  <c r="AB175" i="20"/>
  <c r="AF175" i="20"/>
  <c r="AG175" i="20"/>
  <c r="Y175" i="20"/>
  <c r="AC175" i="20"/>
  <c r="X173" i="20"/>
  <c r="AB173" i="20"/>
  <c r="AF173" i="20"/>
  <c r="Y173" i="20"/>
  <c r="AC173" i="20"/>
  <c r="AG173" i="20"/>
  <c r="Z173" i="20"/>
  <c r="AD173" i="20"/>
  <c r="AA173" i="20"/>
  <c r="AE173" i="20"/>
  <c r="Y174" i="20"/>
  <c r="AC174" i="20"/>
  <c r="AG174" i="20"/>
  <c r="Z174" i="20"/>
  <c r="AD174" i="20"/>
  <c r="AA174" i="20"/>
  <c r="AE174" i="20"/>
  <c r="AB174" i="20"/>
  <c r="AF174" i="20"/>
  <c r="X174" i="20"/>
  <c r="AA172" i="20"/>
  <c r="AE172" i="20"/>
  <c r="X172" i="20"/>
  <c r="AB172" i="20"/>
  <c r="AF172" i="20"/>
  <c r="Y172" i="20"/>
  <c r="AC172" i="20"/>
  <c r="AG172" i="20"/>
  <c r="Z172" i="20"/>
  <c r="AD172" i="20"/>
  <c r="Y170" i="20"/>
  <c r="AC170" i="20"/>
  <c r="AG170" i="20"/>
  <c r="Z170" i="20"/>
  <c r="AD170" i="20"/>
  <c r="AA170" i="20"/>
  <c r="AE170" i="20"/>
  <c r="X170" i="20"/>
  <c r="AB170" i="20"/>
  <c r="AF170" i="20"/>
  <c r="Z171" i="20"/>
  <c r="AD171" i="20"/>
  <c r="AA171" i="20"/>
  <c r="AE171" i="20"/>
  <c r="X171" i="20"/>
  <c r="AB171" i="20"/>
  <c r="AF171" i="20"/>
  <c r="AC171" i="20"/>
  <c r="AG171" i="20"/>
  <c r="Y171" i="20"/>
  <c r="Y167" i="20"/>
  <c r="AC167" i="20"/>
  <c r="AG167" i="20"/>
  <c r="Z167" i="20"/>
  <c r="AD167" i="20"/>
  <c r="X167" i="20"/>
  <c r="AF167" i="20"/>
  <c r="AA167" i="20"/>
  <c r="AB167" i="20"/>
  <c r="AE167" i="20"/>
  <c r="Z168" i="20"/>
  <c r="AD168" i="20"/>
  <c r="AA168" i="20"/>
  <c r="AE168" i="20"/>
  <c r="AC168" i="20"/>
  <c r="X168" i="20"/>
  <c r="AF168" i="20"/>
  <c r="Y168" i="20"/>
  <c r="AG168" i="20"/>
  <c r="AB168" i="20"/>
  <c r="AA169" i="20"/>
  <c r="X169" i="20"/>
  <c r="AB169" i="20"/>
  <c r="Z169" i="20"/>
  <c r="AF169" i="20"/>
  <c r="AC169" i="20"/>
  <c r="AG169" i="20"/>
  <c r="AD169" i="20"/>
  <c r="Y169" i="20"/>
  <c r="AE169" i="20"/>
  <c r="AA165" i="20"/>
  <c r="AE165" i="20"/>
  <c r="X165" i="20"/>
  <c r="AB165" i="20"/>
  <c r="AF165" i="20"/>
  <c r="AD165" i="20"/>
  <c r="Y165" i="20"/>
  <c r="AG165" i="20"/>
  <c r="Z165" i="20"/>
  <c r="AC165" i="20"/>
  <c r="X166" i="20"/>
  <c r="AB166" i="20"/>
  <c r="AF166" i="20"/>
  <c r="Y166" i="20"/>
  <c r="AC166" i="20"/>
  <c r="AG166" i="20"/>
  <c r="AA166" i="20"/>
  <c r="AD166" i="20"/>
  <c r="AE166" i="20"/>
  <c r="Z166" i="20"/>
  <c r="Z164" i="20"/>
  <c r="AD164" i="20"/>
  <c r="AA164" i="20"/>
  <c r="AE164" i="20"/>
  <c r="Y164" i="20"/>
  <c r="AC164" i="20"/>
  <c r="AG164" i="20"/>
  <c r="AF164" i="20"/>
  <c r="X164" i="20"/>
  <c r="AB164" i="20"/>
  <c r="X162" i="20"/>
  <c r="AB162" i="20"/>
  <c r="AF162" i="20"/>
  <c r="Y162" i="20"/>
  <c r="AC162" i="20"/>
  <c r="AG162" i="20"/>
  <c r="AA162" i="20"/>
  <c r="AE162" i="20"/>
  <c r="Z162" i="20"/>
  <c r="AD162" i="20"/>
  <c r="Y163" i="20"/>
  <c r="AC163" i="20"/>
  <c r="AG163" i="20"/>
  <c r="Z163" i="20"/>
  <c r="AD163" i="20"/>
  <c r="X163" i="20"/>
  <c r="AB163" i="20"/>
  <c r="AF163" i="20"/>
  <c r="AA163" i="20"/>
  <c r="AE163" i="20"/>
  <c r="Z160" i="20"/>
  <c r="AD160" i="20"/>
  <c r="AA160" i="20"/>
  <c r="AE160" i="20"/>
  <c r="Y160" i="20"/>
  <c r="AC160" i="20"/>
  <c r="AG160" i="20"/>
  <c r="AB160" i="20"/>
  <c r="AF160" i="20"/>
  <c r="X160" i="20"/>
  <c r="AA161" i="20"/>
  <c r="AE161" i="20"/>
  <c r="X161" i="20"/>
  <c r="AB161" i="20"/>
  <c r="AF161" i="20"/>
  <c r="Z161" i="20"/>
  <c r="AD161" i="20"/>
  <c r="AG161" i="20"/>
  <c r="Y161" i="20"/>
  <c r="AC161" i="20"/>
  <c r="Y159" i="20"/>
  <c r="AC159" i="20"/>
  <c r="AG159" i="20"/>
  <c r="Z159" i="20"/>
  <c r="AD159" i="20"/>
  <c r="X159" i="20"/>
  <c r="AB159" i="20"/>
  <c r="AF159" i="20"/>
  <c r="AA159" i="20"/>
  <c r="AE159" i="20"/>
  <c r="Y155" i="20"/>
  <c r="AC155" i="20"/>
  <c r="AG155" i="20"/>
  <c r="Z155" i="20"/>
  <c r="AD155" i="20"/>
  <c r="X155" i="20"/>
  <c r="AB155" i="20"/>
  <c r="AF155" i="20"/>
  <c r="AA155" i="20"/>
  <c r="AE155" i="20"/>
  <c r="Z156" i="20"/>
  <c r="AD156" i="20"/>
  <c r="AA156" i="20"/>
  <c r="AE156" i="20"/>
  <c r="Y156" i="20"/>
  <c r="AC156" i="20"/>
  <c r="AG156" i="20"/>
  <c r="X156" i="20"/>
  <c r="AB156" i="20"/>
  <c r="AF156" i="20"/>
  <c r="AA157" i="20"/>
  <c r="AE157" i="20"/>
  <c r="X157" i="20"/>
  <c r="AB157" i="20"/>
  <c r="AF157" i="20"/>
  <c r="Z157" i="20"/>
  <c r="AD157" i="20"/>
  <c r="AC157" i="20"/>
  <c r="AG157" i="20"/>
  <c r="Y157" i="20"/>
  <c r="X158" i="20"/>
  <c r="AB158" i="20"/>
  <c r="AF158" i="20"/>
  <c r="Y158" i="20"/>
  <c r="AC158" i="20"/>
  <c r="AG158" i="20"/>
  <c r="AA158" i="20"/>
  <c r="AE158" i="20"/>
  <c r="Z158" i="20"/>
  <c r="AD158" i="20"/>
  <c r="X154" i="20"/>
  <c r="AB154" i="20"/>
  <c r="AF154" i="20"/>
  <c r="Y154" i="20"/>
  <c r="AC154" i="20"/>
  <c r="AG154" i="20"/>
  <c r="AA154" i="20"/>
  <c r="AE154" i="20"/>
  <c r="AD154" i="20"/>
  <c r="Z154" i="20"/>
  <c r="AA153" i="20"/>
  <c r="AE153" i="20"/>
  <c r="X153" i="20"/>
  <c r="AB153" i="20"/>
  <c r="AF153" i="20"/>
  <c r="Z153" i="20"/>
  <c r="AD153" i="20"/>
  <c r="Y153" i="20"/>
  <c r="AC153" i="20"/>
  <c r="AG153" i="20"/>
  <c r="Z152" i="20"/>
  <c r="AD152" i="20"/>
  <c r="AA152" i="20"/>
  <c r="AE152" i="20"/>
  <c r="Y152" i="20"/>
  <c r="AC152" i="20"/>
  <c r="AG152" i="20"/>
  <c r="X152" i="20"/>
  <c r="AB152" i="20"/>
  <c r="AF152" i="20"/>
  <c r="AA149" i="20"/>
  <c r="AE149" i="20"/>
  <c r="X149" i="20"/>
  <c r="AB149" i="20"/>
  <c r="AF149" i="20"/>
  <c r="Z149" i="20"/>
  <c r="AD149" i="20"/>
  <c r="Y149" i="20"/>
  <c r="AC149" i="20"/>
  <c r="AG149" i="20"/>
  <c r="X150" i="20"/>
  <c r="AB150" i="20"/>
  <c r="AF150" i="20"/>
  <c r="Y150" i="20"/>
  <c r="AC150" i="20"/>
  <c r="AG150" i="20"/>
  <c r="AA150" i="20"/>
  <c r="AE150" i="20"/>
  <c r="Z150" i="20"/>
  <c r="AD150" i="20"/>
  <c r="Y151" i="20"/>
  <c r="AC151" i="20"/>
  <c r="AG151" i="20"/>
  <c r="Z151" i="20"/>
  <c r="AD151" i="20"/>
  <c r="X151" i="20"/>
  <c r="AB151" i="20"/>
  <c r="AF151" i="20"/>
  <c r="AE151" i="20"/>
  <c r="AA151" i="20"/>
  <c r="AA136" i="20"/>
  <c r="AE136" i="20"/>
  <c r="X136" i="20"/>
  <c r="AB136" i="20"/>
  <c r="AF136" i="20"/>
  <c r="AC136" i="20"/>
  <c r="AD136" i="20"/>
  <c r="Z136" i="20"/>
  <c r="Y136" i="20"/>
  <c r="AG136" i="20"/>
  <c r="X137" i="20"/>
  <c r="AB137" i="20"/>
  <c r="AF137" i="20"/>
  <c r="Y137" i="20"/>
  <c r="AC137" i="20"/>
  <c r="AG137" i="20"/>
  <c r="Z137" i="20"/>
  <c r="AA137" i="20"/>
  <c r="AE137" i="20"/>
  <c r="AD137" i="20"/>
  <c r="Z135" i="20"/>
  <c r="AD135" i="20"/>
  <c r="AA135" i="20"/>
  <c r="AE135" i="20"/>
  <c r="X135" i="20"/>
  <c r="AF135" i="20"/>
  <c r="Y135" i="20"/>
  <c r="AG135" i="20"/>
  <c r="AC135" i="20"/>
  <c r="AB135" i="20"/>
  <c r="Y134" i="20"/>
  <c r="AC134" i="20"/>
  <c r="AG134" i="20"/>
  <c r="Z134" i="20"/>
  <c r="AD134" i="20"/>
  <c r="AA134" i="20"/>
  <c r="AB134" i="20"/>
  <c r="X134" i="20"/>
  <c r="AF134" i="20"/>
  <c r="AE134" i="20"/>
  <c r="Y130" i="20"/>
  <c r="AC130" i="20"/>
  <c r="AG130" i="20"/>
  <c r="Z130" i="20"/>
  <c r="AE130" i="20"/>
  <c r="AA130" i="20"/>
  <c r="AF130" i="20"/>
  <c r="X130" i="20"/>
  <c r="AD130" i="20"/>
  <c r="AB130" i="20"/>
  <c r="X129" i="20"/>
  <c r="AB129" i="20"/>
  <c r="AF129" i="20"/>
  <c r="Y129" i="20"/>
  <c r="AD129" i="20"/>
  <c r="Z129" i="20"/>
  <c r="AE129" i="20"/>
  <c r="AA129" i="20"/>
  <c r="AG129" i="20"/>
  <c r="AC129" i="20"/>
  <c r="Y126" i="20"/>
  <c r="AC126" i="20"/>
  <c r="AG126" i="20"/>
  <c r="Z126" i="20"/>
  <c r="AE126" i="20"/>
  <c r="AA126" i="20"/>
  <c r="AF126" i="20"/>
  <c r="AB126" i="20"/>
  <c r="X126" i="20"/>
  <c r="AD126" i="20"/>
  <c r="Y93" i="20"/>
  <c r="AC93" i="20"/>
  <c r="AG93" i="20"/>
  <c r="AA93" i="20"/>
  <c r="AF93" i="20"/>
  <c r="AB93" i="20"/>
  <c r="X93" i="20"/>
  <c r="AD93" i="20"/>
  <c r="Z93" i="20"/>
  <c r="AE93" i="20"/>
  <c r="X133" i="20"/>
  <c r="AB133" i="20"/>
  <c r="AF133" i="20"/>
  <c r="Y133" i="20"/>
  <c r="AC133" i="20"/>
  <c r="AG133" i="20"/>
  <c r="AD133" i="20"/>
  <c r="AE133" i="20"/>
  <c r="AA133" i="20"/>
  <c r="Z133" i="20"/>
  <c r="Y138" i="20"/>
  <c r="AC138" i="20"/>
  <c r="AG138" i="20"/>
  <c r="Z138" i="20"/>
  <c r="AD138" i="20"/>
  <c r="AE138" i="20"/>
  <c r="X138" i="20"/>
  <c r="AF138" i="20"/>
  <c r="AB138" i="20"/>
  <c r="AA138" i="20"/>
  <c r="Z139" i="20"/>
  <c r="AD139" i="20"/>
  <c r="AA139" i="20"/>
  <c r="AE139" i="20"/>
  <c r="AB139" i="20"/>
  <c r="AC139" i="20"/>
  <c r="Y139" i="20"/>
  <c r="AG139" i="20"/>
  <c r="X139" i="20"/>
  <c r="AF139" i="20"/>
  <c r="AA140" i="20"/>
  <c r="AE140" i="20"/>
  <c r="X140" i="20"/>
  <c r="AB140" i="20"/>
  <c r="AF140" i="20"/>
  <c r="Y140" i="20"/>
  <c r="AG140" i="20"/>
  <c r="Z140" i="20"/>
  <c r="AD140" i="20"/>
  <c r="AC140" i="20"/>
  <c r="X141" i="20"/>
  <c r="AB141" i="20"/>
  <c r="AF141" i="20"/>
  <c r="Y141" i="20"/>
  <c r="AC141" i="20"/>
  <c r="AG141" i="20"/>
  <c r="AD141" i="20"/>
  <c r="AE141" i="20"/>
  <c r="AA141" i="20"/>
  <c r="Z141" i="20"/>
  <c r="Y142" i="20"/>
  <c r="AC142" i="20"/>
  <c r="AG142" i="20"/>
  <c r="Z142" i="20"/>
  <c r="AD142" i="20"/>
  <c r="AA142" i="20"/>
  <c r="AB142" i="20"/>
  <c r="X142" i="20"/>
  <c r="AF142" i="20"/>
  <c r="AE142" i="20"/>
  <c r="Z143" i="20"/>
  <c r="AD143" i="20"/>
  <c r="AA143" i="20"/>
  <c r="AE143" i="20"/>
  <c r="X143" i="20"/>
  <c r="AF143" i="20"/>
  <c r="Y143" i="20"/>
  <c r="AG143" i="20"/>
  <c r="AC143" i="20"/>
  <c r="AB143" i="20"/>
  <c r="AA144" i="20"/>
  <c r="AE144" i="20"/>
  <c r="X144" i="20"/>
  <c r="AB144" i="20"/>
  <c r="AF144" i="20"/>
  <c r="AC144" i="20"/>
  <c r="AD144" i="20"/>
  <c r="Z144" i="20"/>
  <c r="Y144" i="20"/>
  <c r="AG144" i="20"/>
  <c r="X145" i="20"/>
  <c r="AB145" i="20"/>
  <c r="Y145" i="20"/>
  <c r="Z145" i="20"/>
  <c r="AE145" i="20"/>
  <c r="AA145" i="20"/>
  <c r="AF145" i="20"/>
  <c r="AD145" i="20"/>
  <c r="AG145" i="20"/>
  <c r="AC145" i="20"/>
  <c r="X146" i="20"/>
  <c r="AB146" i="20"/>
  <c r="AF146" i="20"/>
  <c r="Y146" i="20"/>
  <c r="AC146" i="20"/>
  <c r="AG146" i="20"/>
  <c r="AA146" i="20"/>
  <c r="AE146" i="20"/>
  <c r="Z146" i="20"/>
  <c r="AD146" i="20"/>
  <c r="Y147" i="20"/>
  <c r="AC147" i="20"/>
  <c r="AG147" i="20"/>
  <c r="Z147" i="20"/>
  <c r="AD147" i="20"/>
  <c r="X147" i="20"/>
  <c r="AB147" i="20"/>
  <c r="AF147" i="20"/>
  <c r="AA147" i="20"/>
  <c r="AE147" i="20"/>
  <c r="Z148" i="20"/>
  <c r="AD148" i="20"/>
  <c r="AA148" i="20"/>
  <c r="AE148" i="20"/>
  <c r="Y148" i="20"/>
  <c r="AC148" i="20"/>
  <c r="AG148" i="20"/>
  <c r="AF148" i="20"/>
  <c r="X148" i="20"/>
  <c r="AB148" i="20"/>
  <c r="Y118" i="20"/>
  <c r="AC118" i="20"/>
  <c r="AG118" i="20"/>
  <c r="Z118" i="20"/>
  <c r="AD118" i="20"/>
  <c r="AE118" i="20"/>
  <c r="X118" i="20"/>
  <c r="AF118" i="20"/>
  <c r="AA118" i="20"/>
  <c r="AB118" i="20"/>
  <c r="AA124" i="20"/>
  <c r="AE124" i="20"/>
  <c r="Z124" i="20"/>
  <c r="AF124" i="20"/>
  <c r="AB124" i="20"/>
  <c r="AG124" i="20"/>
  <c r="X124" i="20"/>
  <c r="AC124" i="20"/>
  <c r="Y124" i="20"/>
  <c r="AD124" i="20"/>
  <c r="AA116" i="20"/>
  <c r="AE116" i="20"/>
  <c r="X116" i="20"/>
  <c r="AB116" i="20"/>
  <c r="AF116" i="20"/>
  <c r="AC116" i="20"/>
  <c r="AD116" i="20"/>
  <c r="Y116" i="20"/>
  <c r="AG116" i="20"/>
  <c r="Z116" i="20"/>
  <c r="X113" i="20"/>
  <c r="AB113" i="20"/>
  <c r="AF113" i="20"/>
  <c r="Y113" i="20"/>
  <c r="AC113" i="20"/>
  <c r="AG113" i="20"/>
  <c r="AD113" i="20"/>
  <c r="AE113" i="20"/>
  <c r="Z113" i="20"/>
  <c r="AA113" i="20"/>
  <c r="X125" i="20"/>
  <c r="AB125" i="20"/>
  <c r="AF125" i="20"/>
  <c r="Z125" i="20"/>
  <c r="AE125" i="20"/>
  <c r="AA125" i="20"/>
  <c r="AG125" i="20"/>
  <c r="AC125" i="20"/>
  <c r="AD125" i="20"/>
  <c r="Y125" i="20"/>
  <c r="X117" i="20"/>
  <c r="AB117" i="20"/>
  <c r="AF117" i="20"/>
  <c r="Y117" i="20"/>
  <c r="AC117" i="20"/>
  <c r="AG117" i="20"/>
  <c r="Z117" i="20"/>
  <c r="AA117" i="20"/>
  <c r="AD117" i="20"/>
  <c r="AE117" i="20"/>
  <c r="Y114" i="20"/>
  <c r="AC114" i="20"/>
  <c r="AG114" i="20"/>
  <c r="Z114" i="20"/>
  <c r="AD114" i="20"/>
  <c r="AA114" i="20"/>
  <c r="AB114" i="20"/>
  <c r="AE114" i="20"/>
  <c r="X114" i="20"/>
  <c r="AF114" i="20"/>
  <c r="AA119" i="20"/>
  <c r="AE119" i="20"/>
  <c r="X119" i="20"/>
  <c r="AB119" i="20"/>
  <c r="AF119" i="20"/>
  <c r="Y119" i="20"/>
  <c r="AG119" i="20"/>
  <c r="Z119" i="20"/>
  <c r="AC119" i="20"/>
  <c r="AD119" i="20"/>
  <c r="X107" i="20"/>
  <c r="AB107" i="20"/>
  <c r="AF107" i="20"/>
  <c r="AA107" i="20"/>
  <c r="AG107" i="20"/>
  <c r="AC107" i="20"/>
  <c r="Y107" i="20"/>
  <c r="AD107" i="20"/>
  <c r="AE107" i="20"/>
  <c r="Z107" i="20"/>
  <c r="Z131" i="20"/>
  <c r="AD131" i="20"/>
  <c r="Y131" i="20"/>
  <c r="AE131" i="20"/>
  <c r="AA131" i="20"/>
  <c r="AF131" i="20"/>
  <c r="AG131" i="20"/>
  <c r="X131" i="20"/>
  <c r="AC131" i="20"/>
  <c r="AB131" i="20"/>
  <c r="AA132" i="20"/>
  <c r="AE132" i="20"/>
  <c r="Y132" i="20"/>
  <c r="AD132" i="20"/>
  <c r="Z132" i="20"/>
  <c r="AF132" i="20"/>
  <c r="AG132" i="20"/>
  <c r="X132" i="20"/>
  <c r="AC132" i="20"/>
  <c r="AB132" i="20"/>
  <c r="Z120" i="20"/>
  <c r="AA120" i="20"/>
  <c r="AE120" i="20"/>
  <c r="AB120" i="20"/>
  <c r="AG120" i="20"/>
  <c r="AC120" i="20"/>
  <c r="X120" i="20"/>
  <c r="AD120" i="20"/>
  <c r="Y120" i="20"/>
  <c r="AF120" i="20"/>
  <c r="AG67" i="20"/>
  <c r="T142" i="19"/>
  <c r="X67" i="20"/>
  <c r="Y67" i="20"/>
  <c r="Z67" i="20"/>
  <c r="AA67" i="20"/>
  <c r="AB67" i="20"/>
  <c r="AC67" i="20"/>
  <c r="AD67" i="20"/>
  <c r="AE67" i="20"/>
  <c r="AF67"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1" i="43"/>
  <c r="G20" i="43"/>
  <c r="I16" i="43"/>
  <c r="I17" i="43"/>
  <c r="I15" i="43"/>
  <c r="I19" i="43"/>
  <c r="I22" i="43"/>
  <c r="O15" i="37" l="1"/>
  <c r="O16" i="37"/>
  <c r="O9" i="37"/>
  <c r="O14" i="37"/>
  <c r="O17" i="37"/>
  <c r="O8" i="37"/>
  <c r="O10" i="37"/>
  <c r="O11" i="37"/>
  <c r="M8" i="37"/>
  <c r="M15" i="37"/>
  <c r="M14" i="37"/>
  <c r="M17" i="37"/>
  <c r="M9" i="37"/>
  <c r="M10" i="37"/>
  <c r="M11" i="37"/>
  <c r="M16" i="37"/>
  <c r="H11" i="37"/>
  <c r="O6" i="36"/>
  <c r="L9" i="37"/>
  <c r="L11" i="37"/>
  <c r="L14" i="37"/>
  <c r="L16" i="37"/>
  <c r="L8" i="37"/>
  <c r="L10" i="37"/>
  <c r="L15" i="37"/>
  <c r="L17" i="37"/>
  <c r="D8" i="37"/>
  <c r="E8" i="37"/>
  <c r="H8" i="37"/>
  <c r="K8" i="37"/>
  <c r="E10" i="37"/>
  <c r="E11" i="37"/>
  <c r="F15" i="37"/>
  <c r="K15" i="37"/>
  <c r="I20" i="43"/>
  <c r="I18" i="43"/>
  <c r="G17" i="43"/>
  <c r="G8" i="43"/>
  <c r="M20" i="43"/>
  <c r="M19" i="43"/>
  <c r="M22" i="43"/>
  <c r="G19" i="43"/>
  <c r="M17" i="43"/>
  <c r="G18" i="43"/>
  <c r="G15" i="43"/>
  <c r="I21" i="43"/>
  <c r="G22" i="43"/>
  <c r="G16" i="43"/>
  <c r="M21" i="43"/>
  <c r="O18" i="37" l="1"/>
  <c r="N18" i="37"/>
  <c r="M18" i="37"/>
  <c r="L18" i="37"/>
  <c r="K11" i="37"/>
  <c r="F11" i="37"/>
  <c r="D9" i="37"/>
  <c r="K16" i="37"/>
  <c r="D11" i="37"/>
  <c r="F17" i="37"/>
  <c r="E9" i="37"/>
  <c r="F10" i="37"/>
  <c r="F16" i="37"/>
  <c r="F8" i="37"/>
  <c r="K14" i="37"/>
  <c r="K9" i="37"/>
  <c r="D14" i="37"/>
  <c r="D15" i="37"/>
  <c r="F9" i="37"/>
  <c r="D10" i="37"/>
  <c r="D16" i="37"/>
  <c r="K10" i="37"/>
  <c r="F14" i="37"/>
  <c r="D17" i="37"/>
  <c r="K17" i="37"/>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I10" i="37"/>
  <c r="I9" i="37"/>
  <c r="J14" i="37"/>
  <c r="J16" i="37"/>
  <c r="I16" i="37"/>
  <c r="I11" i="37"/>
  <c r="I17" i="37"/>
  <c r="I8"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O25" i="37"/>
  <c r="O27" i="37"/>
  <c r="H31" i="37"/>
  <c r="H29" i="37"/>
  <c r="D25" i="37"/>
  <c r="G25" i="37" s="1"/>
  <c r="D28" i="37"/>
  <c r="G28" i="37" s="1"/>
  <c r="D24" i="37"/>
  <c r="G24" i="37" s="1"/>
  <c r="O30" i="37"/>
  <c r="O31" i="37"/>
  <c r="O28" i="37"/>
  <c r="D31" i="37"/>
  <c r="G31" i="37" s="1"/>
  <c r="H32" i="37"/>
  <c r="H27" i="37"/>
  <c r="D32" i="37"/>
  <c r="G32" i="37" s="1"/>
  <c r="O29" i="37"/>
  <c r="O32" i="37"/>
  <c r="H25" i="37"/>
  <c r="O23" i="37"/>
  <c r="D27" i="37"/>
  <c r="G27" i="37" s="1"/>
  <c r="O24" i="37"/>
  <c r="H28" i="37"/>
  <c r="H24" i="37"/>
  <c r="F18" i="37" l="1"/>
  <c r="E18" i="37"/>
  <c r="D18" i="37"/>
  <c r="F20" i="43"/>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J18" i="37"/>
  <c r="G33" i="37"/>
  <c r="O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<sst xmlns="http://schemas.openxmlformats.org/spreadsheetml/2006/main" count="10559" uniqueCount="1157">
  <si>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</si>
  <si>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</si>
  <si>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</si>
  <si>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</si>
  <si>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</si>
  <si>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</si>
  <si>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</si>
  <si>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</si>
  <si>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</si>
  <si>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</si>
  <si>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</si>
  <si>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</si>
  <si>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</si>
  <si>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</si>
  <si>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</si>
  <si>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</si>
  <si>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</si>
  <si>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</si>
  <si>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</si>
  <si>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</si>
  <si>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</si>
  <si>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</si>
  <si>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</si>
  <si>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</si>
  <si>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</si>
  <si>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</si>
  <si>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</si>
  <si>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</si>
  <si>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</si>
  <si>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</si>
  <si>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</si>
  <si>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</si>
  <si>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</si>
  <si>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</si>
  <si>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</si>
  <si>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</si>
  <si>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</si>
  <si>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</si>
  <si>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</si>
  <si>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</si>
  <si>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</si>
  <si>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</si>
  <si>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</si>
  <si>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</si>
  <si>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</si>
  <si>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</si>
  <si>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</si>
  <si>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</si>
  <si>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</si>
  <si>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</si>
  <si>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</si>
  <si>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</si>
  <si>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</si>
  <si>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</si>
  <si>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</si>
  <si>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</si>
  <si>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</si>
  <si>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</si>
  <si>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</si>
  <si>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</si>
  <si>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</si>
  <si>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</si>
  <si>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</si>
  <si>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</si>
  <si>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</si>
  <si>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</si>
  <si>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</si>
  <si>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</si>
  <si>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</si>
  <si>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</si>
  <si>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</si>
  <si>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</si>
  <si>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</si>
  <si>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</si>
  <si>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</si>
  <si>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</si>
  <si>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</si>
  <si>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</si>
  <si>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</si>
  <si>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</si>
  <si>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</si>
  <si>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</si>
  <si>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</si>
  <si>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</si>
  <si>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</si>
  <si>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</si>
  <si>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</si>
  <si>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</si>
  <si>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</si>
  <si>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</si>
  <si>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</si>
  <si>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</si>
  <si>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</si>
  <si>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</si>
  <si>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</si>
  <si>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</si>
  <si>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</si>
  <si>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</si>
  <si>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</si>
  <si>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</si>
  <si>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</si>
  <si>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</si>
  <si>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</si>
  <si>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</si>
  <si>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</si>
  <si>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</si>
  <si>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</si>
  <si>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</si>
  <si>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</si>
  <si>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</si>
  <si>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</si>
  <si>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</si>
  <si>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</si>
  <si>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</si>
  <si>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</si>
  <si>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</si>
  <si>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</si>
  <si>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</si>
  <si>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</si>
  <si>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</si>
  <si>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</si>
  <si>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</si>
  <si>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</si>
  <si>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</si>
  <si>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</si>
  <si>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</si>
  <si>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</si>
  <si>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</si>
  <si>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</si>
  <si>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</si>
  <si>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</si>
  <si>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</si>
  <si>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</si>
  <si>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</si>
  <si>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</si>
  <si>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</si>
  <si>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</si>
  <si>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</si>
  <si>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</si>
  <si>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</si>
  <si>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</si>
  <si>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</si>
  <si>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</si>
  <si>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</si>
  <si>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</si>
  <si>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</si>
  <si>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</si>
  <si>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</si>
  <si>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</si>
  <si>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</si>
  <si>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</si>
  <si>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</si>
  <si>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</si>
  <si>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</si>
  <si>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</si>
  <si>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</si>
  <si>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</si>
  <si>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</si>
  <si>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</si>
  <si>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</si>
  <si>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</si>
  <si>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</si>
  <si>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</si>
  <si>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</si>
  <si>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</si>
  <si>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</si>
  <si>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</si>
  <si>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</si>
  <si>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</si>
  <si>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</si>
  <si>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</si>
  <si>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</si>
  <si>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</si>
  <si>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</si>
  <si>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</si>
  <si>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</si>
  <si>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</si>
  <si>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</si>
  <si>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</si>
  <si>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</si>
  <si>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</si>
  <si>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</si>
  <si>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</si>
  <si>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</si>
  <si>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</si>
  <si>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</si>
  <si>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</si>
  <si>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</si>
  <si>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</si>
  <si>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</si>
  <si>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</si>
  <si>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</si>
  <si>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</si>
  <si>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</si>
  <si>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</si>
  <si>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</si>
  <si>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</si>
  <si>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</si>
  <si>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</si>
  <si>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</si>
  <si>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</si>
  <si>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</si>
  <si>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</si>
  <si>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</si>
  <si>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</si>
  <si>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</si>
  <si>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</si>
  <si>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</si>
  <si>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</si>
  <si>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</si>
  <si>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</si>
  <si>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</si>
  <si>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</si>
  <si>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</si>
  <si>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</si>
  <si>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</si>
  <si>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</si>
  <si>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</si>
  <si>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</si>
  <si>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</si>
  <si>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</si>
  <si>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</si>
  <si>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</si>
  <si>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</si>
  <si>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</si>
  <si>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</si>
  <si>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</si>
  <si>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</si>
  <si>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</si>
  <si>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</si>
  <si>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</si>
  <si>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</si>
  <si>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</si>
  <si>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</si>
  <si>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</si>
  <si>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</si>
  <si>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</si>
  <si>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</si>
  <si>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</si>
  <si>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</si>
  <si>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</si>
  <si>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</si>
  <si>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</si>
  <si>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</si>
  <si>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</si>
  <si>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</si>
  <si>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</si>
  <si>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</si>
  <si>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</si>
  <si>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</si>
  <si>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</si>
  <si>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</si>
  <si>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</si>
  <si>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</si>
  <si>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</si>
  <si>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</si>
  <si>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</si>
  <si>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</si>
  <si>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</si>
  <si>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</si>
  <si>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</si>
  <si>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</si>
  <si>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</si>
  <si>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</si>
  <si>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</si>
  <si>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</si>
  <si>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</si>
  <si>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</si>
  <si>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</si>
  <si>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</si>
  <si>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</si>
  <si>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</si>
  <si>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</si>
  <si>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</si>
  <si>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</si>
  <si>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</si>
  <si>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</si>
  <si>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</si>
  <si>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</si>
  <si>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</si>
  <si>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</si>
  <si>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</si>
  <si>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</si>
  <si>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</si>
  <si>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</si>
  <si>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</si>
  <si>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</si>
  <si>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</si>
  <si>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</si>
  <si>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</si>
  <si>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</si>
  <si>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</si>
  <si>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</si>
  <si>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</si>
  <si>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</si>
  <si>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</si>
  <si>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</si>
  <si>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</si>
  <si>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</si>
  <si>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</si>
  <si>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</si>
  <si>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</si>
  <si>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</si>
  <si>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</si>
  <si>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</si>
  <si>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</si>
  <si>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</si>
  <si>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</si>
  <si>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</si>
  <si>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</si>
  <si>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</si>
  <si>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</si>
  <si>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</si>
  <si>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</si>
  <si>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</si>
  <si>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</si>
  <si>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</si>
  <si>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</si>
  <si>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</si>
  <si>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</si>
  <si>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</si>
  <si>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</si>
  <si>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</si>
  <si>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</si>
  <si>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</si>
  <si>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</si>
  <si>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</si>
  <si>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</si>
  <si>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</si>
  <si>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</si>
  <si>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</si>
  <si>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</si>
  <si>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</si>
  <si>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</si>
  <si>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</si>
  <si>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</si>
  <si>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</si>
  <si>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</si>
  <si>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</si>
  <si>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</si>
  <si>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</si>
  <si>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</si>
  <si>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</si>
  <si>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</si>
  <si>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</si>
  <si>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</si>
  <si>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</si>
  <si>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</si>
  <si>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</si>
  <si>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</si>
  <si>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</si>
  <si>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</si>
  <si>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</si>
  <si>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</si>
  <si>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</si>
  <si>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</si>
  <si>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</si>
  <si>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</si>
  <si>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</si>
  <si>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</si>
  <si>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</si>
  <si>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</si>
  <si>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</si>
  <si>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</si>
  <si>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</si>
  <si>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</si>
  <si>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</si>
  <si>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</si>
  <si>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</si>
  <si>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</si>
  <si>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</si>
  <si>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</si>
  <si>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</si>
  <si>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</si>
  <si>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</si>
  <si>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</si>
  <si>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</si>
  <si>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</si>
  <si>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</si>
  <si>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</si>
  <si>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</si>
  <si>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</si>
  <si>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</si>
  <si>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</si>
  <si>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</si>
  <si>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</si>
  <si>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</si>
  <si>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</si>
  <si>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</si>
  <si>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</si>
  <si>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</si>
  <si>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</si>
  <si>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</si>
  <si>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</si>
  <si>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</si>
  <si>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</si>
  <si>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</si>
  <si>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</si>
  <si>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</si>
  <si>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</si>
  <si>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</si>
  <si>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</si>
  <si>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</si>
  <si>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</si>
  <si>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</si>
  <si>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</si>
  <si>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</si>
  <si>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</si>
  <si>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</si>
  <si>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</si>
  <si>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</si>
  <si>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</si>
  <si>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</si>
  <si>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</si>
  <si>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</si>
  <si>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</si>
  <si>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</si>
  <si>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</si>
  <si>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</si>
  <si>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</si>
  <si>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</si>
  <si>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</si>
  <si>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</si>
  <si>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</si>
  <si>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</si>
  <si>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</si>
  <si>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</si>
  <si>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</si>
  <si>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</si>
  <si>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</si>
  <si>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</si>
  <si>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</si>
  <si>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</si>
  <si>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</si>
  <si>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</si>
  <si>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</si>
  <si>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</si>
  <si>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</si>
  <si>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</si>
  <si>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</si>
  <si>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</si>
  <si>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</si>
  <si>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</si>
  <si>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</si>
  <si>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</si>
  <si>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</si>
  <si>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</si>
  <si>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</si>
  <si>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</si>
  <si>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</si>
  <si>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</si>
  <si>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</si>
  <si>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</si>
  <si>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</si>
  <si>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</si>
  <si>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</si>
  <si>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</si>
  <si>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</si>
  <si>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</si>
  <si>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</si>
  <si>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</si>
  <si>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</si>
  <si>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</si>
  <si>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</si>
  <si>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</si>
  <si>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</si>
  <si>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</si>
  <si>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</si>
  <si>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</si>
  <si>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</si>
  <si>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</si>
  <si>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</si>
  <si>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</si>
  <si>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</si>
  <si>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</si>
  <si>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</si>
  <si>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</si>
  <si>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</si>
  <si>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</si>
  <si>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</si>
  <si>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</si>
  <si>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</si>
  <si>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</si>
  <si>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</si>
  <si>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</si>
  <si>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</si>
  <si>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</si>
  <si>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</si>
  <si>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</si>
  <si>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</si>
  <si>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</si>
  <si>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</si>
  <si>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</si>
  <si>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</si>
  <si>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</si>
  <si>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</si>
  <si>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</si>
  <si>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</si>
  <si>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</si>
  <si>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</si>
  <si>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</si>
  <si>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</si>
  <si>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</si>
  <si>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</si>
  <si>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</si>
  <si>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</si>
  <si>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</si>
  <si>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</si>
  <si>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</si>
  <si>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</si>
  <si>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</si>
  <si>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</si>
  <si>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</si>
  <si>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</si>
  <si>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</si>
  <si>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</si>
  <si>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</si>
  <si>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</si>
  <si>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</si>
  <si>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</si>
  <si>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</si>
  <si>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</si>
  <si>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</si>
  <si>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</si>
  <si>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</si>
  <si>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</si>
  <si>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</si>
  <si>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</si>
  <si>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</si>
  <si>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</si>
  <si>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</si>
  <si>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</si>
  <si>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</si>
  <si>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</si>
  <si>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</si>
  <si>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</si>
  <si>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</si>
  <si>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</si>
  <si>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</si>
  <si>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</si>
  <si>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</si>
  <si>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</si>
  <si>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</si>
  <si>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</si>
  <si>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</si>
  <si>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</si>
  <si>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</si>
  <si>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</si>
  <si>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</si>
  <si>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</si>
  <si>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</si>
  <si>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</si>
  <si>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</si>
  <si>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</si>
  <si>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</si>
  <si>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</si>
  <si>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</si>
  <si>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</si>
  <si>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</si>
  <si>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</si>
  <si>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</si>
  <si>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</si>
  <si>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</si>
  <si>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</si>
  <si>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</si>
  <si>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</si>
  <si>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</si>
  <si>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</si>
  <si>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</si>
  <si>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</si>
  <si>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</si>
  <si>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</si>
  <si>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</si>
  <si>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</si>
  <si>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</si>
  <si>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</si>
  <si>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</si>
  <si>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</si>
  <si>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</si>
  <si>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</si>
  <si>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</si>
  <si>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</si>
  <si>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</si>
  <si>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</si>
  <si>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</si>
  <si>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</si>
  <si>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</si>
  <si>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</si>
  <si>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</si>
  <si>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</si>
  <si>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</si>
  <si>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</si>
  <si>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</si>
  <si>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</si>
  <si>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</si>
  <si>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</si>
  <si>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</si>
  <si>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</si>
  <si>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</si>
  <si>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</si>
  <si>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</si>
  <si>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</si>
  <si>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</si>
  <si>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</si>
  <si>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</si>
  <si>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</si>
  <si>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</si>
  <si>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</si>
  <si>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</si>
  <si>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</si>
  <si>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</si>
  <si>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</si>
  <si>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</si>
  <si>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</si>
  <si>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</si>
  <si>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</si>
  <si>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</si>
  <si>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</si>
  <si>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</si>
  <si>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</si>
  <si>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</si>
  <si>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</si>
  <si>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</si>
  <si>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</si>
  <si>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</si>
  <si>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</si>
  <si>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</si>
  <si>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</si>
  <si>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</si>
  <si>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</si>
  <si>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</si>
  <si>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</si>
  <si>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</si>
  <si>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</si>
  <si>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</si>
  <si>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</si>
  <si>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</si>
  <si>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</si>
  <si>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</si>
  <si>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</si>
  <si>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</si>
  <si>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</si>
  <si>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</si>
  <si>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</si>
  <si>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</si>
  <si>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</si>
  <si>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</si>
  <si>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</si>
  <si>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</si>
  <si>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</si>
  <si>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</si>
  <si>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</si>
  <si>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</si>
  <si>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</si>
  <si>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</si>
  <si>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</si>
  <si>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</si>
  <si>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</si>
  <si>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</si>
  <si>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</si>
  <si>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</si>
  <si>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</si>
  <si>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</si>
  <si>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</si>
  <si>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</si>
  <si>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</si>
  <si>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</si>
  <si>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</si>
  <si>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</si>
  <si>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</si>
  <si>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</si>
  <si>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</si>
  <si>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</si>
  <si>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</si>
  <si>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</si>
  <si>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</si>
  <si>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</si>
  <si>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</si>
  <si>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</si>
  <si>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</si>
  <si>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</si>
  <si>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</si>
  <si>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</si>
  <si>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</si>
  <si>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</si>
  <si>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</si>
  <si>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</si>
  <si>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</si>
  <si>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</si>
  <si>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</si>
  <si>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</si>
  <si>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</si>
  <si>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</si>
  <si>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</si>
  <si>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</si>
  <si>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</si>
  <si>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</si>
  <si>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</si>
  <si>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</si>
  <si>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</si>
  <si>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</si>
  <si>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</si>
  <si>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</si>
  <si>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</si>
  <si>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</si>
  <si>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</si>
  <si>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</si>
  <si>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</si>
  <si>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</si>
  <si>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</si>
  <si>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</si>
  <si>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</si>
  <si>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</si>
  <si>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</si>
  <si>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</si>
  <si>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</si>
  <si>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</si>
  <si>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</si>
  <si>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</si>
  <si>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</si>
  <si>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</si>
  <si>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</si>
  <si>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</si>
  <si>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</si>
  <si>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</si>
  <si>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</si>
  <si>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</si>
  <si>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</si>
  <si>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</si>
  <si>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</si>
  <si>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</si>
  <si>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</si>
  <si>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</si>
  <si>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</si>
  <si>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</si>
  <si>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</si>
  <si>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</si>
  <si>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</si>
  <si>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</si>
  <si>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</si>
  <si>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</si>
  <si>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</si>
  <si>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</si>
  <si>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</si>
  <si>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</si>
  <si>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</si>
  <si>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</si>
  <si>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</si>
  <si>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</si>
  <si>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</si>
  <si>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</si>
  <si>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</si>
  <si>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</si>
  <si>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</si>
  <si>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</si>
  <si>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</si>
  <si>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</si>
  <si>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</si>
  <si>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</si>
  <si>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</si>
  <si>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</si>
  <si>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</si>
  <si>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</si>
  <si>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</si>
  <si>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</si>
  <si>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</si>
  <si>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</si>
  <si>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</si>
  <si>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</si>
  <si>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</si>
  <si>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</si>
  <si>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</si>
  <si>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</si>
  <si>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</si>
  <si>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</si>
  <si>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</si>
  <si>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</si>
  <si>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</si>
  <si>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</si>
  <si>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</si>
  <si>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</si>
  <si>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</si>
  <si>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</si>
  <si>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</si>
  <si>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</si>
  <si>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</si>
  <si>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</si>
  <si>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</si>
  <si>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</si>
  <si>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</si>
  <si>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</si>
  <si>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</si>
  <si>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</si>
  <si>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</si>
  <si>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</si>
  <si>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</si>
  <si>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</si>
  <si>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</si>
  <si>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</si>
  <si>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</si>
  <si>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</si>
  <si>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</si>
  <si>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</si>
  <si>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</si>
  <si>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</si>
  <si>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</si>
  <si>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</si>
  <si>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</si>
  <si>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</si>
  <si>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</si>
  <si>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</si>
  <si>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</si>
  <si>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</si>
  <si>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</si>
  <si>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</si>
  <si>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</si>
  <si>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</si>
  <si>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</si>
  <si>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</si>
  <si>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</si>
  <si>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</si>
  <si>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</si>
  <si>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</si>
  <si>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</si>
  <si>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</si>
  <si>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</si>
  <si>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</si>
  <si>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</si>
  <si>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</si>
  <si>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</si>
  <si>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</si>
  <si>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</si>
  <si>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</si>
  <si>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</si>
  <si>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</si>
  <si>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</si>
  <si>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</si>
  <si>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</si>
  <si>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</si>
  <si>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</si>
  <si>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</si>
  <si>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</si>
  <si>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</si>
  <si>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</si>
  <si>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</si>
  <si>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</si>
  <si>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</si>
  <si>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</si>
  <si>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</si>
  <si>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</si>
  <si>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</si>
  <si>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</si>
  <si>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</si>
  <si>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</si>
  <si>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</si>
  <si>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</si>
  <si>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</si>
  <si>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</si>
  <si>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</si>
  <si>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</si>
  <si>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</si>
  <si>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</si>
  <si>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</si>
  <si>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</si>
  <si>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</si>
  <si>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</si>
  <si>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</si>
  <si>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</si>
  <si>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</si>
  <si>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</si>
  <si>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</si>
  <si>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</si>
  <si>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</si>
  <si>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</si>
  <si>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</si>
  <si>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</si>
  <si>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</si>
  <si>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</si>
  <si>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</si>
  <si>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</si>
  <si>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</si>
  <si>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</si>
  <si>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</si>
  <si>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</si>
  <si>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</si>
  <si>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</si>
  <si>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</si>
  <si>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</si>
  <si>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</si>
  <si>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</si>
  <si>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</si>
  <si>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</si>
  <si>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</si>
  <si>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</si>
  <si>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</si>
  <si>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</si>
  <si>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</si>
  <si>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</si>
  <si>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</si>
  <si>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</si>
  <si>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</si>
  <si>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</si>
  <si>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</si>
  <si>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</si>
  <si>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</si>
  <si>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</si>
  <si>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</si>
  <si>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</si>
  <si>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</si>
  <si>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</si>
  <si>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</si>
  <si>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</si>
  <si>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</si>
  <si>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</si>
  <si>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</si>
  <si>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</si>
  <si>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</si>
  <si>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</si>
  <si>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</si>
  <si>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</si>
  <si>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</si>
  <si>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</si>
  <si>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</si>
  <si>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</si>
  <si>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</si>
  <si>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</si>
  <si>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</si>
  <si>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</si>
  <si>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</si>
  <si>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</si>
  <si>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</si>
  <si>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</si>
  <si>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</si>
  <si>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</si>
  <si>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</si>
  <si>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</si>
  <si>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</si>
  <si>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</si>
  <si>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</si>
  <si>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</si>
  <si>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</si>
  <si>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</si>
  <si>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</si>
  <si>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</si>
  <si>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</si>
  <si>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</si>
  <si>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</si>
  <si>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</si>
  <si>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</si>
  <si>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</si>
  <si>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</si>
  <si>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</si>
  <si>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</si>
  <si>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</si>
  <si>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</si>
  <si>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</si>
  <si>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</si>
  <si>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</si>
  <si>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</si>
  <si>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</si>
  <si>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</si>
  <si>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</si>
  <si>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</si>
  <si>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</si>
  <si>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</si>
  <si>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</si>
  <si>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</si>
  <si>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</si>
  <si>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</si>
  <si>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</si>
  <si>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</si>
  <si>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</si>
  <si>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</si>
  <si>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</si>
  <si>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</si>
  <si>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</si>
  <si>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</si>
  <si>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</si>
  <si>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</si>
  <si>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</si>
  <si>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</si>
  <si>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</si>
  <si>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</si>
  <si>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</si>
  <si>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</si>
  <si>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</si>
  <si>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</si>
  <si>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</si>
  <si>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</si>
  <si>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</si>
  <si>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</si>
  <si>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</si>
  <si>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</si>
  <si>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</si>
  <si>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</si>
  <si>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</si>
  <si>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</si>
  <si>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</si>
  <si>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</si>
  <si>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</si>
  <si>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</si>
  <si>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</si>
  <si>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</si>
  <si>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</si>
  <si>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</si>
  <si>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</si>
  <si>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</si>
  <si>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</si>
  <si>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</si>
  <si>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</si>
  <si>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</si>
  <si>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</si>
  <si>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</si>
  <si>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</si>
  <si>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</si>
  <si>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</si>
  <si>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</si>
  <si>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</si>
  <si>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</si>
  <si>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Decrease of 3HH who moved to YNG (April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</si>
  <si>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</si>
  <si>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</si>
  <si>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</si>
  <si>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</si>
  <si>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</si>
  <si>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</si>
  <si>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</si>
  <si>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</si>
  <si>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</si>
  <si>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 xml:space="preserve">Yadu Shreska, Emergency Project Coordinator, campro.mmr@lwfdws.org </t>
  </si>
  <si>
    <t>Richard Tracey, CCCM/NFI Cluster Coordinator, tracey@unhcr.org  09448027896</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</si>
  <si>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</si>
  <si>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</si>
  <si>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</si>
  <si>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</si>
  <si>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</si>
  <si>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</si>
  <si>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</si>
  <si>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</si>
  <si>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</si>
  <si>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</si>
  <si>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</si>
  <si>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</si>
  <si>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</si>
  <si>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</si>
  <si>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</si>
  <si>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</si>
  <si>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</si>
  <si>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</si>
  <si>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</si>
  <si>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</si>
  <si>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</si>
  <si>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</si>
  <si>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</si>
  <si>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</si>
  <si>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</si>
  <si>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</si>
  <si>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</si>
  <si>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</si>
  <si>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</si>
  <si>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</si>
  <si>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</si>
  <si>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</si>
  <si>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</si>
  <si>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</si>
  <si>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</si>
  <si>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</si>
  <si>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</si>
  <si>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</si>
  <si>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</si>
  <si>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</si>
  <si>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</si>
  <si>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</si>
  <si>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</si>
  <si>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</si>
  <si>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</si>
  <si>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</si>
  <si>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</si>
  <si>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</si>
  <si>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</si>
  <si>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</si>
  <si>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</si>
  <si>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</si>
  <si>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</si>
  <si>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</si>
  <si>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</si>
  <si>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</si>
  <si>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</si>
  <si>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</si>
  <si>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</si>
  <si>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</si>
  <si>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</si>
  <si>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</si>
  <si>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</si>
  <si>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</si>
  <si>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</si>
  <si>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</si>
  <si>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</si>
  <si>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</si>
  <si>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</si>
  <si>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</si>
  <si>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</si>
  <si>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</si>
  <si>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</si>
  <si>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Physically disabled</t>
  </si>
  <si>
    <t>Mentally disabled</t>
  </si>
  <si>
    <t>Persons with serious medical condition</t>
  </si>
  <si>
    <t>Unaccompanied children (&lt;18)</t>
  </si>
  <si>
    <t>Separated children (&lt;18)</t>
  </si>
  <si>
    <t>Older persons at risk</t>
  </si>
  <si>
    <t>Single headed households</t>
  </si>
  <si>
    <t>Pregnant women</t>
  </si>
  <si>
    <t>M2</t>
  </si>
  <si>
    <t>Priority camps are 17 camps in the areas of rural Sittwe, and Myebon and Pauktaw Townships where a significant majority (almost 90 %) of the 120,000 IDP population resides.</t>
  </si>
  <si>
    <t>Adult Clothes</t>
  </si>
  <si>
    <t>Children Clothes</t>
  </si>
  <si>
    <t>Sewing Kit</t>
  </si>
  <si>
    <t>SI</t>
  </si>
  <si>
    <t>Ri</t>
  </si>
  <si>
    <t>Adult Clothes_LS</t>
  </si>
  <si>
    <t>Children Clothes_LS</t>
  </si>
  <si>
    <t>Sewing Kit_LS</t>
  </si>
  <si>
    <t>NFI_Adult_Clothes_Track</t>
  </si>
  <si>
    <t>NFI_Children_Clothes_Track</t>
  </si>
  <si>
    <t>NFI_Sewing_Kit_Track</t>
  </si>
  <si>
    <t xml:space="preserve">Sewing Kit </t>
  </si>
  <si>
    <t xml:space="preserve">Children Clothes </t>
  </si>
  <si>
    <t xml:space="preserve">Adult Clothes </t>
  </si>
  <si>
    <t>CCCM Monthly monitoring tool (Janury 2017)</t>
  </si>
  <si>
    <t>MHAA</t>
  </si>
  <si>
    <t>Gov</t>
  </si>
  <si>
    <t>Remark</t>
  </si>
  <si>
    <t xml:space="preserve">Gov provided 350 kits which include noodle, clothes and wheat. </t>
  </si>
  <si>
    <t>2017 Total</t>
  </si>
  <si>
    <t>Core NFI Kit Local</t>
  </si>
  <si>
    <t>Distributed Item number is also the same with HH</t>
  </si>
  <si>
    <t>Distributed Item number is number of HH</t>
  </si>
  <si>
    <t>SCI</t>
  </si>
  <si>
    <t>Sophie Everest, CCCM Project Coordinator,
sophie.everest@drcmm.org,</t>
  </si>
  <si>
    <t xml:space="preserve">Sanitary Kit </t>
  </si>
  <si>
    <t>UNIQLO</t>
  </si>
  <si>
    <t># of NFI distributed HH(s) in 12 months by Organizations</t>
  </si>
  <si>
    <t xml:space="preserve">Kyaukpyu </t>
  </si>
  <si>
    <t>Increased 5 IDPs by CCCM Site Profile-March,2017</t>
  </si>
  <si>
    <t>Decreased 29 HH and -64 IDPs by CCCM Site Profile-March,2017</t>
  </si>
  <si>
    <t>Source by CCCM Site Profile-March,2017</t>
  </si>
  <si>
    <t>0-5</t>
  </si>
  <si>
    <t>0-5 Total</t>
  </si>
  <si>
    <t>Solor Lantern</t>
  </si>
  <si>
    <t>NFI_Solor_Lantern_Track</t>
  </si>
  <si>
    <t>Solor Equipment</t>
  </si>
  <si>
    <t>Solar Lantern</t>
  </si>
  <si>
    <t>Solar Lantern_LS</t>
  </si>
  <si>
    <t xml:space="preserve">Solar Lantern </t>
  </si>
  <si>
    <t>Alejandro Cuyar, Head of Rakhine Programs, 
alejandro.cuyar@ri.org</t>
  </si>
  <si>
    <t>Source by CCCM Site Profile-May,2017</t>
  </si>
  <si>
    <t>Source by CCCM Site Profile-May2017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</si>
</sst>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 #,##0.00_-;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 numFmtId="172" formatCode="dd\-mmm\-yy"/>
  </numFmts>
  <fonts count="87"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sz val="10"/>
      <name val="Calibri"/>
      <family val="2"/>
    </font>
    <font>
      <sz val="11"/>
      <color theme="0"/>
      <name val="Calibri"/>
      <family val="2"/>
      <scheme val="minor"/>
    </font>
    <font>
      <sz val="11"/>
      <color rgb="FFFFFF00"/>
      <name val="Calibri"/>
      <family val="2"/>
      <scheme val="minor"/>
    </font>
    <font>
      <sz val="10"/>
      <color theme="1"/>
      <name val="Calibri"/>
      <family val="2"/>
      <scheme val="minor"/>
    </font>
    <font>
      <sz val="10"/>
      <name val="Calibri"/>
      <family val="2"/>
      <scheme val="minor"/>
    </font>
    <font>
      <b/>
      <sz val="10"/>
      <name val="Calibri"/>
      <family val="2"/>
      <scheme val="minor"/>
    </font>
    <font>
      <b/>
      <i/>
      <sz val="14"/>
      <color theme="1"/>
      <name val="Calibri"/>
      <family val="2"/>
      <scheme val="minor"/>
    </font>
  </fonts>
  <fills count="5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2"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s>
  <cellStyleXfs count="21">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164"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1" fillId="47" borderId="0" applyNumberFormat="0" applyBorder="0" applyAlignment="0" applyProtection="0"/>
  </cellStyleXfs>
  <cellXfs count="1140">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0" fontId="0" fillId="0" borderId="42" xfId="0" applyBorder="1" applyAlignment="1">
      <alignment horizontal="center" vertical="center" wrapText="1"/>
    </xf>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49" fontId="81" fillId="20" borderId="0" xfId="0" applyNumberFormat="1" applyFont="1" applyFill="1" applyBorder="1" applyAlignment="1">
      <alignment horizontal="left" vertical="center"/>
    </xf>
    <xf numFmtId="0" fontId="81"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1"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0" fontId="0" fillId="0" borderId="12" xfId="0" applyBorder="1" applyAlignment="1">
      <alignment horizontal="righ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NumberFormat="1" applyAlignment="1">
      <alignment textRotation="90"/>
    </xf>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1" fillId="47" borderId="3" xfId="20" applyBorder="1" applyAlignment="1">
      <alignment horizontal="left"/>
    </xf>
    <xf numFmtId="165" fontId="81" fillId="47" borderId="1" xfId="20" applyNumberFormat="1" applyBorder="1"/>
    <xf numFmtId="165" fontId="81"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0"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0"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83" fillId="0" borderId="1" xfId="0" applyFont="1" applyBorder="1"/>
    <xf numFmtId="165" fontId="83" fillId="0" borderId="1" xfId="7" applyNumberFormat="1" applyFont="1" applyBorder="1"/>
    <xf numFmtId="49" fontId="83" fillId="35" borderId="3" xfId="0" applyNumberFormat="1" applyFont="1" applyFill="1" applyBorder="1"/>
    <xf numFmtId="49" fontId="84" fillId="0" borderId="1" xfId="0" applyNumberFormat="1" applyFont="1" applyBorder="1"/>
    <xf numFmtId="49" fontId="83" fillId="0" borderId="1" xfId="0" applyNumberFormat="1" applyFont="1" applyBorder="1"/>
    <xf numFmtId="49" fontId="85" fillId="39" borderId="1" xfId="0" applyNumberFormat="1" applyFont="1" applyFill="1" applyBorder="1" applyAlignment="1">
      <alignment vertical="center" wrapText="1"/>
    </xf>
    <xf numFmtId="17" fontId="85" fillId="39" borderId="1" xfId="0" applyNumberFormat="1" applyFont="1" applyFill="1" applyBorder="1" applyAlignment="1">
      <alignment vertical="center" wrapText="1"/>
    </xf>
    <xf numFmtId="49" fontId="85" fillId="0" borderId="1" xfId="0" applyNumberFormat="1" applyFont="1" applyFill="1" applyBorder="1" applyAlignment="1">
      <alignment vertical="center" wrapText="1"/>
    </xf>
    <xf numFmtId="49" fontId="83" fillId="35" borderId="27" xfId="0" applyNumberFormat="1" applyFont="1" applyFill="1" applyBorder="1"/>
    <xf numFmtId="49" fontId="84" fillId="0" borderId="5" xfId="0" applyNumberFormat="1" applyFont="1" applyBorder="1"/>
    <xf numFmtId="49" fontId="83" fillId="0" borderId="5" xfId="0" applyNumberFormat="1" applyFont="1" applyBorder="1"/>
    <xf numFmtId="49" fontId="85" fillId="39" borderId="5" xfId="0" applyNumberFormat="1" applyFont="1" applyFill="1" applyBorder="1" applyAlignment="1">
      <alignment vertical="center" wrapText="1"/>
    </xf>
    <xf numFmtId="49" fontId="85" fillId="0" borderId="5" xfId="0" applyNumberFormat="1" applyFont="1" applyFill="1" applyBorder="1" applyAlignment="1">
      <alignment vertical="center" wrapText="1"/>
    </xf>
    <xf numFmtId="165" fontId="83" fillId="0" borderId="5" xfId="7" applyNumberFormat="1" applyFont="1" applyBorder="1"/>
    <xf numFmtId="0" fontId="83" fillId="0" borderId="5" xfId="0" applyFont="1" applyBorder="1"/>
    <xf numFmtId="0" fontId="4" fillId="0" borderId="0" xfId="0" applyFont="1" applyFill="1"/>
    <xf numFmtId="170" fontId="60" fillId="49" borderId="2" xfId="0" applyNumberFormat="1" applyFont="1" applyFill="1" applyBorder="1"/>
    <xf numFmtId="170" fontId="4" fillId="49" borderId="2" xfId="0" applyNumberFormat="1" applyFont="1" applyFill="1" applyBorder="1"/>
    <xf numFmtId="170" fontId="69" fillId="49" borderId="2" xfId="0" applyNumberFormat="1" applyFont="1" applyFill="1" applyBorder="1"/>
    <xf numFmtId="170" fontId="84" fillId="49" borderId="2" xfId="0" applyNumberFormat="1" applyFont="1" applyFill="1" applyBorder="1"/>
    <xf numFmtId="0" fontId="81" fillId="0" borderId="34" xfId="0" applyFont="1" applyFill="1" applyBorder="1" applyAlignment="1">
      <alignment horizontal="right"/>
    </xf>
    <xf numFmtId="0" fontId="81"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0" fontId="0" fillId="0" borderId="0" xfId="0" applyFill="1" applyBorder="1" applyAlignment="1"/>
    <xf numFmtId="167" fontId="2" fillId="0" borderId="0" xfId="1" applyNumberFormat="1" applyFont="1" applyFill="1" applyBorder="1" applyAlignment="1"/>
    <xf numFmtId="1" fontId="82"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1" fillId="2" borderId="0" xfId="8" applyNumberFormat="1" applyFont="1" applyFill="1" applyBorder="1" applyAlignment="1">
      <alignment vertical="center"/>
    </xf>
    <xf numFmtId="165" fontId="82"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15" fontId="0" fillId="0" borderId="5" xfId="0" applyNumberFormat="1" applyBorder="1"/>
    <xf numFmtId="0" fontId="0" fillId="0" borderId="5" xfId="0" applyFont="1" applyFill="1" applyBorder="1"/>
    <xf numFmtId="0" fontId="0" fillId="0" borderId="5" xfId="0" applyFont="1" applyBorder="1"/>
    <xf numFmtId="0" fontId="0" fillId="26" borderId="5" xfId="0" applyNumberFormat="1" applyFill="1" applyBorder="1" applyAlignment="1">
      <alignment horizontal="right"/>
    </xf>
    <xf numFmtId="0" fontId="0" fillId="26" borderId="5" xfId="0" applyFill="1" applyBorder="1" applyAlignment="1">
      <alignment horizontal="right"/>
    </xf>
    <xf numFmtId="0" fontId="0" fillId="26" borderId="5" xfId="0" applyNumberFormat="1" applyFill="1" applyBorder="1" applyAlignment="1">
      <alignment horizontal="left"/>
    </xf>
    <xf numFmtId="0" fontId="0" fillId="0" borderId="12" xfId="0" applyBorder="1" applyAlignment="1">
      <alignment horizontal="left" indent="1"/>
    </xf>
    <xf numFmtId="0" fontId="0" fillId="0" borderId="11" xfId="0" applyBorder="1" applyAlignment="1">
      <alignment horizontal="left" indent="1"/>
    </xf>
    <xf numFmtId="0" fontId="0" fillId="0" borderId="3" xfId="0" applyNumberFormat="1" applyBorder="1" applyAlignment="1">
      <alignment horizontal="right"/>
    </xf>
    <xf numFmtId="0" fontId="0" fillId="0" borderId="5" xfId="0" applyBorder="1" applyAlignment="1">
      <alignment horizontal="left" indent="1"/>
    </xf>
    <xf numFmtId="0" fontId="0" fillId="0" borderId="12" xfId="0" applyBorder="1"/>
    <xf numFmtId="0" fontId="0" fillId="0" borderId="18" xfId="0" applyBorder="1" applyAlignment="1">
      <alignment horizontal="right"/>
    </xf>
    <xf numFmtId="0" fontId="0" fillId="0" borderId="34" xfId="0" applyBorder="1" applyAlignment="1">
      <alignment horizontal="right"/>
    </xf>
    <xf numFmtId="0" fontId="0" fillId="0" borderId="1" xfId="0" applyFont="1" applyFill="1" applyBorder="1" applyAlignment="1"/>
    <xf numFmtId="0" fontId="0" fillId="26" borderId="1" xfId="0" quotePrefix="1" applyNumberFormat="1" applyFill="1" applyBorder="1" applyAlignment="1">
      <alignment horizontal="right"/>
    </xf>
    <xf numFmtId="0" fontId="0" fillId="26" borderId="1" xfId="0" quotePrefix="1" applyFill="1" applyBorder="1" applyAlignment="1">
      <alignment horizontal="right"/>
    </xf>
    <xf numFmtId="1" fontId="3" fillId="0" borderId="1" xfId="0" applyNumberFormat="1" applyFont="1" applyFill="1" applyBorder="1" applyAlignment="1"/>
    <xf numFmtId="1" fontId="0" fillId="0" borderId="5" xfId="0" applyNumberFormat="1" applyFill="1" applyBorder="1" applyAlignment="1"/>
    <xf numFmtId="15" fontId="0" fillId="0" borderId="1" xfId="0" applyNumberFormat="1" applyFill="1" applyBorder="1" applyAlignment="1"/>
    <xf numFmtId="0" fontId="0" fillId="0" borderId="1" xfId="0" applyFill="1" applyBorder="1" applyAlignment="1"/>
    <xf numFmtId="0" fontId="0" fillId="0" borderId="1" xfId="0" quotePrefix="1" applyFill="1" applyBorder="1" applyAlignment="1">
      <alignment horizontal="center" textRotation="90" wrapText="1"/>
    </xf>
    <xf numFmtId="0" fontId="0" fillId="0" borderId="1" xfId="0" quotePrefix="1" applyFill="1" applyBorder="1" applyAlignment="1">
      <alignment horizontal="right"/>
    </xf>
    <xf numFmtId="0" fontId="0" fillId="0" borderId="5" xfId="0" quotePrefix="1" applyFill="1" applyBorder="1" applyAlignment="1">
      <alignment horizontal="right"/>
    </xf>
    <xf numFmtId="1" fontId="0" fillId="0" borderId="5" xfId="0" quotePrefix="1" applyNumberFormat="1" applyFill="1" applyBorder="1" applyAlignment="1">
      <alignment horizontal="right"/>
    </xf>
    <xf numFmtId="0" fontId="59" fillId="40" borderId="0" xfId="0" applyFont="1" applyFill="1" applyBorder="1" applyAlignment="1"/>
    <xf numFmtId="1" fontId="0" fillId="0" borderId="12" xfId="0" applyNumberFormat="1" applyBorder="1"/>
    <xf numFmtId="15" fontId="0" fillId="0" borderId="1" xfId="0" applyNumberFormat="1" applyBorder="1"/>
    <xf numFmtId="1" fontId="0" fillId="0" borderId="12" xfId="0" applyNumberFormat="1" applyBorder="1" applyAlignment="1">
      <alignment horizontal="right"/>
    </xf>
    <xf numFmtId="1" fontId="40" fillId="0" borderId="11" xfId="0" applyNumberFormat="1" applyFont="1" applyBorder="1"/>
    <xf numFmtId="1" fontId="0" fillId="0" borderId="11" xfId="0" applyNumberFormat="1" applyBorder="1"/>
    <xf numFmtId="0" fontId="14" fillId="11" borderId="11" xfId="0" applyFont="1" applyFill="1" applyBorder="1" applyAlignment="1">
      <alignment horizontal="center" vertical="center" wrapText="1"/>
    </xf>
    <xf numFmtId="165" fontId="4" fillId="0" borderId="2" xfId="7" quotePrefix="1" applyNumberFormat="1" applyFont="1" applyBorder="1"/>
    <xf numFmtId="165" fontId="4" fillId="0" borderId="3" xfId="7" quotePrefix="1" applyNumberFormat="1" applyFont="1" applyBorder="1"/>
    <xf numFmtId="165" fontId="4" fillId="0" borderId="5" xfId="7" quotePrefix="1" applyNumberFormat="1" applyFont="1" applyBorder="1"/>
    <xf numFmtId="165" fontId="4" fillId="0" borderId="11" xfId="7" quotePrefix="1" applyNumberFormat="1" applyFont="1" applyBorder="1"/>
    <xf numFmtId="165" fontId="4" fillId="0" borderId="66" xfId="7" quotePrefix="1" applyNumberFormat="1" applyFont="1" applyBorder="1"/>
    <xf numFmtId="0" fontId="40" fillId="0" borderId="39" xfId="0" applyFont="1" applyBorder="1"/>
    <xf numFmtId="165" fontId="3" fillId="0" borderId="11" xfId="0" applyNumberFormat="1" applyFont="1" applyBorder="1"/>
    <xf numFmtId="165" fontId="81" fillId="51" borderId="1" xfId="0" applyNumberFormat="1" applyFont="1" applyFill="1" applyBorder="1"/>
    <xf numFmtId="0" fontId="59" fillId="11" borderId="0" xfId="0" applyFont="1" applyFill="1" applyBorder="1" applyAlignment="1"/>
    <xf numFmtId="0" fontId="0" fillId="0" borderId="0" xfId="0" applyAlignment="1">
      <alignment vertical="center" wrapText="1"/>
    </xf>
    <xf numFmtId="165" fontId="4" fillId="2" borderId="1" xfId="7" applyNumberFormat="1" applyFont="1" applyFill="1" applyBorder="1"/>
    <xf numFmtId="165" fontId="66" fillId="0" borderId="1" xfId="7" applyNumberFormat="1" applyFont="1" applyFill="1" applyBorder="1"/>
    <xf numFmtId="15" fontId="0" fillId="0" borderId="1" xfId="0" applyNumberFormat="1" applyFill="1" applyBorder="1" applyAlignment="1"/>
    <xf numFmtId="0" fontId="0" fillId="26" borderId="11" xfId="0" applyFill="1" applyBorder="1" applyAlignment="1">
      <alignment horizontal="center" textRotation="90" wrapText="1"/>
    </xf>
    <xf numFmtId="0" fontId="0" fillId="26" borderId="1" xfId="0" applyNumberFormat="1" applyFill="1" applyBorder="1" applyAlignment="1">
      <alignment horizontal="right" vertical="top"/>
    </xf>
    <xf numFmtId="0" fontId="0" fillId="26" borderId="1" xfId="0" applyNumberFormat="1" applyFill="1" applyBorder="1" applyAlignment="1">
      <alignment horizontal="left" vertical="top" wrapText="1"/>
    </xf>
    <xf numFmtId="1" fontId="13" fillId="0" borderId="0" xfId="8" applyNumberFormat="1" applyFont="1" applyFill="1" applyBorder="1" applyAlignment="1">
      <alignment vertical="center" wrapText="1"/>
    </xf>
    <xf numFmtId="1" fontId="0" fillId="0" borderId="0" xfId="8" applyNumberFormat="1" applyFont="1" applyFill="1" applyBorder="1" applyAlignment="1">
      <alignment vertical="top"/>
    </xf>
    <xf numFmtId="0" fontId="0" fillId="0" borderId="31" xfId="0" applyBorder="1" applyAlignment="1">
      <alignment horizontal="center" vertical="center" wrapText="1"/>
    </xf>
    <xf numFmtId="0" fontId="81" fillId="16" borderId="0" xfId="0" applyNumberFormat="1" applyFont="1" applyFill="1"/>
    <xf numFmtId="165" fontId="81" fillId="16" borderId="0" xfId="0" applyNumberFormat="1" applyFont="1" applyFill="1"/>
    <xf numFmtId="0" fontId="81" fillId="0" borderId="0" xfId="0" applyNumberFormat="1" applyFont="1" applyFill="1"/>
    <xf numFmtId="165" fontId="81" fillId="0" borderId="0" xfId="0" applyNumberFormat="1" applyFont="1" applyFill="1"/>
    <xf numFmtId="165" fontId="0" fillId="0" borderId="0" xfId="0" applyNumberFormat="1" applyFill="1" applyBorder="1"/>
    <xf numFmtId="165" fontId="0" fillId="0" borderId="5" xfId="0" applyNumberFormat="1" applyBorder="1"/>
    <xf numFmtId="165" fontId="0" fillId="0" borderId="20" xfId="0" applyNumberFormat="1" applyBorder="1"/>
    <xf numFmtId="165" fontId="81" fillId="47" borderId="5" xfId="20" applyNumberFormat="1" applyBorder="1"/>
    <xf numFmtId="165" fontId="3" fillId="35" borderId="5" xfId="0" applyNumberFormat="1" applyFont="1" applyFill="1" applyBorder="1"/>
    <xf numFmtId="0" fontId="1" fillId="0" borderId="0" xfId="5"/>
    <xf numFmtId="0" fontId="1" fillId="0" borderId="1" xfId="5" applyBorder="1"/>
    <xf numFmtId="0" fontId="1" fillId="0" borderId="1" xfId="5" quotePrefix="1" applyBorder="1"/>
    <xf numFmtId="1" fontId="1" fillId="0" borderId="1" xfId="5" applyNumberFormat="1" applyBorder="1"/>
    <xf numFmtId="1" fontId="1" fillId="0" borderId="5" xfId="5" applyNumberFormat="1" applyBorder="1"/>
    <xf numFmtId="15" fontId="1" fillId="0" borderId="1" xfId="5" applyNumberFormat="1" applyBorder="1"/>
    <xf numFmtId="0" fontId="0" fillId="0" borderId="1" xfId="5" applyFont="1" applyFill="1" applyBorder="1"/>
    <xf numFmtId="0" fontId="0" fillId="0" borderId="1" xfId="5" applyFont="1" applyBorder="1"/>
    <xf numFmtId="0" fontId="1" fillId="0" borderId="1" xfId="5" quotePrefix="1" applyBorder="1" applyAlignment="1">
      <alignment horizontal="right"/>
    </xf>
    <xf numFmtId="0" fontId="1" fillId="0" borderId="5" xfId="5" quotePrefix="1" applyBorder="1" applyAlignment="1">
      <alignment horizontal="right"/>
    </xf>
    <xf numFmtId="1" fontId="1" fillId="0" borderId="5" xfId="5" quotePrefix="1" applyNumberFormat="1" applyBorder="1" applyAlignment="1">
      <alignment horizontal="right"/>
    </xf>
    <xf numFmtId="0" fontId="1" fillId="26" borderId="1" xfId="5" quotePrefix="1" applyNumberFormat="1" applyFill="1" applyBorder="1" applyAlignment="1">
      <alignment horizontal="right"/>
    </xf>
    <xf numFmtId="0" fontId="1" fillId="26" borderId="1" xfId="5" quotePrefix="1" applyFill="1" applyBorder="1" applyAlignment="1">
      <alignment horizontal="right"/>
    </xf>
    <xf numFmtId="0" fontId="1" fillId="26" borderId="1" xfId="5" applyNumberFormat="1" applyFill="1" applyBorder="1" applyAlignment="1">
      <alignment horizontal="right"/>
    </xf>
    <xf numFmtId="0" fontId="1" fillId="26" borderId="1" xfId="5" applyNumberFormat="1" applyFill="1" applyBorder="1" applyAlignment="1">
      <alignment horizontal="left"/>
    </xf>
    <xf numFmtId="165" fontId="1" fillId="0" borderId="5" xfId="7" quotePrefix="1" applyNumberFormat="1" applyFont="1" applyBorder="1" applyAlignment="1">
      <alignment horizontal="right"/>
    </xf>
    <xf numFmtId="165" fontId="0" fillId="0" borderId="16" xfId="0" applyNumberFormat="1" applyBorder="1"/>
    <xf numFmtId="165" fontId="2" fillId="0" borderId="16" xfId="7" applyNumberFormat="1" applyFont="1" applyFill="1" applyBorder="1"/>
    <xf numFmtId="1" fontId="0" fillId="50" borderId="1" xfId="0" applyNumberFormat="1" applyFill="1" applyBorder="1"/>
    <xf numFmtId="1" fontId="0" fillId="50" borderId="2" xfId="0" applyNumberFormat="1" applyFill="1" applyBorder="1"/>
    <xf numFmtId="165" fontId="3" fillId="0" borderId="0" xfId="0" applyNumberFormat="1" applyFont="1" applyBorder="1"/>
    <xf numFmtId="15" fontId="0" fillId="0" borderId="1" xfId="0" applyNumberFormat="1" applyFill="1" applyBorder="1" applyAlignment="1"/>
    <xf numFmtId="0" fontId="0" fillId="0" borderId="0" xfId="0" applyFill="1" applyAlignment="1">
      <alignment textRotation="90"/>
    </xf>
    <xf numFmtId="0" fontId="0" fillId="2" borderId="0" xfId="0" applyFill="1" applyBorder="1" applyAlignment="1">
      <alignment horizontal="right"/>
    </xf>
    <xf numFmtId="43" fontId="0" fillId="0" borderId="0" xfId="0" applyNumberFormat="1"/>
    <xf numFmtId="43" fontId="0" fillId="0" borderId="1" xfId="0" applyNumberFormat="1" applyBorder="1"/>
    <xf numFmtId="0" fontId="0" fillId="0" borderId="29" xfId="0" applyBorder="1" applyAlignment="1">
      <alignment horizontal="center" vertical="center" wrapText="1"/>
    </xf>
    <xf numFmtId="0" fontId="0" fillId="0" borderId="0" xfId="0" applyBorder="1" applyAlignment="1">
      <alignment horizontal="left"/>
    </xf>
    <xf numFmtId="172" fontId="0" fillId="0" borderId="1" xfId="0" applyNumberFormat="1" applyFill="1" applyBorder="1" applyAlignment="1"/>
    <xf numFmtId="0" fontId="0" fillId="0" borderId="0" xfId="0" applyNumberFormat="1" applyFill="1" applyAlignment="1">
      <alignment textRotation="90"/>
    </xf>
    <xf numFmtId="0" fontId="0" fillId="52" borderId="0" xfId="0" applyFill="1" applyBorder="1"/>
    <xf numFmtId="165" fontId="0" fillId="0" borderId="13" xfId="7" applyNumberFormat="1" applyFont="1" applyFill="1" applyBorder="1"/>
    <xf numFmtId="0" fontId="0" fillId="50" borderId="3" xfId="0" applyFill="1" applyBorder="1"/>
    <xf numFmtId="0" fontId="14" fillId="11" borderId="1" xfId="0" applyFont="1" applyFill="1" applyBorder="1" applyAlignment="1">
      <alignment horizontal="center" vertical="center" wrapText="1"/>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0" fontId="3" fillId="0" borderId="1" xfId="0" applyFont="1" applyBorder="1"/>
    <xf numFmtId="1" fontId="3" fillId="0" borderId="1" xfId="0" applyNumberFormat="1" applyFont="1" applyBorder="1"/>
    <xf numFmtId="1" fontId="3" fillId="0" borderId="2" xfId="0" applyNumberFormat="1" applyFont="1" applyBorder="1"/>
    <xf numFmtId="0" fontId="14" fillId="0" borderId="0" xfId="0" applyFont="1" applyFill="1" applyBorder="1" applyAlignment="1">
      <alignment horizontal="center" vertical="center" wrapText="1"/>
    </xf>
    <xf numFmtId="165" fontId="4" fillId="0" borderId="0" xfId="7" quotePrefix="1" applyNumberFormat="1" applyFont="1" applyFill="1" applyBorder="1"/>
    <xf numFmtId="165" fontId="53" fillId="0" borderId="0" xfId="7" applyNumberFormat="1" applyFont="1" applyFill="1" applyBorder="1"/>
    <xf numFmtId="0" fontId="35" fillId="0" borderId="0" xfId="0" applyFont="1" applyFill="1"/>
    <xf numFmtId="0" fontId="0" fillId="0" borderId="0" xfId="0" applyNumberFormat="1" applyFill="1"/>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4" fillId="2" borderId="16" xfId="7" applyNumberFormat="1" applyFont="1" applyFill="1" applyBorder="1"/>
    <xf numFmtId="0" fontId="81" fillId="47" borderId="27" xfId="20" applyBorder="1" applyAlignment="1">
      <alignment horizontal="left" indent="1"/>
    </xf>
    <xf numFmtId="0" fontId="4" fillId="0" borderId="1" xfId="1" applyNumberFormat="1" applyFont="1" applyBorder="1"/>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17" fillId="41" borderId="13" xfId="0" applyFont="1" applyFill="1" applyBorder="1" applyAlignment="1">
      <alignment horizontal="left"/>
    </xf>
    <xf numFmtId="0" fontId="17" fillId="41" borderId="14" xfId="0" applyFont="1" applyFill="1"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6" xfId="0" applyBorder="1" applyAlignment="1">
      <alignment horizontal="left"/>
    </xf>
    <xf numFmtId="0" fontId="0" fillId="0" borderId="49" xfId="0" applyBorder="1" applyAlignment="1">
      <alignment horizontal="left"/>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30" xfId="0" applyFont="1" applyFill="1" applyBorder="1" applyAlignment="1">
      <alignment horizontal="left"/>
    </xf>
    <xf numFmtId="0" fontId="4" fillId="40" borderId="31" xfId="0" applyFont="1" applyFill="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3" borderId="29" xfId="0" applyFill="1" applyBorder="1" applyAlignment="1">
      <alignment horizontal="center" wrapText="1"/>
    </xf>
    <xf numFmtId="0" fontId="0" fillId="53" borderId="14" xfId="0" applyFill="1" applyBorder="1" applyAlignment="1">
      <alignment horizontal="center" wrapText="1"/>
    </xf>
    <xf numFmtId="0" fontId="0" fillId="53" borderId="15" xfId="0" applyFill="1" applyBorder="1" applyAlignment="1">
      <alignment horizontal="center" wrapText="1"/>
    </xf>
    <xf numFmtId="0" fontId="0" fillId="46" borderId="29" xfId="0" applyFill="1" applyBorder="1" applyAlignment="1">
      <alignment horizontal="center" wrapText="1"/>
    </xf>
    <xf numFmtId="0" fontId="0" fillId="46" borderId="14" xfId="0" applyFill="1" applyBorder="1" applyAlignment="1">
      <alignment horizontal="center" wrapText="1"/>
    </xf>
    <xf numFmtId="0" fontId="0" fillId="46"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29"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6" fillId="41" borderId="4" xfId="0" applyFont="1" applyFill="1" applyBorder="1" applyAlignment="1">
      <alignment horizontal="center" vertical="center"/>
    </xf>
    <xf numFmtId="0" fontId="6" fillId="41" borderId="0" xfId="0" applyFont="1" applyFill="1" applyBorder="1" applyAlignment="1">
      <alignment horizontal="center" vertical="center"/>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48" xfId="0" applyFont="1" applyFill="1" applyBorder="1" applyAlignment="1">
      <alignment horizontal="center" vertical="center"/>
    </xf>
    <xf numFmtId="0" fontId="86" fillId="41" borderId="43" xfId="0" applyFont="1" applyFill="1" applyBorder="1" applyAlignment="1">
      <alignment horizontal="center" vertical="center"/>
    </xf>
    <xf numFmtId="0" fontId="86" fillId="41" borderId="44" xfId="0" applyFont="1" applyFill="1" applyBorder="1" applyAlignment="1">
      <alignment horizontal="center" vertical="center"/>
    </xf>
    <xf numFmtId="0" fontId="86" fillId="41" borderId="45" xfId="0" applyFont="1" applyFill="1" applyBorder="1" applyAlignment="1">
      <alignment horizontal="center" vertical="center"/>
    </xf>
    <xf numFmtId="0" fontId="86" fillId="41" borderId="32" xfId="0" applyFont="1" applyFill="1" applyBorder="1" applyAlignment="1">
      <alignment horizontal="center" vertical="center"/>
    </xf>
    <xf numFmtId="0" fontId="86" fillId="41" borderId="23" xfId="0" applyFont="1" applyFill="1" applyBorder="1" applyAlignment="1">
      <alignment horizontal="center" vertical="center"/>
    </xf>
    <xf numFmtId="0" fontId="86" fillId="41" borderId="24" xfId="0" applyFont="1" applyFill="1" applyBorder="1" applyAlignment="1">
      <alignment horizontal="center" vertical="center"/>
    </xf>
    <xf numFmtId="0" fontId="6" fillId="41" borderId="16"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448">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alignment vertical="top"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dxf>
    <dxf>
      <numFmt numFmtId="0" formatCode="General"/>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border outline="0">
        <top style="thin">
          <color indexed="64"/>
        </top>
      </border>
    </dxf>
    <dxf>
      <font>
        <b/>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bottom style="thin">
          <color indexed="64"/>
        </bottom>
      </border>
    </dxf>
    <dxf>
      <border>
        <bottom style="thin">
          <color indexed="64"/>
        </bottom>
      </border>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172"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alignment vertical="top" readingOrder="0"/>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3"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447"/>
      <tableStyleElement type="firstColumnStripe" dxfId="1446"/>
    </tableStyle>
  </tableStyles>
  <colors>
    <mruColors>
      <color rgb="FFFFFF99"/>
      <color rgb="FFFFFF00"/>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May 2017.xlsx]Camp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84102872"/>
        <c:axId val="284103264"/>
      </c:barChart>
      <c:catAx>
        <c:axId val="284102872"/>
        <c:scaling>
          <c:orientation val="minMax"/>
        </c:scaling>
        <c:delete val="1"/>
        <c:axPos val="r"/>
        <c:numFmt formatCode="General" sourceLinked="0"/>
        <c:majorTickMark val="none"/>
        <c:minorTickMark val="none"/>
        <c:tickLblPos val="nextTo"/>
        <c:crossAx val="284103264"/>
        <c:crosses val="autoZero"/>
        <c:auto val="1"/>
        <c:lblAlgn val="ctr"/>
        <c:lblOffset val="100"/>
        <c:noMultiLvlLbl val="0"/>
      </c:catAx>
      <c:valAx>
        <c:axId val="284103264"/>
        <c:scaling>
          <c:orientation val="maxMin"/>
        </c:scaling>
        <c:delete val="0"/>
        <c:axPos val="b"/>
        <c:majorGridlines/>
        <c:numFmt formatCode="General" sourceLinked="1"/>
        <c:majorTickMark val="none"/>
        <c:minorTickMark val="none"/>
        <c:tickLblPos val="nextTo"/>
        <c:spPr>
          <a:ln w="9525">
            <a:noFill/>
          </a:ln>
        </c:spPr>
        <c:crossAx val="284102872"/>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2683</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117612</c:v>
                </c:pt>
              </c:numCache>
            </c:numRef>
          </c:val>
        </c:ser>
        <c:dLbls>
          <c:showLegendKey val="0"/>
          <c:showVal val="0"/>
          <c:showCatName val="0"/>
          <c:showSerName val="0"/>
          <c:showPercent val="0"/>
          <c:showBubbleSize val="0"/>
        </c:dLbls>
        <c:gapWidth val="150"/>
        <c:shape val="box"/>
        <c:axId val="284104048"/>
        <c:axId val="284104440"/>
        <c:axId val="0"/>
      </c:bar3DChart>
      <c:catAx>
        <c:axId val="284104048"/>
        <c:scaling>
          <c:orientation val="minMax"/>
        </c:scaling>
        <c:delete val="0"/>
        <c:axPos val="l"/>
        <c:numFmt formatCode="General" sourceLinked="0"/>
        <c:majorTickMark val="out"/>
        <c:minorTickMark val="none"/>
        <c:tickLblPos val="nextTo"/>
        <c:crossAx val="284104440"/>
        <c:crosses val="autoZero"/>
        <c:auto val="1"/>
        <c:lblAlgn val="ctr"/>
        <c:lblOffset val="100"/>
        <c:noMultiLvlLbl val="0"/>
      </c:catAx>
      <c:valAx>
        <c:axId val="284104440"/>
        <c:scaling>
          <c:orientation val="minMax"/>
          <c:min val="0"/>
        </c:scaling>
        <c:delete val="0"/>
        <c:axPos val="b"/>
        <c:majorGridlines/>
        <c:numFmt formatCode="0%" sourceLinked="1"/>
        <c:majorTickMark val="out"/>
        <c:minorTickMark val="none"/>
        <c:tickLblPos val="nextTo"/>
        <c:crossAx val="284104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57209</c:v>
                </c:pt>
                <c:pt idx="1">
                  <c:v>38317</c:v>
                </c:pt>
                <c:pt idx="3">
                  <c:v>9273</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2656</c:v>
                </c:pt>
              </c:numCache>
            </c:numRef>
          </c:val>
        </c:ser>
        <c:dLbls>
          <c:showLegendKey val="0"/>
          <c:showVal val="0"/>
          <c:showCatName val="0"/>
          <c:showSerName val="0"/>
          <c:showPercent val="0"/>
          <c:showBubbleSize val="0"/>
        </c:dLbls>
        <c:gapWidth val="70"/>
        <c:overlap val="100"/>
        <c:axId val="284105224"/>
        <c:axId val="284105616"/>
      </c:barChart>
      <c:catAx>
        <c:axId val="284105224"/>
        <c:scaling>
          <c:orientation val="minMax"/>
        </c:scaling>
        <c:delete val="0"/>
        <c:axPos val="b"/>
        <c:numFmt formatCode="General" sourceLinked="0"/>
        <c:majorTickMark val="out"/>
        <c:minorTickMark val="none"/>
        <c:tickLblPos val="nextTo"/>
        <c:txPr>
          <a:bodyPr/>
          <a:lstStyle/>
          <a:p>
            <a:pPr>
              <a:defRPr sz="1100"/>
            </a:pPr>
            <a:endParaRPr lang="en-US"/>
          </a:p>
        </c:txPr>
        <c:crossAx val="284105616"/>
        <c:crosses val="autoZero"/>
        <c:auto val="1"/>
        <c:lblAlgn val="ctr"/>
        <c:lblOffset val="100"/>
        <c:noMultiLvlLbl val="0"/>
      </c:catAx>
      <c:valAx>
        <c:axId val="284105616"/>
        <c:scaling>
          <c:orientation val="minMax"/>
        </c:scaling>
        <c:delete val="0"/>
        <c:axPos val="l"/>
        <c:majorGridlines/>
        <c:numFmt formatCode="#,##0" sourceLinked="0"/>
        <c:majorTickMark val="out"/>
        <c:minorTickMark val="none"/>
        <c:tickLblPos val="nextTo"/>
        <c:crossAx val="284105224"/>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Analysis!PivotTable14</c:name>
    <c:fmtId val="13"/>
  </c:pivotSource>
  <c:chart>
    <c:title>
      <c:tx>
        <c:rich>
          <a:bodyPr/>
          <a:lstStyle/>
          <a:p>
            <a:pPr>
              <a:defRPr/>
            </a:pPr>
            <a:r>
              <a:rPr lang="en-US" sz="1200"/>
              <a:t>IDP</a:t>
            </a:r>
            <a:r>
              <a:rPr lang="en-US" sz="1200" baseline="0"/>
              <a:t> Population (</a:t>
            </a:r>
            <a:r>
              <a:rPr lang="en-US" sz="1200" b="0" baseline="0"/>
              <a:t>120,699)</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2656</c:v>
                </c:pt>
                <c:pt idx="3">
                  <c:v>16034</c:v>
                </c:pt>
                <c:pt idx="4">
                  <c:v>187</c:v>
                </c:pt>
                <c:pt idx="5">
                  <c:v>2258</c:v>
                </c:pt>
                <c:pt idx="6">
                  <c:v>77001</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75"/>
        <c:overlap val="100"/>
        <c:axId val="287295000"/>
        <c:axId val="287295392"/>
      </c:barChart>
      <c:catAx>
        <c:axId val="287295000"/>
        <c:scaling>
          <c:orientation val="minMax"/>
        </c:scaling>
        <c:delete val="0"/>
        <c:axPos val="l"/>
        <c:numFmt formatCode="General" sourceLinked="0"/>
        <c:majorTickMark val="out"/>
        <c:minorTickMark val="none"/>
        <c:tickLblPos val="nextTo"/>
        <c:txPr>
          <a:bodyPr/>
          <a:lstStyle/>
          <a:p>
            <a:pPr>
              <a:defRPr sz="1200" baseline="0"/>
            </a:pPr>
            <a:endParaRPr lang="en-US"/>
          </a:p>
        </c:txPr>
        <c:crossAx val="287295392"/>
        <c:crosses val="autoZero"/>
        <c:auto val="1"/>
        <c:lblAlgn val="ctr"/>
        <c:lblOffset val="100"/>
        <c:noMultiLvlLbl val="0"/>
      </c:catAx>
      <c:valAx>
        <c:axId val="287295392"/>
        <c:scaling>
          <c:orientation val="minMax"/>
        </c:scaling>
        <c:delete val="0"/>
        <c:axPos val="b"/>
        <c:majorGridlines/>
        <c:numFmt formatCode="#,##0" sourceLinked="0"/>
        <c:majorTickMark val="out"/>
        <c:minorTickMark val="none"/>
        <c:tickLblPos val="nextTo"/>
        <c:crossAx val="287295000"/>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4175297977784643"/>
                  <c:h val="0.11433493451574496"/>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104799</c:v>
                </c:pt>
              </c:numCache>
            </c:numRef>
          </c:val>
        </c:ser>
        <c:ser>
          <c:idx val="1"/>
          <c:order val="1"/>
          <c:tx>
            <c:strRef>
              <c:f>'Camp Analysis'!$C$45:$C$46</c:f>
              <c:strCache>
                <c:ptCount val="1"/>
                <c:pt idx="0">
                  <c:v>Focal Point</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15:layout>
                    <c:manualLayout>
                      <c:w val="0.24175297977784643"/>
                      <c:h val="0.11433493451574496"/>
                    </c:manualLayout>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15900</c:v>
                </c:pt>
              </c:numCache>
            </c:numRef>
          </c:val>
        </c:ser>
        <c:dLbls>
          <c:showLegendKey val="0"/>
          <c:showVal val="0"/>
          <c:showCatName val="0"/>
          <c:showSerName val="0"/>
          <c:showPercent val="0"/>
          <c:showBubbleSize val="0"/>
        </c:dLbls>
        <c:gapWidth val="90"/>
        <c:overlap val="100"/>
        <c:axId val="287297744"/>
        <c:axId val="287298136"/>
      </c:barChart>
      <c:catAx>
        <c:axId val="287297744"/>
        <c:scaling>
          <c:orientation val="minMax"/>
        </c:scaling>
        <c:delete val="0"/>
        <c:axPos val="b"/>
        <c:numFmt formatCode="General" sourceLinked="0"/>
        <c:majorTickMark val="out"/>
        <c:minorTickMark val="none"/>
        <c:tickLblPos val="nextTo"/>
        <c:txPr>
          <a:bodyPr/>
          <a:lstStyle/>
          <a:p>
            <a:pPr>
              <a:defRPr sz="1100"/>
            </a:pPr>
            <a:endParaRPr lang="en-US"/>
          </a:p>
        </c:txPr>
        <c:crossAx val="287298136"/>
        <c:crosses val="autoZero"/>
        <c:auto val="1"/>
        <c:lblAlgn val="ctr"/>
        <c:lblOffset val="100"/>
        <c:noMultiLvlLbl val="0"/>
      </c:catAx>
      <c:valAx>
        <c:axId val="287298136"/>
        <c:scaling>
          <c:orientation val="minMax"/>
          <c:max val="120000"/>
          <c:min val="0"/>
        </c:scaling>
        <c:delete val="0"/>
        <c:axPos val="l"/>
        <c:majorGridlines/>
        <c:numFmt formatCode="General" sourceLinked="1"/>
        <c:majorTickMark val="out"/>
        <c:minorTickMark val="none"/>
        <c:tickLblPos val="nextTo"/>
        <c:crossAx val="287297744"/>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99737</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4781602452501703"/>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99737</c:v>
                </c:pt>
                <c:pt idx="1">
                  <c:v>14843</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99737</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99482</c:v>
                </c:pt>
                <c:pt idx="1">
                  <c:v>20395</c:v>
                </c:pt>
                <c:pt idx="2">
                  <c:v>6527</c:v>
                </c:pt>
                <c:pt idx="3">
                  <c:v>5638</c:v>
                </c:pt>
                <c:pt idx="4">
                  <c:v>4055</c:v>
                </c:pt>
                <c:pt idx="5">
                  <c:v>3826</c:v>
                </c:pt>
                <c:pt idx="6">
                  <c:v>2860</c:v>
                </c:pt>
                <c:pt idx="7">
                  <c:v>1601</c:v>
                </c:pt>
                <c:pt idx="8">
                  <c:v>1257</c:v>
                </c:pt>
                <c:pt idx="9">
                  <c:v>264</c:v>
                </c:pt>
              </c:numCache>
            </c:numRef>
          </c:val>
        </c:ser>
        <c:dLbls>
          <c:showLegendKey val="0"/>
          <c:showVal val="0"/>
          <c:showCatName val="0"/>
          <c:showSerName val="0"/>
          <c:showPercent val="0"/>
          <c:showBubbleSize val="0"/>
        </c:dLbls>
        <c:gapWidth val="150"/>
        <c:axId val="287656752"/>
        <c:axId val="287657144"/>
      </c:barChart>
      <c:catAx>
        <c:axId val="287656752"/>
        <c:scaling>
          <c:orientation val="minMax"/>
        </c:scaling>
        <c:delete val="0"/>
        <c:axPos val="l"/>
        <c:numFmt formatCode="General" sourceLinked="0"/>
        <c:majorTickMark val="out"/>
        <c:minorTickMark val="none"/>
        <c:tickLblPos val="nextTo"/>
        <c:txPr>
          <a:bodyPr/>
          <a:lstStyle/>
          <a:p>
            <a:pPr>
              <a:defRPr sz="1050"/>
            </a:pPr>
            <a:endParaRPr lang="en-US"/>
          </a:p>
        </c:txPr>
        <c:crossAx val="287657144"/>
        <c:crosses val="autoZero"/>
        <c:auto val="1"/>
        <c:lblAlgn val="ctr"/>
        <c:lblOffset val="100"/>
        <c:noMultiLvlLbl val="0"/>
      </c:catAx>
      <c:valAx>
        <c:axId val="287657144"/>
        <c:scaling>
          <c:orientation val="minMax"/>
          <c:max val="100000"/>
        </c:scaling>
        <c:delete val="0"/>
        <c:axPos val="b"/>
        <c:majorGridlines/>
        <c:numFmt formatCode="General" sourceLinked="1"/>
        <c:majorTickMark val="out"/>
        <c:minorTickMark val="none"/>
        <c:tickLblPos val="nextTo"/>
        <c:crossAx val="287656752"/>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2656</c:v>
                </c:pt>
                <c:pt idx="3">
                  <c:v>16034</c:v>
                </c:pt>
                <c:pt idx="4">
                  <c:v>187</c:v>
                </c:pt>
                <c:pt idx="5">
                  <c:v>2258</c:v>
                </c:pt>
                <c:pt idx="6">
                  <c:v>77001</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150"/>
        <c:overlap val="100"/>
        <c:axId val="287657928"/>
        <c:axId val="287297352"/>
      </c:barChart>
      <c:catAx>
        <c:axId val="287657928"/>
        <c:scaling>
          <c:orientation val="minMax"/>
        </c:scaling>
        <c:delete val="0"/>
        <c:axPos val="l"/>
        <c:numFmt formatCode="General" sourceLinked="0"/>
        <c:majorTickMark val="out"/>
        <c:minorTickMark val="none"/>
        <c:tickLblPos val="nextTo"/>
        <c:crossAx val="287297352"/>
        <c:crosses val="autoZero"/>
        <c:auto val="1"/>
        <c:lblAlgn val="ctr"/>
        <c:lblOffset val="100"/>
        <c:noMultiLvlLbl val="0"/>
      </c:catAx>
      <c:valAx>
        <c:axId val="287297352"/>
        <c:scaling>
          <c:orientation val="minMax"/>
        </c:scaling>
        <c:delete val="0"/>
        <c:axPos val="b"/>
        <c:majorGridlines/>
        <c:numFmt formatCode="General" sourceLinked="1"/>
        <c:majorTickMark val="out"/>
        <c:minorTickMark val="none"/>
        <c:tickLblPos val="nextTo"/>
        <c:crossAx val="287657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FD8E8B6E-5716-451E-A55A-4737DE81DEF5}"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5AD400ED-605C-4A99-9BBF-D18B1500CF59}"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289A27A1-8897-432C-8F0E-CB71D5B0D056}"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EB4EE54F-62AD-4A6F-96E8-2FA29F4C0F99}"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BD8F667C-D991-48A3-A220-C6041D3C4FB7}"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1"/>
        <c:dLbl>
          <c:idx val="0"/>
          <c:delete val="1"/>
          <c:extLst>
            <c:ext xmlns:c15="http://schemas.microsoft.com/office/drawing/2012/chart" uri="{CE6537A1-D6FC-4f65-9D91-7224C49458BB}"/>
          </c:extLst>
        </c:dLbl>
      </c:pivotFmt>
      <c:pivotFmt>
        <c:idx val="22"/>
        <c:dLbl>
          <c:idx val="0"/>
          <c:delete val="1"/>
          <c:extLst>
            <c:ext xmlns:c15="http://schemas.microsoft.com/office/drawing/2012/chart" uri="{CE6537A1-D6FC-4f65-9D91-7224C49458BB}"/>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pivotFmt>
      <c:pivotFmt>
        <c:idx val="31"/>
        <c:marker>
          <c:symbol val="none"/>
        </c:marker>
      </c:pivotFmt>
      <c:pivotFmt>
        <c:idx val="32"/>
        <c:dLbl>
          <c:idx val="0"/>
          <c:tx>
            <c:rich>
              <a:bodyPr wrap="square" lIns="38100" tIns="19050" rIns="38100" bIns="19050" anchor="ctr">
                <a:spAutoFit/>
              </a:bodyPr>
              <a:lstStyle/>
              <a:p>
                <a:pPr>
                  <a:defRPr>
                    <a:solidFill>
                      <a:srgbClr val="0070C0"/>
                    </a:solidFill>
                  </a:defRPr>
                </a:pPr>
                <a:fld id="{659443B0-1594-4333-A8B7-7C77C35D0741}"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dLbl>
          <c:idx val="0"/>
          <c:tx>
            <c:rich>
              <a:bodyPr wrap="square" lIns="38100" tIns="19050" rIns="38100" bIns="19050" anchor="ctr">
                <a:spAutoFit/>
              </a:bodyPr>
              <a:lstStyle/>
              <a:p>
                <a:pPr>
                  <a:defRPr>
                    <a:solidFill>
                      <a:srgbClr val="0070C0"/>
                    </a:solidFill>
                  </a:defRPr>
                </a:pPr>
                <a:fld id="{7F567955-4392-4AD5-AC12-B3B47F889742}"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'Age-Sex Breakdown per Camp'!$P$36:$P$42</c:f>
              <c:strCache>
                <c:ptCount val="6"/>
                <c:pt idx="0">
                  <c:v>6 to 11</c:v>
                </c:pt>
                <c:pt idx="1">
                  <c:v>12 to 17</c:v>
                </c:pt>
                <c:pt idx="2">
                  <c:v>18 to 25</c:v>
                </c:pt>
                <c:pt idx="3">
                  <c:v>26 to 59</c:v>
                </c:pt>
                <c:pt idx="4">
                  <c:v>60+</c:v>
                </c:pt>
                <c:pt idx="5">
                  <c:v>0-5</c:v>
                </c:pt>
              </c:strCache>
            </c:strRef>
          </c:cat>
          <c:val>
            <c:numRef>
              <c:f>'Age-Sex Breakdown per Camp'!$P$36:$P$42</c:f>
              <c:numCache>
                <c:formatCode>General</c:formatCode>
                <c:ptCount val="6"/>
                <c:pt idx="0">
                  <c:v>9385</c:v>
                </c:pt>
                <c:pt idx="1">
                  <c:v>7348</c:v>
                </c:pt>
                <c:pt idx="2">
                  <c:v>10224</c:v>
                </c:pt>
                <c:pt idx="3">
                  <c:v>13874</c:v>
                </c:pt>
                <c:pt idx="4">
                  <c:v>1851</c:v>
                </c:pt>
                <c:pt idx="5">
                  <c:v>10581</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0.14441461704327241"/>
                  <c:y val="8.6184797512322514E-17"/>
                </c:manualLayout>
              </c:layout>
              <c:tx>
                <c:rich>
                  <a:bodyPr/>
                  <a:lstStyle/>
                  <a:p>
                    <a:fld id="{BD8F667C-D991-48A3-A220-C6041D3C4F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1118048648076948"/>
                  <c:y val="0"/>
                </c:manualLayout>
              </c:layout>
              <c:tx>
                <c:rich>
                  <a:bodyPr/>
                  <a:lstStyle/>
                  <a:p>
                    <a:fld id="{EB4EE54F-62AD-4A6F-96E8-2FA29F4C0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1956909153045135"/>
                  <c:y val="0"/>
                </c:manualLayout>
              </c:layout>
              <c:tx>
                <c:rich>
                  <a:bodyPr/>
                  <a:lstStyle/>
                  <a:p>
                    <a:fld id="{289A27A1-8897-432C-8F0E-CB71D5B0D0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17702436927885007"/>
                  <c:y val="3.7016088672780735E-7"/>
                </c:manualLayout>
              </c:layout>
              <c:tx>
                <c:rich>
                  <a:bodyPr/>
                  <a:lstStyle/>
                  <a:p>
                    <a:fld id="{FD8E8B6E-5716-451E-A55A-4737DE81DE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6.9878040504809238E-2"/>
                  <c:y val="1.8508044338544989E-7"/>
                </c:manualLayout>
              </c:layout>
              <c:tx>
                <c:rich>
                  <a:bodyPr/>
                  <a:lstStyle/>
                  <a:p>
                    <a:fld id="{5AD400ED-605C-4A99-9BBF-D18B1500CF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7F567955-4392-4AD5-AC12-B3B47F8897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'Age-Sex Breakdown per Camp'!$P$36:$P$42</c:f>
              <c:strCache>
                <c:ptCount val="6"/>
                <c:pt idx="0">
                  <c:v>6 to 11</c:v>
                </c:pt>
                <c:pt idx="1">
                  <c:v>12 to 17</c:v>
                </c:pt>
                <c:pt idx="2">
                  <c:v>18 to 25</c:v>
                </c:pt>
                <c:pt idx="3">
                  <c:v>26 to 59</c:v>
                </c:pt>
                <c:pt idx="4">
                  <c:v>60+</c:v>
                </c:pt>
                <c:pt idx="5">
                  <c:v>0-5</c:v>
                </c:pt>
              </c:strCache>
            </c:strRef>
          </c:cat>
          <c:val>
            <c:numRef>
              <c:f>'Age-Sex Breakdown per Camp'!$P$36:$P$42</c:f>
              <c:numCache>
                <c:formatCode>General</c:formatCode>
                <c:ptCount val="6"/>
                <c:pt idx="0">
                  <c:v>-10224</c:v>
                </c:pt>
                <c:pt idx="1">
                  <c:v>-7633</c:v>
                </c:pt>
                <c:pt idx="2">
                  <c:v>-8126</c:v>
                </c:pt>
                <c:pt idx="3">
                  <c:v>-12912</c:v>
                </c:pt>
                <c:pt idx="4">
                  <c:v>-1858</c:v>
                </c:pt>
                <c:pt idx="5">
                  <c:v>-10365</c:v>
                </c:pt>
              </c:numCache>
            </c:numRef>
          </c:val>
          <c:extLst>
            <c:ext xmlns:c15="http://schemas.microsoft.com/office/drawing/2012/chart" uri="{02D57815-91ED-43cb-92C2-25804820EDAC}">
              <c15:datalabelsRange>
                <c15:f>'Age-Sex Breakdown per Camp'!$P$36:$P$42</c15:f>
                <c15:dlblRangeCache>
                  <c:ptCount val="7"/>
                  <c:pt idx="0">
                    <c:v>#REF!</c:v>
                  </c:pt>
                  <c:pt idx="1">
                    <c:v>#REF!</c:v>
                  </c:pt>
                  <c:pt idx="2">
                    <c:v>10224</c:v>
                  </c:pt>
                  <c:pt idx="3">
                    <c:v>7633</c:v>
                  </c:pt>
                  <c:pt idx="4">
                    <c:v>8126</c:v>
                  </c:pt>
                  <c:pt idx="5">
                    <c:v>12912</c:v>
                  </c:pt>
                  <c:pt idx="6">
                    <c:v>1858</c:v>
                  </c:pt>
                </c15:dlblRangeCache>
              </c15:datalabelsRange>
            </c:ext>
          </c:extLst>
        </c:ser>
        <c:dLbls>
          <c:showLegendKey val="0"/>
          <c:showVal val="0"/>
          <c:showCatName val="0"/>
          <c:showSerName val="0"/>
          <c:showPercent val="0"/>
          <c:showBubbleSize val="0"/>
        </c:dLbls>
        <c:gapWidth val="150"/>
        <c:overlap val="100"/>
        <c:axId val="287296568"/>
        <c:axId val="287296176"/>
      </c:barChart>
      <c:catAx>
        <c:axId val="287296568"/>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287296176"/>
        <c:crosses val="autoZero"/>
        <c:auto val="1"/>
        <c:lblAlgn val="ctr"/>
        <c:lblOffset val="100"/>
        <c:noMultiLvlLbl val="0"/>
      </c:catAx>
      <c:valAx>
        <c:axId val="287296176"/>
        <c:scaling>
          <c:orientation val="minMax"/>
        </c:scaling>
        <c:delete val="0"/>
        <c:axPos val="b"/>
        <c:majorGridlines/>
        <c:numFmt formatCode="#,###;[Black]#,###" sourceLinked="0"/>
        <c:majorTickMark val="out"/>
        <c:minorTickMark val="none"/>
        <c:tickLblPos val="nextTo"/>
        <c:crossAx val="2872965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May 2017.xlsx]Vulnerability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E84F8A65-2190-4D03-A90B-2CE6C1784448}"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dLbl>
          <c:idx val="0"/>
          <c:layout>
            <c:manualLayout>
              <c:x val="0.12583418418538506"/>
              <c:y val="-2.6340685918691488E-17"/>
            </c:manualLayout>
          </c:layout>
          <c:tx>
            <c:rich>
              <a:bodyPr/>
              <a:lstStyle/>
              <a:p>
                <a:pPr>
                  <a:defRPr/>
                </a:pPr>
                <a:fld id="{87E3E523-380F-4313-9EE1-0AE76C8A5DEA}"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dLbl>
          <c:idx val="0"/>
          <c:layout>
            <c:manualLayout>
              <c:x val="7.7319799921140256E-2"/>
              <c:y val="-5.2681371837382976E-17"/>
            </c:manualLayout>
          </c:layout>
          <c:tx>
            <c:rich>
              <a:bodyPr/>
              <a:lstStyle/>
              <a:p>
                <a:pPr>
                  <a:defRPr/>
                </a:pPr>
                <a:fld id="{5602DC4B-A9C8-41D2-B85D-6DFF29C27F07}"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dLbl>
          <c:idx val="0"/>
          <c:layout>
            <c:manualLayout>
              <c:x val="0.11067343910280854"/>
              <c:y val="0"/>
            </c:manualLayout>
          </c:layout>
          <c:tx>
            <c:rich>
              <a:bodyPr/>
              <a:lstStyle/>
              <a:p>
                <a:pPr>
                  <a:defRPr/>
                </a:pPr>
                <a:fld id="{BEC2B54E-2380-41BE-8F99-6A050AA19042}"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dLbl>
          <c:idx val="0"/>
          <c:layout>
            <c:manualLayout>
              <c:x val="0.19254146254872179"/>
              <c:y val="-5.2681371837382976E-17"/>
            </c:manualLayout>
          </c:layout>
          <c:tx>
            <c:rich>
              <a:bodyPr/>
              <a:lstStyle/>
              <a:p>
                <a:pPr>
                  <a:defRPr/>
                </a:pPr>
                <a:fld id="{F047EF98-D124-403E-B955-4E5D9F021616}"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dLbl>
          <c:idx val="0"/>
          <c:layout>
            <c:manualLayout>
              <c:x val="4.2450086231214254E-2"/>
              <c:y val="0"/>
            </c:manualLayout>
          </c:layout>
          <c:tx>
            <c:rich>
              <a:bodyPr/>
              <a:lstStyle/>
              <a:p>
                <a:pPr>
                  <a:defRPr/>
                </a:pPr>
                <a:fld id="{8000EE8A-D592-475A-B00E-E4F80174E309}"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dLbl>
          <c:idx val="0"/>
          <c:layout>
            <c:manualLayout>
              <c:x val="0.14554315279273458"/>
              <c:y val="0"/>
            </c:manualLayout>
          </c:layout>
          <c:tx>
            <c:rich>
              <a:bodyPr/>
              <a:lstStyle/>
              <a:p>
                <a:pPr>
                  <a:defRPr/>
                </a:pPr>
                <a:fld id="{C4509E81-D710-469C-876B-AD68097D1851}"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dLbl>
          <c:idx val="0"/>
          <c:layout>
            <c:manualLayout>
              <c:x val="0.32595601927539519"/>
              <c:y val="0"/>
            </c:manualLayout>
          </c:layout>
          <c:tx>
            <c:rich>
              <a:bodyPr/>
              <a:lstStyle/>
              <a:p>
                <a:pPr>
                  <a:defRPr/>
                </a:pPr>
                <a:fld id="{43268591-3821-499C-9215-50E49D704C05}"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dLbl>
          <c:idx val="0"/>
          <c:layout>
            <c:manualLayout>
              <c:x val="0.12583418418538506"/>
              <c:y val="0"/>
            </c:manualLayout>
          </c:layout>
          <c:tx>
            <c:rich>
              <a:bodyPr/>
              <a:lstStyle/>
              <a:p>
                <a:pPr>
                  <a:defRPr/>
                </a:pPr>
                <a:fld id="{7BA4E17C-506B-4CB2-BAC3-5E1DF53039B8}"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7BA4E17C-506B-4CB2-BAC3-5E1DF53039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32595601927539519"/>
                  <c:y val="0"/>
                </c:manualLayout>
              </c:layout>
              <c:tx>
                <c:rich>
                  <a:bodyPr/>
                  <a:lstStyle/>
                  <a:p>
                    <a:fld id="{43268591-3821-499C-9215-50E49D704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4554315279273458"/>
                  <c:y val="0"/>
                </c:manualLayout>
              </c:layout>
              <c:tx>
                <c:rich>
                  <a:bodyPr/>
                  <a:lstStyle/>
                  <a:p>
                    <a:fld id="{C4509E81-D710-469C-876B-AD68097D1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4.2450086231214254E-2"/>
                  <c:y val="0"/>
                </c:manualLayout>
              </c:layout>
              <c:tx>
                <c:rich>
                  <a:bodyPr/>
                  <a:lstStyle/>
                  <a:p>
                    <a:fld id="{8000EE8A-D592-475A-B00E-E4F80174E3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19254146254872179"/>
                  <c:y val="-5.2681371837382976E-17"/>
                </c:manualLayout>
              </c:layout>
              <c:tx>
                <c:rich>
                  <a:bodyPr/>
                  <a:lstStyle/>
                  <a:p>
                    <a:fld id="{F047EF98-D124-403E-B955-4E5D9F0216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0.11067343910280854"/>
                  <c:y val="0"/>
                </c:manualLayout>
              </c:layout>
              <c:tx>
                <c:rich>
                  <a:bodyPr/>
                  <a:lstStyle/>
                  <a:p>
                    <a:fld id="{BEC2B54E-2380-41BE-8F99-6A050AA19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7.7319799921140256E-2"/>
                  <c:y val="-5.2681371837382976E-17"/>
                </c:manualLayout>
              </c:layout>
              <c:tx>
                <c:rich>
                  <a:bodyPr/>
                  <a:lstStyle/>
                  <a:p>
                    <a:fld id="{5602DC4B-A9C8-41D2-B85D-6DFF29C27F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12583418418538506"/>
                  <c:y val="-2.6340685918691488E-17"/>
                </c:manualLayout>
              </c:layout>
              <c:tx>
                <c:rich>
                  <a:bodyPr/>
                  <a:lstStyle/>
                  <a:p>
                    <a:fld id="{87E3E523-380F-4313-9EE1-0AE76C8A5D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0.38053470157267055"/>
                  <c:y val="0"/>
                </c:manualLayout>
              </c:layout>
              <c:tx>
                <c:rich>
                  <a:bodyPr/>
                  <a:lstStyle/>
                  <a:p>
                    <a:fld id="{E84F8A65-2190-4D03-A90B-2CE6C1784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472</c:v>
                </c:pt>
                <c:pt idx="1">
                  <c:v>1403</c:v>
                </c:pt>
                <c:pt idx="2">
                  <c:v>752</c:v>
                </c:pt>
                <c:pt idx="3">
                  <c:v>115</c:v>
                </c:pt>
                <c:pt idx="4">
                  <c:v>624</c:v>
                </c:pt>
                <c:pt idx="5">
                  <c:v>350</c:v>
                </c:pt>
                <c:pt idx="6">
                  <c:v>232</c:v>
                </c:pt>
                <c:pt idx="7">
                  <c:v>988</c:v>
                </c:pt>
                <c:pt idx="8">
                  <c:v>2332</c:v>
                </c:pt>
              </c:numCache>
            </c:numRef>
          </c:val>
          <c:extLst>
            <c:ext xmlns:c15="http://schemas.microsoft.com/office/drawing/2012/chart" uri="{02D57815-91ED-43cb-92C2-25804820EDAC}">
              <c15:datalabelsRange>
                <c15:f>'Vulnerability per Camp'!$N$41:$N$49</c15:f>
                <c15:dlblRangeCache>
                  <c:ptCount val="9"/>
                  <c:pt idx="0">
                    <c:v> 649 </c:v>
                  </c:pt>
                  <c:pt idx="1">
                    <c:v> 2,038 </c:v>
                  </c:pt>
                  <c:pt idx="2">
                    <c:v> 907 </c:v>
                  </c:pt>
                  <c:pt idx="3">
                    <c:v> 147 </c:v>
                  </c:pt>
                  <c:pt idx="4">
                    <c:v> 924 </c:v>
                  </c:pt>
                  <c:pt idx="5">
                    <c:v> 371 </c:v>
                  </c:pt>
                  <c:pt idx="6">
                    <c:v> 301 </c:v>
                  </c:pt>
                  <c:pt idx="7">
                    <c:v> 1,472 </c:v>
                  </c:pt>
                  <c:pt idx="8">
                    <c:v> 2,896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139</c:v>
                </c:pt>
                <c:pt idx="1">
                  <c:v>573</c:v>
                </c:pt>
                <c:pt idx="2">
                  <c:v>120</c:v>
                </c:pt>
                <c:pt idx="3">
                  <c:v>18</c:v>
                </c:pt>
                <c:pt idx="4">
                  <c:v>142</c:v>
                </c:pt>
                <c:pt idx="5">
                  <c:v>18</c:v>
                </c:pt>
                <c:pt idx="6">
                  <c:v>64</c:v>
                </c:pt>
                <c:pt idx="7">
                  <c:v>479</c:v>
                </c:pt>
                <c:pt idx="8">
                  <c:v>354</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38</c:v>
                </c:pt>
                <c:pt idx="1">
                  <c:v>62</c:v>
                </c:pt>
                <c:pt idx="2">
                  <c:v>35</c:v>
                </c:pt>
                <c:pt idx="3">
                  <c:v>14</c:v>
                </c:pt>
                <c:pt idx="4">
                  <c:v>158</c:v>
                </c:pt>
                <c:pt idx="5">
                  <c:v>3</c:v>
                </c:pt>
                <c:pt idx="6">
                  <c:v>5</c:v>
                </c:pt>
                <c:pt idx="7">
                  <c:v>5</c:v>
                </c:pt>
                <c:pt idx="8">
                  <c:v>210</c:v>
                </c:pt>
              </c:numCache>
            </c:numRef>
          </c:val>
        </c:ser>
        <c:dLbls>
          <c:showLegendKey val="0"/>
          <c:showVal val="0"/>
          <c:showCatName val="0"/>
          <c:showSerName val="0"/>
          <c:showPercent val="0"/>
          <c:showBubbleSize val="0"/>
        </c:dLbls>
        <c:gapWidth val="50"/>
        <c:overlap val="100"/>
        <c:axId val="286075264"/>
        <c:axId val="286075656"/>
      </c:barChart>
      <c:catAx>
        <c:axId val="286075264"/>
        <c:scaling>
          <c:orientation val="minMax"/>
        </c:scaling>
        <c:delete val="0"/>
        <c:axPos val="l"/>
        <c:numFmt formatCode="General" sourceLinked="0"/>
        <c:majorTickMark val="none"/>
        <c:minorTickMark val="none"/>
        <c:tickLblPos val="nextTo"/>
        <c:txPr>
          <a:bodyPr/>
          <a:lstStyle/>
          <a:p>
            <a:pPr>
              <a:defRPr sz="1000"/>
            </a:pPr>
            <a:endParaRPr lang="en-US"/>
          </a:p>
        </c:txPr>
        <c:crossAx val="286075656"/>
        <c:crosses val="autoZero"/>
        <c:auto val="1"/>
        <c:lblAlgn val="ctr"/>
        <c:lblOffset val="100"/>
        <c:noMultiLvlLbl val="0"/>
      </c:catAx>
      <c:valAx>
        <c:axId val="286075656"/>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286075264"/>
        <c:crosses val="autoZero"/>
        <c:crossBetween val="between"/>
      </c:valAx>
      <c:spPr>
        <a:ln>
          <a:solidFill>
            <a:schemeClr val="tx1"/>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286076440"/>
        <c:axId val="286076832"/>
      </c:barChart>
      <c:catAx>
        <c:axId val="286076440"/>
        <c:scaling>
          <c:orientation val="minMax"/>
        </c:scaling>
        <c:delete val="0"/>
        <c:axPos val="b"/>
        <c:numFmt formatCode="General" sourceLinked="0"/>
        <c:majorTickMark val="out"/>
        <c:minorTickMark val="none"/>
        <c:tickLblPos val="nextTo"/>
        <c:crossAx val="286076832"/>
        <c:crosses val="autoZero"/>
        <c:auto val="1"/>
        <c:lblAlgn val="ctr"/>
        <c:lblOffset val="100"/>
        <c:noMultiLvlLbl val="0"/>
      </c:catAx>
      <c:valAx>
        <c:axId val="286076832"/>
        <c:scaling>
          <c:orientation val="minMax"/>
        </c:scaling>
        <c:delete val="0"/>
        <c:axPos val="l"/>
        <c:majorGridlines/>
        <c:numFmt formatCode="#,##0" sourceLinked="1"/>
        <c:majorTickMark val="out"/>
        <c:minorTickMark val="none"/>
        <c:tickLblPos val="nextTo"/>
        <c:crossAx val="286076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2683</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4280</c:v>
                </c:pt>
                <c:pt idx="1">
                  <c:v>5125</c:v>
                </c:pt>
                <c:pt idx="3">
                  <c:v>3946</c:v>
                </c:pt>
                <c:pt idx="4">
                  <c:v>2240</c:v>
                </c:pt>
                <c:pt idx="5">
                  <c:v>4890</c:v>
                </c:pt>
                <c:pt idx="6">
                  <c:v>6967</c:v>
                </c:pt>
                <c:pt idx="7">
                  <c:v>8208</c:v>
                </c:pt>
                <c:pt idx="8">
                  <c:v>4428</c:v>
                </c:pt>
                <c:pt idx="9">
                  <c:v>3435</c:v>
                </c:pt>
                <c:pt idx="10">
                  <c:v>3408</c:v>
                </c:pt>
                <c:pt idx="11">
                  <c:v>13655</c:v>
                </c:pt>
                <c:pt idx="12">
                  <c:v>11659</c:v>
                </c:pt>
                <c:pt idx="13">
                  <c:v>12273</c:v>
                </c:pt>
                <c:pt idx="14">
                  <c:v>11764</c:v>
                </c:pt>
                <c:pt idx="15">
                  <c:v>5838</c:v>
                </c:pt>
                <c:pt idx="16">
                  <c:v>2656</c:v>
                </c:pt>
              </c:numCache>
            </c:numRef>
          </c:val>
        </c:ser>
        <c:dLbls>
          <c:showLegendKey val="0"/>
          <c:showVal val="0"/>
          <c:showCatName val="0"/>
          <c:showSerName val="0"/>
          <c:showPercent val="0"/>
          <c:showBubbleSize val="0"/>
        </c:dLbls>
        <c:gapWidth val="150"/>
        <c:overlap val="100"/>
        <c:axId val="286078400"/>
        <c:axId val="422492936"/>
      </c:barChart>
      <c:catAx>
        <c:axId val="286078400"/>
        <c:scaling>
          <c:orientation val="minMax"/>
        </c:scaling>
        <c:delete val="0"/>
        <c:axPos val="b"/>
        <c:numFmt formatCode="General" sourceLinked="0"/>
        <c:majorTickMark val="out"/>
        <c:minorTickMark val="none"/>
        <c:tickLblPos val="nextTo"/>
        <c:crossAx val="422492936"/>
        <c:crosses val="autoZero"/>
        <c:auto val="1"/>
        <c:lblAlgn val="ctr"/>
        <c:lblOffset val="100"/>
        <c:noMultiLvlLbl val="0"/>
      </c:catAx>
      <c:valAx>
        <c:axId val="422492936"/>
        <c:scaling>
          <c:orientation val="minMax"/>
        </c:scaling>
        <c:delete val="0"/>
        <c:axPos val="l"/>
        <c:majorGridlines/>
        <c:numFmt formatCode="#,##0" sourceLinked="1"/>
        <c:majorTickMark val="out"/>
        <c:minorTickMark val="none"/>
        <c:tickLblPos val="nextTo"/>
        <c:crossAx val="286078400"/>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0.96216216216216222</c:v>
                </c:pt>
                <c:pt idx="4">
                  <c:v>0</c:v>
                </c:pt>
                <c:pt idx="5">
                  <c:v>0</c:v>
                </c:pt>
                <c:pt idx="6">
                  <c:v>0.56766256590509667</c:v>
                </c:pt>
                <c:pt idx="7">
                  <c:v>1</c:v>
                </c:pt>
                <c:pt idx="8">
                  <c:v>0.56760374832663985</c:v>
                </c:pt>
                <c:pt idx="9">
                  <c:v>0.79786210582576167</c:v>
                </c:pt>
              </c:numCache>
            </c:numRef>
          </c:val>
        </c:ser>
        <c:dLbls>
          <c:showLegendKey val="0"/>
          <c:showVal val="0"/>
          <c:showCatName val="0"/>
          <c:showSerName val="0"/>
          <c:showPercent val="0"/>
          <c:showBubbleSize val="0"/>
        </c:dLbls>
        <c:gapWidth val="75"/>
        <c:axId val="422493328"/>
        <c:axId val="422493720"/>
      </c:barChart>
      <c:catAx>
        <c:axId val="422493328"/>
        <c:scaling>
          <c:orientation val="minMax"/>
        </c:scaling>
        <c:delete val="0"/>
        <c:axPos val="b"/>
        <c:numFmt formatCode="General" sourceLinked="0"/>
        <c:majorTickMark val="none"/>
        <c:minorTickMark val="none"/>
        <c:tickLblPos val="nextTo"/>
        <c:crossAx val="422493720"/>
        <c:crosses val="autoZero"/>
        <c:auto val="1"/>
        <c:lblAlgn val="ctr"/>
        <c:lblOffset val="100"/>
        <c:noMultiLvlLbl val="0"/>
      </c:catAx>
      <c:valAx>
        <c:axId val="422493720"/>
        <c:scaling>
          <c:orientation val="minMax"/>
          <c:max val="1"/>
        </c:scaling>
        <c:delete val="0"/>
        <c:axPos val="l"/>
        <c:majorGridlines/>
        <c:numFmt formatCode="0%" sourceLinked="1"/>
        <c:majorTickMark val="none"/>
        <c:minorTickMark val="none"/>
        <c:tickLblPos val="nextTo"/>
        <c:spPr>
          <a:ln w="9525">
            <a:noFill/>
          </a:ln>
        </c:spPr>
        <c:crossAx val="422493328"/>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422494504"/>
        <c:axId val="422494896"/>
      </c:barChart>
      <c:catAx>
        <c:axId val="422494504"/>
        <c:scaling>
          <c:orientation val="minMax"/>
        </c:scaling>
        <c:delete val="0"/>
        <c:axPos val="b"/>
        <c:numFmt formatCode="General" sourceLinked="0"/>
        <c:majorTickMark val="out"/>
        <c:minorTickMark val="none"/>
        <c:tickLblPos val="nextTo"/>
        <c:crossAx val="422494896"/>
        <c:crosses val="autoZero"/>
        <c:auto val="1"/>
        <c:lblAlgn val="ctr"/>
        <c:lblOffset val="100"/>
        <c:noMultiLvlLbl val="0"/>
      </c:catAx>
      <c:valAx>
        <c:axId val="422494896"/>
        <c:scaling>
          <c:orientation val="minMax"/>
        </c:scaling>
        <c:delete val="0"/>
        <c:axPos val="l"/>
        <c:majorGridlines/>
        <c:numFmt formatCode="General" sourceLinked="1"/>
        <c:majorTickMark val="out"/>
        <c:minorTickMark val="none"/>
        <c:tickLblPos val="nextTo"/>
        <c:crossAx val="4224945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422495680"/>
        <c:axId val="422496072"/>
      </c:barChart>
      <c:catAx>
        <c:axId val="422495680"/>
        <c:scaling>
          <c:orientation val="minMax"/>
        </c:scaling>
        <c:delete val="0"/>
        <c:axPos val="l"/>
        <c:numFmt formatCode="General" sourceLinked="0"/>
        <c:majorTickMark val="out"/>
        <c:minorTickMark val="none"/>
        <c:tickLblPos val="nextTo"/>
        <c:spPr>
          <a:ln>
            <a:noFill/>
          </a:ln>
        </c:spPr>
        <c:crossAx val="422496072"/>
        <c:crosses val="autoZero"/>
        <c:auto val="1"/>
        <c:lblAlgn val="ctr"/>
        <c:lblOffset val="100"/>
        <c:noMultiLvlLbl val="0"/>
      </c:catAx>
      <c:valAx>
        <c:axId val="422496072"/>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422495680"/>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423059232"/>
        <c:axId val="423059624"/>
      </c:barChart>
      <c:catAx>
        <c:axId val="423059232"/>
        <c:scaling>
          <c:orientation val="minMax"/>
        </c:scaling>
        <c:delete val="0"/>
        <c:axPos val="l"/>
        <c:numFmt formatCode="General" sourceLinked="0"/>
        <c:majorTickMark val="out"/>
        <c:minorTickMark val="none"/>
        <c:tickLblPos val="nextTo"/>
        <c:crossAx val="423059624"/>
        <c:crosses val="autoZero"/>
        <c:auto val="1"/>
        <c:lblAlgn val="ctr"/>
        <c:lblOffset val="100"/>
        <c:noMultiLvlLbl val="0"/>
      </c:catAx>
      <c:valAx>
        <c:axId val="423059624"/>
        <c:scaling>
          <c:orientation val="minMax"/>
        </c:scaling>
        <c:delete val="0"/>
        <c:axPos val="b"/>
        <c:majorGridlines/>
        <c:numFmt formatCode="_-* #,##0_-;\-* #,##0_-;_-* &quot;-&quot;??_-;_-@_-" sourceLinked="1"/>
        <c:majorTickMark val="out"/>
        <c:minorTickMark val="none"/>
        <c:tickLblPos val="nextTo"/>
        <c:crossAx val="423059232"/>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98373.158771627888</c:v>
                </c:pt>
                <c:pt idx="1">
                  <c:v>47605.76122837211</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May 2017.xlsx]Shelter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423060800"/>
        <c:axId val="423061192"/>
      </c:barChart>
      <c:catAx>
        <c:axId val="42306080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23061192"/>
        <c:crosses val="autoZero"/>
        <c:auto val="1"/>
        <c:lblAlgn val="ctr"/>
        <c:lblOffset val="100"/>
        <c:noMultiLvlLbl val="0"/>
      </c:catAx>
      <c:valAx>
        <c:axId val="423061192"/>
        <c:scaling>
          <c:orientation val="minMax"/>
        </c:scaling>
        <c:delete val="0"/>
        <c:axPos val="l"/>
        <c:majorGridlines/>
        <c:numFmt formatCode="General" sourceLinked="1"/>
        <c:majorTickMark val="out"/>
        <c:minorTickMark val="none"/>
        <c:tickLblPos val="nextTo"/>
        <c:crossAx val="42306080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manualLayout>
          <c:layoutTarget val="inner"/>
          <c:xMode val="edge"/>
          <c:yMode val="edge"/>
          <c:x val="9.1242283009199385E-2"/>
          <c:y val="0.11952691750855"/>
          <c:w val="0.65382053524410599"/>
          <c:h val="0.80059399888922311"/>
        </c:manualLayout>
      </c:layout>
      <c:barChart>
        <c:barDir val="bar"/>
        <c:grouping val="stacked"/>
        <c:varyColors val="0"/>
        <c:ser>
          <c:idx val="0"/>
          <c:order val="0"/>
          <c:tx>
            <c:strRef>
              <c:f>'NFI Distribution (by Tship)'!$B$59</c:f>
              <c:strCache>
                <c:ptCount val="1"/>
                <c:pt idx="0">
                  <c:v>Sanitary Kit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Tship)'!$B$60:$B$71</c:f>
              <c:numCache>
                <c:formatCode>0</c:formatCode>
                <c:ptCount val="12"/>
                <c:pt idx="0">
                  <c:v>799</c:v>
                </c:pt>
                <c:pt idx="1">
                  <c:v>656</c:v>
                </c:pt>
                <c:pt idx="2">
                  <c:v>1325</c:v>
                </c:pt>
                <c:pt idx="3">
                  <c:v>2448</c:v>
                </c:pt>
                <c:pt idx="4">
                  <c:v>0</c:v>
                </c:pt>
                <c:pt idx="5">
                  <c:v>6307</c:v>
                </c:pt>
                <c:pt idx="6">
                  <c:v>0</c:v>
                </c:pt>
                <c:pt idx="7">
                  <c:v>0</c:v>
                </c:pt>
                <c:pt idx="8">
                  <c:v>0</c:v>
                </c:pt>
                <c:pt idx="9">
                  <c:v>0</c:v>
                </c:pt>
                <c:pt idx="10">
                  <c:v>0</c:v>
                </c:pt>
                <c:pt idx="11">
                  <c:v>11535</c:v>
                </c:pt>
              </c:numCache>
            </c:numRef>
          </c:val>
        </c:ser>
        <c:ser>
          <c:idx val="1"/>
          <c:order val="1"/>
          <c:tx>
            <c:strRef>
              <c:f>'NFI Distribution (by Tship)'!$C$59</c:f>
              <c:strCache>
                <c:ptCount val="1"/>
                <c:pt idx="0">
                  <c:v> Mosquito net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Tship)'!$C$60:$C$71</c:f>
              <c:numCache>
                <c:formatCode>0</c:formatCode>
                <c:ptCount val="12"/>
                <c:pt idx="0">
                  <c:v>0</c:v>
                </c:pt>
                <c:pt idx="1">
                  <c:v>1126.5</c:v>
                </c:pt>
                <c:pt idx="2">
                  <c:v>0</c:v>
                </c:pt>
                <c:pt idx="3">
                  <c:v>0</c:v>
                </c:pt>
                <c:pt idx="4">
                  <c:v>2926</c:v>
                </c:pt>
                <c:pt idx="5">
                  <c:v>0</c:v>
                </c:pt>
                <c:pt idx="6">
                  <c:v>0</c:v>
                </c:pt>
                <c:pt idx="7">
                  <c:v>345</c:v>
                </c:pt>
                <c:pt idx="8">
                  <c:v>0</c:v>
                </c:pt>
                <c:pt idx="9">
                  <c:v>0</c:v>
                </c:pt>
                <c:pt idx="10">
                  <c:v>725</c:v>
                </c:pt>
                <c:pt idx="11">
                  <c:v>5122.5</c:v>
                </c:pt>
              </c:numCache>
            </c:numRef>
          </c:val>
        </c:ser>
        <c:ser>
          <c:idx val="2"/>
          <c:order val="2"/>
          <c:tx>
            <c:strRef>
              <c:f>'NFI Distribution (by Tship)'!$D$59</c:f>
              <c:strCache>
                <c:ptCount val="1"/>
                <c:pt idx="0">
                  <c:v> Tarpaulin</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Tship)'!$D$60:$D$71</c:f>
              <c:numCache>
                <c:formatCode>0</c:formatCode>
                <c:ptCount val="12"/>
                <c:pt idx="0">
                  <c:v>0</c:v>
                </c:pt>
                <c:pt idx="1">
                  <c:v>0</c:v>
                </c:pt>
                <c:pt idx="2">
                  <c:v>0</c:v>
                </c:pt>
                <c:pt idx="3">
                  <c:v>0</c:v>
                </c:pt>
                <c:pt idx="4">
                  <c:v>354</c:v>
                </c:pt>
                <c:pt idx="5">
                  <c:v>0</c:v>
                </c:pt>
                <c:pt idx="6">
                  <c:v>0</c:v>
                </c:pt>
                <c:pt idx="7">
                  <c:v>0</c:v>
                </c:pt>
                <c:pt idx="8">
                  <c:v>0</c:v>
                </c:pt>
                <c:pt idx="9">
                  <c:v>0</c:v>
                </c:pt>
                <c:pt idx="10">
                  <c:v>0</c:v>
                </c:pt>
                <c:pt idx="11">
                  <c:v>354</c:v>
                </c:pt>
              </c:numCache>
            </c:numRef>
          </c:val>
        </c:ser>
        <c:ser>
          <c:idx val="3"/>
          <c:order val="3"/>
          <c:tx>
            <c:strRef>
              <c:f>'NFI Distribution (by Tship)'!$E$59</c:f>
              <c:strCache>
                <c:ptCount val="1"/>
                <c:pt idx="0">
                  <c:v> Blanket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Tship)'!$E$60:$E$71</c:f>
              <c:numCache>
                <c:formatCode>0</c:formatCode>
                <c:ptCount val="12"/>
                <c:pt idx="0">
                  <c:v>0</c:v>
                </c:pt>
                <c:pt idx="1">
                  <c:v>965.5</c:v>
                </c:pt>
                <c:pt idx="2">
                  <c:v>351.5</c:v>
                </c:pt>
                <c:pt idx="3">
                  <c:v>0</c:v>
                </c:pt>
                <c:pt idx="4">
                  <c:v>3327.5</c:v>
                </c:pt>
                <c:pt idx="5">
                  <c:v>0</c:v>
                </c:pt>
                <c:pt idx="6">
                  <c:v>0</c:v>
                </c:pt>
                <c:pt idx="7">
                  <c:v>0</c:v>
                </c:pt>
                <c:pt idx="8">
                  <c:v>0</c:v>
                </c:pt>
                <c:pt idx="9">
                  <c:v>0</c:v>
                </c:pt>
                <c:pt idx="10">
                  <c:v>725</c:v>
                </c:pt>
                <c:pt idx="11">
                  <c:v>5369.5</c:v>
                </c:pt>
              </c:numCache>
            </c:numRef>
          </c:val>
        </c:ser>
        <c:ser>
          <c:idx val="4"/>
          <c:order val="4"/>
          <c:tx>
            <c:strRef>
              <c:f>'NFI Distribution (by Tship)'!$F$59</c:f>
              <c:strCache>
                <c:ptCount val="1"/>
                <c:pt idx="0">
                  <c:v> Kitchen Set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Tship)'!$F$60:$F$71</c:f>
              <c:numCache>
                <c:formatCode>0</c:formatCode>
                <c:ptCount val="12"/>
                <c:pt idx="0">
                  <c:v>0</c:v>
                </c:pt>
                <c:pt idx="1">
                  <c:v>0</c:v>
                </c:pt>
                <c:pt idx="2">
                  <c:v>0</c:v>
                </c:pt>
                <c:pt idx="3">
                  <c:v>0</c:v>
                </c:pt>
                <c:pt idx="4">
                  <c:v>1287</c:v>
                </c:pt>
                <c:pt idx="5">
                  <c:v>2084</c:v>
                </c:pt>
                <c:pt idx="6">
                  <c:v>0</c:v>
                </c:pt>
                <c:pt idx="7">
                  <c:v>0</c:v>
                </c:pt>
                <c:pt idx="8">
                  <c:v>0</c:v>
                </c:pt>
                <c:pt idx="9">
                  <c:v>0</c:v>
                </c:pt>
                <c:pt idx="10">
                  <c:v>0</c:v>
                </c:pt>
                <c:pt idx="11">
                  <c:v>3371</c:v>
                </c:pt>
              </c:numCache>
            </c:numRef>
          </c:val>
        </c:ser>
        <c:ser>
          <c:idx val="5"/>
          <c:order val="5"/>
          <c:tx>
            <c:strRef>
              <c:f>'NFI Distribution (by Tship)'!$G$59</c:f>
              <c:strCache>
                <c:ptCount val="1"/>
                <c:pt idx="0">
                  <c:v> Complementary Kit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Tship)'!$G$60:$G$71</c:f>
              <c:numCache>
                <c:formatCode>0</c:formatCode>
                <c:ptCount val="12"/>
                <c:pt idx="0">
                  <c:v>0</c:v>
                </c:pt>
                <c:pt idx="1">
                  <c:v>0</c:v>
                </c:pt>
                <c:pt idx="2">
                  <c:v>195</c:v>
                </c:pt>
                <c:pt idx="3">
                  <c:v>6</c:v>
                </c:pt>
                <c:pt idx="4">
                  <c:v>0</c:v>
                </c:pt>
                <c:pt idx="5">
                  <c:v>0</c:v>
                </c:pt>
                <c:pt idx="6">
                  <c:v>0</c:v>
                </c:pt>
                <c:pt idx="7">
                  <c:v>0</c:v>
                </c:pt>
                <c:pt idx="8">
                  <c:v>0</c:v>
                </c:pt>
                <c:pt idx="9">
                  <c:v>0</c:v>
                </c:pt>
                <c:pt idx="10">
                  <c:v>0</c:v>
                </c:pt>
                <c:pt idx="11">
                  <c:v>201</c:v>
                </c:pt>
              </c:numCache>
            </c:numRef>
          </c:val>
        </c:ser>
        <c:ser>
          <c:idx val="6"/>
          <c:order val="6"/>
          <c:tx>
            <c:strRef>
              <c:f>'NFI Distribution (by Tship)'!$H$59</c:f>
              <c:strCache>
                <c:ptCount val="1"/>
                <c:pt idx="0">
                  <c:v> Plastic Bucket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Tship)'!$H$60:$H$71</c:f>
              <c:numCache>
                <c:formatCode>0</c:formatCode>
                <c:ptCount val="12"/>
                <c:pt idx="0">
                  <c:v>635</c:v>
                </c:pt>
                <c:pt idx="1">
                  <c:v>3276</c:v>
                </c:pt>
                <c:pt idx="2">
                  <c:v>0</c:v>
                </c:pt>
                <c:pt idx="3">
                  <c:v>104</c:v>
                </c:pt>
                <c:pt idx="4">
                  <c:v>0</c:v>
                </c:pt>
                <c:pt idx="5">
                  <c:v>0</c:v>
                </c:pt>
                <c:pt idx="6">
                  <c:v>0</c:v>
                </c:pt>
                <c:pt idx="7">
                  <c:v>0</c:v>
                </c:pt>
                <c:pt idx="8">
                  <c:v>0</c:v>
                </c:pt>
                <c:pt idx="9">
                  <c:v>0</c:v>
                </c:pt>
                <c:pt idx="10">
                  <c:v>1450</c:v>
                </c:pt>
                <c:pt idx="11">
                  <c:v>5465</c:v>
                </c:pt>
              </c:numCache>
            </c:numRef>
          </c:val>
        </c:ser>
        <c:ser>
          <c:idx val="7"/>
          <c:order val="7"/>
          <c:tx>
            <c:strRef>
              <c:f>'NFI Distribution (by Tship)'!$I$59</c:f>
              <c:strCache>
                <c:ptCount val="1"/>
                <c:pt idx="0">
                  <c:v> Jerry Can</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Tship)'!$I$60:$I$71</c:f>
              <c:numCache>
                <c:formatCode>0</c:formatCode>
                <c:ptCount val="12"/>
                <c:pt idx="0">
                  <c:v>0</c:v>
                </c:pt>
                <c:pt idx="1">
                  <c:v>3276</c:v>
                </c:pt>
                <c:pt idx="2">
                  <c:v>0</c:v>
                </c:pt>
                <c:pt idx="3">
                  <c:v>125</c:v>
                </c:pt>
                <c:pt idx="4">
                  <c:v>91</c:v>
                </c:pt>
                <c:pt idx="5">
                  <c:v>985</c:v>
                </c:pt>
                <c:pt idx="6">
                  <c:v>0</c:v>
                </c:pt>
                <c:pt idx="7">
                  <c:v>0</c:v>
                </c:pt>
                <c:pt idx="8">
                  <c:v>0</c:v>
                </c:pt>
                <c:pt idx="9">
                  <c:v>0</c:v>
                </c:pt>
                <c:pt idx="10">
                  <c:v>2900</c:v>
                </c:pt>
                <c:pt idx="11">
                  <c:v>7377</c:v>
                </c:pt>
              </c:numCache>
            </c:numRef>
          </c:val>
        </c:ser>
        <c:ser>
          <c:idx val="8"/>
          <c:order val="8"/>
          <c:tx>
            <c:strRef>
              <c:f>'NFI Distribution (by Tship)'!$J$59</c:f>
              <c:strCache>
                <c:ptCount val="1"/>
                <c:pt idx="0">
                  <c:v> Plastic  Mat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Tship)'!$J$60:$J$71</c:f>
              <c:numCache>
                <c:formatCode>0</c:formatCode>
                <c:ptCount val="12"/>
                <c:pt idx="0">
                  <c:v>0</c:v>
                </c:pt>
                <c:pt idx="1">
                  <c:v>655.20000000000005</c:v>
                </c:pt>
                <c:pt idx="2">
                  <c:v>0</c:v>
                </c:pt>
                <c:pt idx="3">
                  <c:v>0</c:v>
                </c:pt>
                <c:pt idx="4">
                  <c:v>2842.8</c:v>
                </c:pt>
                <c:pt idx="5">
                  <c:v>0</c:v>
                </c:pt>
                <c:pt idx="6">
                  <c:v>0</c:v>
                </c:pt>
                <c:pt idx="7">
                  <c:v>0</c:v>
                </c:pt>
                <c:pt idx="8">
                  <c:v>0</c:v>
                </c:pt>
                <c:pt idx="9">
                  <c:v>0</c:v>
                </c:pt>
                <c:pt idx="10">
                  <c:v>0</c:v>
                </c:pt>
                <c:pt idx="11">
                  <c:v>3498</c:v>
                </c:pt>
              </c:numCache>
            </c:numRef>
          </c:val>
        </c:ser>
        <c:ser>
          <c:idx val="9"/>
          <c:order val="9"/>
          <c:tx>
            <c:strRef>
              <c:f>'NFI Distribution (by Tship)'!$K$59</c:f>
              <c:strCache>
                <c:ptCount val="1"/>
                <c:pt idx="0">
                  <c:v>Adult Clothes</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Tship)'!$K$60:$K$71</c:f>
              <c:numCache>
                <c:formatCode>0</c:formatCode>
                <c:ptCount val="12"/>
                <c:pt idx="0">
                  <c:v>0</c:v>
                </c:pt>
                <c:pt idx="1">
                  <c:v>0</c:v>
                </c:pt>
                <c:pt idx="2">
                  <c:v>628</c:v>
                </c:pt>
                <c:pt idx="3">
                  <c:v>0</c:v>
                </c:pt>
                <c:pt idx="4">
                  <c:v>0</c:v>
                </c:pt>
                <c:pt idx="5">
                  <c:v>0</c:v>
                </c:pt>
                <c:pt idx="6">
                  <c:v>0</c:v>
                </c:pt>
                <c:pt idx="7">
                  <c:v>0</c:v>
                </c:pt>
                <c:pt idx="8">
                  <c:v>0</c:v>
                </c:pt>
                <c:pt idx="9">
                  <c:v>7050</c:v>
                </c:pt>
                <c:pt idx="10">
                  <c:v>2175</c:v>
                </c:pt>
                <c:pt idx="11">
                  <c:v>9853</c:v>
                </c:pt>
              </c:numCache>
            </c:numRef>
          </c:val>
        </c:ser>
        <c:ser>
          <c:idx val="10"/>
          <c:order val="10"/>
          <c:tx>
            <c:strRef>
              <c:f>'NFI Distribution (by Tship)'!$L$59</c:f>
              <c:strCache>
                <c:ptCount val="1"/>
                <c:pt idx="0">
                  <c:v>Children Clothes</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Tship)'!$L$60:$L$71</c:f>
              <c:numCache>
                <c:formatCode>0</c:formatCode>
                <c:ptCount val="12"/>
                <c:pt idx="0">
                  <c:v>0</c:v>
                </c:pt>
                <c:pt idx="1">
                  <c:v>0</c:v>
                </c:pt>
                <c:pt idx="2">
                  <c:v>0</c:v>
                </c:pt>
                <c:pt idx="3">
                  <c:v>0</c:v>
                </c:pt>
                <c:pt idx="4">
                  <c:v>0</c:v>
                </c:pt>
                <c:pt idx="5">
                  <c:v>0</c:v>
                </c:pt>
                <c:pt idx="6">
                  <c:v>0</c:v>
                </c:pt>
                <c:pt idx="7">
                  <c:v>0</c:v>
                </c:pt>
                <c:pt idx="8">
                  <c:v>2009</c:v>
                </c:pt>
                <c:pt idx="9">
                  <c:v>3629</c:v>
                </c:pt>
                <c:pt idx="10">
                  <c:v>725</c:v>
                </c:pt>
                <c:pt idx="11">
                  <c:v>6363</c:v>
                </c:pt>
              </c:numCache>
            </c:numRef>
          </c:val>
        </c:ser>
        <c:ser>
          <c:idx val="11"/>
          <c:order val="11"/>
          <c:tx>
            <c:strRef>
              <c:f>'NFI Distribution (by Tship)'!$M$59</c:f>
              <c:strCache>
                <c:ptCount val="1"/>
                <c:pt idx="0">
                  <c:v>Sewing Kit</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Tship)'!$M$60:$M$71</c:f>
              <c:numCache>
                <c:formatCode>General</c:formatCode>
                <c:ptCount val="12"/>
                <c:pt idx="0">
                  <c:v>0</c:v>
                </c:pt>
                <c:pt idx="1">
                  <c:v>0</c:v>
                </c:pt>
                <c:pt idx="2">
                  <c:v>628</c:v>
                </c:pt>
                <c:pt idx="3">
                  <c:v>0</c:v>
                </c:pt>
                <c:pt idx="4">
                  <c:v>0</c:v>
                </c:pt>
                <c:pt idx="5">
                  <c:v>0</c:v>
                </c:pt>
                <c:pt idx="6">
                  <c:v>0</c:v>
                </c:pt>
                <c:pt idx="7">
                  <c:v>0</c:v>
                </c:pt>
                <c:pt idx="8">
                  <c:v>0</c:v>
                </c:pt>
                <c:pt idx="9">
                  <c:v>0</c:v>
                </c:pt>
                <c:pt idx="10">
                  <c:v>0</c:v>
                </c:pt>
                <c:pt idx="11">
                  <c:v>628</c:v>
                </c:pt>
              </c:numCache>
            </c:numRef>
          </c:val>
        </c:ser>
        <c:ser>
          <c:idx val="12"/>
          <c:order val="12"/>
          <c:tx>
            <c:strRef>
              <c:f>'NFI Distribution (by Tship)'!$N$59</c:f>
              <c:strCache>
                <c:ptCount val="1"/>
                <c:pt idx="0">
                  <c:v>Solar Lantern</c:v>
                </c:pt>
              </c:strCache>
            </c:strRef>
          </c:tx>
          <c:invertIfNegative val="0"/>
          <c:cat>
            <c:strRef>
              <c:f>'NFI Distribution (by Tship)'!$A$60:$A$71</c:f>
              <c:strCache>
                <c:ptCount val="12"/>
                <c:pt idx="0">
                  <c:v>CDN</c:v>
                </c:pt>
                <c:pt idx="1">
                  <c:v>NRC</c:v>
                </c:pt>
                <c:pt idx="2">
                  <c:v>RI</c:v>
                </c:pt>
                <c:pt idx="3">
                  <c:v>SCI</c:v>
                </c:pt>
                <c:pt idx="4">
                  <c:v>UNHCR</c:v>
                </c:pt>
                <c:pt idx="5">
                  <c:v>SI</c:v>
                </c:pt>
                <c:pt idx="6">
                  <c:v>Gov</c:v>
                </c:pt>
                <c:pt idx="7">
                  <c:v>MHAA</c:v>
                </c:pt>
                <c:pt idx="8">
                  <c:v>MAUK</c:v>
                </c:pt>
                <c:pt idx="9">
                  <c:v>UNIQLO</c:v>
                </c:pt>
                <c:pt idx="10">
                  <c:v>MRF</c:v>
                </c:pt>
                <c:pt idx="11">
                  <c:v>Grand Total</c:v>
                </c:pt>
              </c:strCache>
            </c:strRef>
          </c:cat>
          <c:val>
            <c:numRef>
              <c:f>'NFI Distribution (by Tship)'!$N$60:$N$71</c:f>
              <c:numCache>
                <c:formatCode>General</c:formatCode>
                <c:ptCount val="12"/>
                <c:pt idx="0">
                  <c:v>0</c:v>
                </c:pt>
                <c:pt idx="1">
                  <c:v>0</c:v>
                </c:pt>
                <c:pt idx="2">
                  <c:v>0</c:v>
                </c:pt>
                <c:pt idx="3">
                  <c:v>0</c:v>
                </c:pt>
                <c:pt idx="4">
                  <c:v>389</c:v>
                </c:pt>
                <c:pt idx="5">
                  <c:v>0</c:v>
                </c:pt>
                <c:pt idx="6">
                  <c:v>0</c:v>
                </c:pt>
                <c:pt idx="7">
                  <c:v>0</c:v>
                </c:pt>
                <c:pt idx="8">
                  <c:v>0</c:v>
                </c:pt>
                <c:pt idx="9">
                  <c:v>0</c:v>
                </c:pt>
                <c:pt idx="10">
                  <c:v>0</c:v>
                </c:pt>
                <c:pt idx="11">
                  <c:v>389</c:v>
                </c:pt>
              </c:numCache>
            </c:numRef>
          </c:val>
        </c:ser>
        <c:dLbls>
          <c:showLegendKey val="0"/>
          <c:showVal val="0"/>
          <c:showCatName val="0"/>
          <c:showSerName val="0"/>
          <c:showPercent val="0"/>
          <c:showBubbleSize val="0"/>
        </c:dLbls>
        <c:gapWidth val="150"/>
        <c:overlap val="100"/>
        <c:axId val="423062760"/>
        <c:axId val="440944640"/>
      </c:barChart>
      <c:catAx>
        <c:axId val="423062760"/>
        <c:scaling>
          <c:orientation val="minMax"/>
        </c:scaling>
        <c:delete val="0"/>
        <c:axPos val="l"/>
        <c:numFmt formatCode="General" sourceLinked="0"/>
        <c:majorTickMark val="none"/>
        <c:minorTickMark val="none"/>
        <c:tickLblPos val="nextTo"/>
        <c:crossAx val="440944640"/>
        <c:crosses val="autoZero"/>
        <c:auto val="1"/>
        <c:lblAlgn val="ctr"/>
        <c:lblOffset val="100"/>
        <c:noMultiLvlLbl val="0"/>
      </c:catAx>
      <c:valAx>
        <c:axId val="440944640"/>
        <c:scaling>
          <c:orientation val="minMax"/>
        </c:scaling>
        <c:delete val="0"/>
        <c:axPos val="b"/>
        <c:majorGridlines/>
        <c:numFmt formatCode="0" sourceLinked="1"/>
        <c:majorTickMark val="none"/>
        <c:minorTickMark val="none"/>
        <c:tickLblPos val="nextTo"/>
        <c:crossAx val="423062760"/>
        <c:crosses val="autoZero"/>
        <c:crossBetween val="between"/>
      </c:valAx>
    </c:plotArea>
    <c:legend>
      <c:legendPos val="r"/>
      <c:layout>
        <c:manualLayout>
          <c:xMode val="edge"/>
          <c:yMode val="edge"/>
          <c:x val="0.78845435569667766"/>
          <c:y val="0.26124785058815803"/>
          <c:w val="0.19391736159406084"/>
          <c:h val="0.67150996843407929"/>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manualLayout>
          <c:layoutTarget val="inner"/>
          <c:xMode val="edge"/>
          <c:yMode val="edge"/>
          <c:x val="0.10115481569702821"/>
          <c:y val="0.13178980522171574"/>
          <c:w val="0.61373992782026665"/>
          <c:h val="0.50426489846663902"/>
        </c:manualLayout>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0.21655041217501586</c:v>
                </c:pt>
                <c:pt idx="1">
                  <c:v>1.4965123652504755E-2</c:v>
                </c:pt>
                <c:pt idx="2">
                  <c:v>0.22699217924328893</c:v>
                </c:pt>
                <c:pt idx="3">
                  <c:v>0.14250686958359754</c:v>
                </c:pt>
                <c:pt idx="4">
                  <c:v>8.4971464806594798E-3</c:v>
                </c:pt>
                <c:pt idx="5">
                  <c:v>0.23102938068061721</c:v>
                </c:pt>
                <c:pt idx="6">
                  <c:v>0.31185795814838302</c:v>
                </c:pt>
                <c:pt idx="7">
                  <c:v>0.14787571337983513</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0.16510251532445572</c:v>
                </c:pt>
                <c:pt idx="1">
                  <c:v>0.18292115831748046</c:v>
                </c:pt>
                <c:pt idx="2">
                  <c:v>8.4633269921792431E-2</c:v>
                </c:pt>
                <c:pt idx="3">
                  <c:v>0.18292115831748046</c:v>
                </c:pt>
                <c:pt idx="4">
                  <c:v>4.2401183682096812E-2</c:v>
                </c:pt>
                <c:pt idx="5">
                  <c:v>0.16854787571337984</c:v>
                </c:pt>
                <c:pt idx="6">
                  <c:v>0.21420418516169942</c:v>
                </c:pt>
                <c:pt idx="7">
                  <c:v>0.16499682942295499</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0.61834707250052845</c:v>
                </c:pt>
                <c:pt idx="1">
                  <c:v>0.80211371803001474</c:v>
                </c:pt>
                <c:pt idx="2">
                  <c:v>0.68837455083491861</c:v>
                </c:pt>
                <c:pt idx="3">
                  <c:v>0.67457197209892206</c:v>
                </c:pt>
                <c:pt idx="4">
                  <c:v>0.94910166983724376</c:v>
                </c:pt>
                <c:pt idx="5">
                  <c:v>0.60042274360600301</c:v>
                </c:pt>
                <c:pt idx="6">
                  <c:v>0.47393785668991756</c:v>
                </c:pt>
                <c:pt idx="7">
                  <c:v>0.68712745719720991</c:v>
                </c:pt>
              </c:numCache>
            </c:numRef>
          </c:val>
        </c:ser>
        <c:dLbls>
          <c:showLegendKey val="0"/>
          <c:showVal val="0"/>
          <c:showCatName val="0"/>
          <c:showSerName val="0"/>
          <c:showPercent val="0"/>
          <c:showBubbleSize val="0"/>
        </c:dLbls>
        <c:gapWidth val="55"/>
        <c:overlap val="100"/>
        <c:axId val="440945424"/>
        <c:axId val="440945816"/>
      </c:barChart>
      <c:catAx>
        <c:axId val="44094542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440945816"/>
        <c:crosses val="autoZero"/>
        <c:auto val="1"/>
        <c:lblAlgn val="ctr"/>
        <c:lblOffset val="100"/>
        <c:noMultiLvlLbl val="0"/>
      </c:catAx>
      <c:valAx>
        <c:axId val="44094581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440945424"/>
        <c:crosses val="autoZero"/>
        <c:crossBetween val="between"/>
        <c:majorUnit val="0.2"/>
      </c:valAx>
      <c:spPr>
        <a:noFill/>
        <a:ln w="25400">
          <a:noFill/>
        </a:ln>
      </c:spPr>
    </c:plotArea>
    <c:legend>
      <c:legendPos val="r"/>
      <c:layout>
        <c:manualLayout>
          <c:xMode val="edge"/>
          <c:yMode val="edge"/>
          <c:x val="0.73157383038137891"/>
          <c:y val="0.18556485702445089"/>
          <c:w val="0.26604344292375204"/>
          <c:h val="0.531922751761293"/>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Distributed HH(s) in 12 months per organisation</a:t>
            </a:r>
          </a:p>
        </c:rich>
      </c:tx>
      <c:layout>
        <c:manualLayout>
          <c:xMode val="edge"/>
          <c:yMode val="edge"/>
          <c:x val="0.24110225109676386"/>
          <c:y val="1.8805964675898023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manualLayout>
          <c:layoutTarget val="inner"/>
          <c:xMode val="edge"/>
          <c:yMode val="edge"/>
          <c:x val="4.7055006326193208E-2"/>
          <c:y val="2.57677433961713E-2"/>
          <c:w val="0.81423732486199651"/>
          <c:h val="0.78358826914739388"/>
        </c:manualLayout>
      </c:layout>
      <c:barChart>
        <c:barDir val="col"/>
        <c:grouping val="clustered"/>
        <c:varyColors val="0"/>
        <c:ser>
          <c:idx val="1"/>
          <c:order val="0"/>
          <c:tx>
            <c:strRef>
              <c:f>'NFI Distribution (by Tship)'!$B$59</c:f>
              <c:strCache>
                <c:ptCount val="1"/>
                <c:pt idx="0">
                  <c:v>Sanitary Kit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Tship)'!$B$60:$B$71</c15:sqref>
                  </c15:fullRef>
                </c:ext>
              </c:extLst>
              <c:f>'NFI Distribution (by Tship)'!$B$60:$B$70</c:f>
              <c:numCache>
                <c:formatCode>0</c:formatCode>
                <c:ptCount val="11"/>
                <c:pt idx="0">
                  <c:v>799</c:v>
                </c:pt>
                <c:pt idx="1">
                  <c:v>656</c:v>
                </c:pt>
                <c:pt idx="2">
                  <c:v>1325</c:v>
                </c:pt>
                <c:pt idx="3">
                  <c:v>2448</c:v>
                </c:pt>
                <c:pt idx="4">
                  <c:v>0</c:v>
                </c:pt>
                <c:pt idx="5">
                  <c:v>6307</c:v>
                </c:pt>
                <c:pt idx="6">
                  <c:v>0</c:v>
                </c:pt>
                <c:pt idx="7">
                  <c:v>0</c:v>
                </c:pt>
                <c:pt idx="8">
                  <c:v>0</c:v>
                </c:pt>
                <c:pt idx="9">
                  <c:v>0</c:v>
                </c:pt>
                <c:pt idx="10">
                  <c:v>0</c:v>
                </c:pt>
              </c:numCache>
            </c:numRef>
          </c:val>
        </c:ser>
        <c:ser>
          <c:idx val="2"/>
          <c:order val="1"/>
          <c:tx>
            <c:strRef>
              <c:f>'NFI Distribution (by Tship)'!$C$59</c:f>
              <c:strCache>
                <c:ptCount val="1"/>
                <c:pt idx="0">
                  <c:v> Mosquito net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Tship)'!$C$60:$C$71</c15:sqref>
                  </c15:fullRef>
                </c:ext>
              </c:extLst>
              <c:f>'NFI Distribution (by Tship)'!$C$60:$C$70</c:f>
              <c:numCache>
                <c:formatCode>0</c:formatCode>
                <c:ptCount val="11"/>
                <c:pt idx="0">
                  <c:v>0</c:v>
                </c:pt>
                <c:pt idx="1">
                  <c:v>1126.5</c:v>
                </c:pt>
                <c:pt idx="2">
                  <c:v>0</c:v>
                </c:pt>
                <c:pt idx="3">
                  <c:v>0</c:v>
                </c:pt>
                <c:pt idx="4">
                  <c:v>2926</c:v>
                </c:pt>
                <c:pt idx="5">
                  <c:v>0</c:v>
                </c:pt>
                <c:pt idx="6">
                  <c:v>0</c:v>
                </c:pt>
                <c:pt idx="7">
                  <c:v>345</c:v>
                </c:pt>
                <c:pt idx="8">
                  <c:v>0</c:v>
                </c:pt>
                <c:pt idx="9">
                  <c:v>0</c:v>
                </c:pt>
                <c:pt idx="10">
                  <c:v>725</c:v>
                </c:pt>
              </c:numCache>
            </c:numRef>
          </c:val>
        </c:ser>
        <c:ser>
          <c:idx val="3"/>
          <c:order val="2"/>
          <c:tx>
            <c:strRef>
              <c:f>'NFI Distribution (by Tship)'!$D$59</c:f>
              <c:strCache>
                <c:ptCount val="1"/>
                <c:pt idx="0">
                  <c:v> Tarpaulin</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Tship)'!$D$60:$D$71</c15:sqref>
                  </c15:fullRef>
                </c:ext>
              </c:extLst>
              <c:f>'NFI Distribution (by Tship)'!$D$60:$D$70</c:f>
              <c:numCache>
                <c:formatCode>0</c:formatCode>
                <c:ptCount val="11"/>
                <c:pt idx="0">
                  <c:v>0</c:v>
                </c:pt>
                <c:pt idx="1">
                  <c:v>0</c:v>
                </c:pt>
                <c:pt idx="2">
                  <c:v>0</c:v>
                </c:pt>
                <c:pt idx="3">
                  <c:v>0</c:v>
                </c:pt>
                <c:pt idx="4">
                  <c:v>354</c:v>
                </c:pt>
                <c:pt idx="5">
                  <c:v>0</c:v>
                </c:pt>
                <c:pt idx="6">
                  <c:v>0</c:v>
                </c:pt>
                <c:pt idx="7">
                  <c:v>0</c:v>
                </c:pt>
                <c:pt idx="8">
                  <c:v>0</c:v>
                </c:pt>
                <c:pt idx="9">
                  <c:v>0</c:v>
                </c:pt>
                <c:pt idx="10">
                  <c:v>0</c:v>
                </c:pt>
              </c:numCache>
            </c:numRef>
          </c:val>
        </c:ser>
        <c:ser>
          <c:idx val="4"/>
          <c:order val="3"/>
          <c:tx>
            <c:strRef>
              <c:f>'NFI Distribution (by Tship)'!$E$59</c:f>
              <c:strCache>
                <c:ptCount val="1"/>
                <c:pt idx="0">
                  <c:v> Blanket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Tship)'!$E$60:$E$71</c15:sqref>
                  </c15:fullRef>
                </c:ext>
              </c:extLst>
              <c:f>'NFI Distribution (by Tship)'!$E$60:$E$70</c:f>
              <c:numCache>
                <c:formatCode>0</c:formatCode>
                <c:ptCount val="11"/>
                <c:pt idx="0">
                  <c:v>0</c:v>
                </c:pt>
                <c:pt idx="1">
                  <c:v>965.5</c:v>
                </c:pt>
                <c:pt idx="2">
                  <c:v>351.5</c:v>
                </c:pt>
                <c:pt idx="3">
                  <c:v>0</c:v>
                </c:pt>
                <c:pt idx="4">
                  <c:v>3327.5</c:v>
                </c:pt>
                <c:pt idx="5">
                  <c:v>0</c:v>
                </c:pt>
                <c:pt idx="6">
                  <c:v>0</c:v>
                </c:pt>
                <c:pt idx="7">
                  <c:v>0</c:v>
                </c:pt>
                <c:pt idx="8">
                  <c:v>0</c:v>
                </c:pt>
                <c:pt idx="9">
                  <c:v>0</c:v>
                </c:pt>
                <c:pt idx="10">
                  <c:v>725</c:v>
                </c:pt>
              </c:numCache>
            </c:numRef>
          </c:val>
        </c:ser>
        <c:ser>
          <c:idx val="5"/>
          <c:order val="4"/>
          <c:tx>
            <c:strRef>
              <c:f>'NFI Distribution (by Tship)'!$F$59</c:f>
              <c:strCache>
                <c:ptCount val="1"/>
                <c:pt idx="0">
                  <c:v> Kitchen Set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Tship)'!$F$60:$F$71</c15:sqref>
                  </c15:fullRef>
                </c:ext>
              </c:extLst>
              <c:f>'NFI Distribution (by Tship)'!$F$60:$F$70</c:f>
              <c:numCache>
                <c:formatCode>0</c:formatCode>
                <c:ptCount val="11"/>
                <c:pt idx="0">
                  <c:v>0</c:v>
                </c:pt>
                <c:pt idx="1">
                  <c:v>0</c:v>
                </c:pt>
                <c:pt idx="2">
                  <c:v>0</c:v>
                </c:pt>
                <c:pt idx="3">
                  <c:v>0</c:v>
                </c:pt>
                <c:pt idx="4">
                  <c:v>1287</c:v>
                </c:pt>
                <c:pt idx="5">
                  <c:v>2084</c:v>
                </c:pt>
                <c:pt idx="6">
                  <c:v>0</c:v>
                </c:pt>
                <c:pt idx="7">
                  <c:v>0</c:v>
                </c:pt>
                <c:pt idx="8">
                  <c:v>0</c:v>
                </c:pt>
                <c:pt idx="9">
                  <c:v>0</c:v>
                </c:pt>
                <c:pt idx="10">
                  <c:v>0</c:v>
                </c:pt>
              </c:numCache>
            </c:numRef>
          </c:val>
        </c:ser>
        <c:ser>
          <c:idx val="6"/>
          <c:order val="5"/>
          <c:tx>
            <c:strRef>
              <c:f>'NFI Distribution (by Tship)'!$G$59</c:f>
              <c:strCache>
                <c:ptCount val="1"/>
                <c:pt idx="0">
                  <c:v> Complementary Kit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Tship)'!$G$60:$G$71</c15:sqref>
                  </c15:fullRef>
                </c:ext>
              </c:extLst>
              <c:f>'NFI Distribution (by Tship)'!$G$60:$G$70</c:f>
              <c:numCache>
                <c:formatCode>0</c:formatCode>
                <c:ptCount val="11"/>
                <c:pt idx="0">
                  <c:v>0</c:v>
                </c:pt>
                <c:pt idx="1">
                  <c:v>0</c:v>
                </c:pt>
                <c:pt idx="2">
                  <c:v>195</c:v>
                </c:pt>
                <c:pt idx="3">
                  <c:v>6</c:v>
                </c:pt>
                <c:pt idx="4">
                  <c:v>0</c:v>
                </c:pt>
                <c:pt idx="5">
                  <c:v>0</c:v>
                </c:pt>
                <c:pt idx="6">
                  <c:v>0</c:v>
                </c:pt>
                <c:pt idx="7">
                  <c:v>0</c:v>
                </c:pt>
                <c:pt idx="8">
                  <c:v>0</c:v>
                </c:pt>
                <c:pt idx="9">
                  <c:v>0</c:v>
                </c:pt>
                <c:pt idx="10">
                  <c:v>0</c:v>
                </c:pt>
              </c:numCache>
            </c:numRef>
          </c:val>
        </c:ser>
        <c:ser>
          <c:idx val="7"/>
          <c:order val="6"/>
          <c:tx>
            <c:strRef>
              <c:f>'NFI Distribution (by Tship)'!$H$59</c:f>
              <c:strCache>
                <c:ptCount val="1"/>
                <c:pt idx="0">
                  <c:v> Plastic Bucket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Tship)'!$H$60:$H$71</c15:sqref>
                  </c15:fullRef>
                </c:ext>
              </c:extLst>
              <c:f>'NFI Distribution (by Tship)'!$H$60:$H$70</c:f>
              <c:numCache>
                <c:formatCode>0</c:formatCode>
                <c:ptCount val="11"/>
                <c:pt idx="0">
                  <c:v>635</c:v>
                </c:pt>
                <c:pt idx="1">
                  <c:v>3276</c:v>
                </c:pt>
                <c:pt idx="2">
                  <c:v>0</c:v>
                </c:pt>
                <c:pt idx="3">
                  <c:v>104</c:v>
                </c:pt>
                <c:pt idx="4">
                  <c:v>0</c:v>
                </c:pt>
                <c:pt idx="5">
                  <c:v>0</c:v>
                </c:pt>
                <c:pt idx="6">
                  <c:v>0</c:v>
                </c:pt>
                <c:pt idx="7">
                  <c:v>0</c:v>
                </c:pt>
                <c:pt idx="8">
                  <c:v>0</c:v>
                </c:pt>
                <c:pt idx="9">
                  <c:v>0</c:v>
                </c:pt>
                <c:pt idx="10">
                  <c:v>1450</c:v>
                </c:pt>
              </c:numCache>
            </c:numRef>
          </c:val>
        </c:ser>
        <c:ser>
          <c:idx val="8"/>
          <c:order val="7"/>
          <c:tx>
            <c:strRef>
              <c:f>'NFI Distribution (by Tship)'!$I$59</c:f>
              <c:strCache>
                <c:ptCount val="1"/>
                <c:pt idx="0">
                  <c:v> Jerry Can</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Tship)'!$I$60:$I$71</c15:sqref>
                  </c15:fullRef>
                </c:ext>
              </c:extLst>
              <c:f>'NFI Distribution (by Tship)'!$I$60:$I$70</c:f>
              <c:numCache>
                <c:formatCode>0</c:formatCode>
                <c:ptCount val="11"/>
                <c:pt idx="0">
                  <c:v>0</c:v>
                </c:pt>
                <c:pt idx="1">
                  <c:v>3276</c:v>
                </c:pt>
                <c:pt idx="2">
                  <c:v>0</c:v>
                </c:pt>
                <c:pt idx="3">
                  <c:v>125</c:v>
                </c:pt>
                <c:pt idx="4">
                  <c:v>91</c:v>
                </c:pt>
                <c:pt idx="5">
                  <c:v>985</c:v>
                </c:pt>
                <c:pt idx="6">
                  <c:v>0</c:v>
                </c:pt>
                <c:pt idx="7">
                  <c:v>0</c:v>
                </c:pt>
                <c:pt idx="8">
                  <c:v>0</c:v>
                </c:pt>
                <c:pt idx="9">
                  <c:v>0</c:v>
                </c:pt>
                <c:pt idx="10">
                  <c:v>2900</c:v>
                </c:pt>
              </c:numCache>
            </c:numRef>
          </c:val>
        </c:ser>
        <c:ser>
          <c:idx val="9"/>
          <c:order val="8"/>
          <c:tx>
            <c:strRef>
              <c:f>'NFI Distribution (by Tship)'!$J$59</c:f>
              <c:strCache>
                <c:ptCount val="1"/>
                <c:pt idx="0">
                  <c:v> Plastic  Mat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Tship)'!$J$60:$J$71</c15:sqref>
                  </c15:fullRef>
                </c:ext>
              </c:extLst>
              <c:f>'NFI Distribution (by Tship)'!$J$60:$J$70</c:f>
              <c:numCache>
                <c:formatCode>0</c:formatCode>
                <c:ptCount val="11"/>
                <c:pt idx="0">
                  <c:v>0</c:v>
                </c:pt>
                <c:pt idx="1">
                  <c:v>655.20000000000005</c:v>
                </c:pt>
                <c:pt idx="2">
                  <c:v>0</c:v>
                </c:pt>
                <c:pt idx="3">
                  <c:v>0</c:v>
                </c:pt>
                <c:pt idx="4">
                  <c:v>2842.8</c:v>
                </c:pt>
                <c:pt idx="5">
                  <c:v>0</c:v>
                </c:pt>
                <c:pt idx="6">
                  <c:v>0</c:v>
                </c:pt>
                <c:pt idx="7">
                  <c:v>0</c:v>
                </c:pt>
                <c:pt idx="8">
                  <c:v>0</c:v>
                </c:pt>
                <c:pt idx="9">
                  <c:v>0</c:v>
                </c:pt>
                <c:pt idx="10">
                  <c:v>0</c:v>
                </c:pt>
              </c:numCache>
            </c:numRef>
          </c:val>
        </c:ser>
        <c:ser>
          <c:idx val="10"/>
          <c:order val="9"/>
          <c:tx>
            <c:strRef>
              <c:f>'NFI Distribution (by Tship)'!$K$59</c:f>
              <c:strCache>
                <c:ptCount val="1"/>
                <c:pt idx="0">
                  <c:v>Adult Clothes</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Tship)'!$K$60:$K$71</c15:sqref>
                  </c15:fullRef>
                </c:ext>
              </c:extLst>
              <c:f>'NFI Distribution (by Tship)'!$K$60:$K$70</c:f>
              <c:numCache>
                <c:formatCode>0</c:formatCode>
                <c:ptCount val="11"/>
                <c:pt idx="0">
                  <c:v>0</c:v>
                </c:pt>
                <c:pt idx="1">
                  <c:v>0</c:v>
                </c:pt>
                <c:pt idx="2">
                  <c:v>628</c:v>
                </c:pt>
                <c:pt idx="3">
                  <c:v>0</c:v>
                </c:pt>
                <c:pt idx="4">
                  <c:v>0</c:v>
                </c:pt>
                <c:pt idx="5">
                  <c:v>0</c:v>
                </c:pt>
                <c:pt idx="6">
                  <c:v>0</c:v>
                </c:pt>
                <c:pt idx="7">
                  <c:v>0</c:v>
                </c:pt>
                <c:pt idx="8">
                  <c:v>0</c:v>
                </c:pt>
                <c:pt idx="9">
                  <c:v>7050</c:v>
                </c:pt>
                <c:pt idx="10">
                  <c:v>2175</c:v>
                </c:pt>
              </c:numCache>
            </c:numRef>
          </c:val>
        </c:ser>
        <c:ser>
          <c:idx val="11"/>
          <c:order val="10"/>
          <c:tx>
            <c:strRef>
              <c:f>'NFI Distribution (by Tship)'!$L$59</c:f>
              <c:strCache>
                <c:ptCount val="1"/>
                <c:pt idx="0">
                  <c:v>Children Clothes</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Tship)'!$L$60:$L$71</c15:sqref>
                  </c15:fullRef>
                </c:ext>
              </c:extLst>
              <c:f>'NFI Distribution (by Tship)'!$L$60:$L$70</c:f>
              <c:numCache>
                <c:formatCode>0</c:formatCode>
                <c:ptCount val="11"/>
                <c:pt idx="0">
                  <c:v>0</c:v>
                </c:pt>
                <c:pt idx="1">
                  <c:v>0</c:v>
                </c:pt>
                <c:pt idx="2">
                  <c:v>0</c:v>
                </c:pt>
                <c:pt idx="3">
                  <c:v>0</c:v>
                </c:pt>
                <c:pt idx="4">
                  <c:v>0</c:v>
                </c:pt>
                <c:pt idx="5">
                  <c:v>0</c:v>
                </c:pt>
                <c:pt idx="6">
                  <c:v>0</c:v>
                </c:pt>
                <c:pt idx="7">
                  <c:v>0</c:v>
                </c:pt>
                <c:pt idx="8">
                  <c:v>2009</c:v>
                </c:pt>
                <c:pt idx="9">
                  <c:v>3629</c:v>
                </c:pt>
                <c:pt idx="10">
                  <c:v>725</c:v>
                </c:pt>
              </c:numCache>
            </c:numRef>
          </c:val>
        </c:ser>
        <c:ser>
          <c:idx val="12"/>
          <c:order val="11"/>
          <c:tx>
            <c:strRef>
              <c:f>'NFI Distribution (by Tship)'!$M$59</c:f>
              <c:strCache>
                <c:ptCount val="1"/>
                <c:pt idx="0">
                  <c:v>Sewing Kit</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Tship)'!$M$60:$M$71</c15:sqref>
                  </c15:fullRef>
                </c:ext>
              </c:extLst>
              <c:f>'NFI Distribution (by Tship)'!$M$60:$M$70</c:f>
              <c:numCache>
                <c:formatCode>General</c:formatCode>
                <c:ptCount val="11"/>
                <c:pt idx="0">
                  <c:v>0</c:v>
                </c:pt>
                <c:pt idx="1">
                  <c:v>0</c:v>
                </c:pt>
                <c:pt idx="2">
                  <c:v>628</c:v>
                </c:pt>
                <c:pt idx="3">
                  <c:v>0</c:v>
                </c:pt>
                <c:pt idx="4">
                  <c:v>0</c:v>
                </c:pt>
                <c:pt idx="5">
                  <c:v>0</c:v>
                </c:pt>
                <c:pt idx="6">
                  <c:v>0</c:v>
                </c:pt>
                <c:pt idx="7">
                  <c:v>0</c:v>
                </c:pt>
                <c:pt idx="8">
                  <c:v>0</c:v>
                </c:pt>
                <c:pt idx="9">
                  <c:v>0</c:v>
                </c:pt>
                <c:pt idx="10">
                  <c:v>0</c:v>
                </c:pt>
              </c:numCache>
            </c:numRef>
          </c:val>
        </c:ser>
        <c:ser>
          <c:idx val="0"/>
          <c:order val="12"/>
          <c:tx>
            <c:strRef>
              <c:f>'NFI Distribution (by Tship)'!$N$59</c:f>
              <c:strCache>
                <c:ptCount val="1"/>
                <c:pt idx="0">
                  <c:v>Solar Lantern</c:v>
                </c:pt>
              </c:strCache>
            </c:strRef>
          </c:tx>
          <c:invertIfNegative val="0"/>
          <c:cat>
            <c:strRef>
              <c:extLst>
                <c:ext xmlns:c15="http://schemas.microsoft.com/office/drawing/2012/chart" uri="{02D57815-91ED-43cb-92C2-25804820EDAC}">
                  <c15:fullRef>
                    <c15:sqref>'NFI Distribution (by Tship)'!$A$60:$A$71</c15:sqref>
                  </c15:fullRef>
                </c:ext>
              </c:extLst>
              <c:f>'NFI Distribution (by Tship)'!$A$60:$A$70</c:f>
              <c:strCache>
                <c:ptCount val="11"/>
                <c:pt idx="0">
                  <c:v>CDN</c:v>
                </c:pt>
                <c:pt idx="1">
                  <c:v>NRC</c:v>
                </c:pt>
                <c:pt idx="2">
                  <c:v>RI</c:v>
                </c:pt>
                <c:pt idx="3">
                  <c:v>SCI</c:v>
                </c:pt>
                <c:pt idx="4">
                  <c:v>UNHCR</c:v>
                </c:pt>
                <c:pt idx="5">
                  <c:v>SI</c:v>
                </c:pt>
                <c:pt idx="6">
                  <c:v>Gov</c:v>
                </c:pt>
                <c:pt idx="7">
                  <c:v>MHAA</c:v>
                </c:pt>
                <c:pt idx="8">
                  <c:v>MAUK</c:v>
                </c:pt>
                <c:pt idx="9">
                  <c:v>UNIQLO</c:v>
                </c:pt>
                <c:pt idx="10">
                  <c:v>MRF</c:v>
                </c:pt>
              </c:strCache>
            </c:strRef>
          </c:cat>
          <c:val>
            <c:numRef>
              <c:extLst>
                <c:ext xmlns:c15="http://schemas.microsoft.com/office/drawing/2012/chart" uri="{02D57815-91ED-43cb-92C2-25804820EDAC}">
                  <c15:fullRef>
                    <c15:sqref>'NFI Distribution (by Tship)'!$N$60:$N$71</c15:sqref>
                  </c15:fullRef>
                </c:ext>
              </c:extLst>
              <c:f>'NFI Distribution (by Tship)'!$N$60:$N$70</c:f>
              <c:numCache>
                <c:formatCode>General</c:formatCode>
                <c:ptCount val="11"/>
                <c:pt idx="0">
                  <c:v>0</c:v>
                </c:pt>
                <c:pt idx="1">
                  <c:v>0</c:v>
                </c:pt>
                <c:pt idx="2">
                  <c:v>0</c:v>
                </c:pt>
                <c:pt idx="3">
                  <c:v>0</c:v>
                </c:pt>
                <c:pt idx="4">
                  <c:v>389</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440946600"/>
        <c:axId val="440946992"/>
        <c:extLst/>
      </c:barChart>
      <c:catAx>
        <c:axId val="440946600"/>
        <c:scaling>
          <c:orientation val="minMax"/>
        </c:scaling>
        <c:delete val="0"/>
        <c:axPos val="b"/>
        <c:numFmt formatCode="General" sourceLinked="0"/>
        <c:majorTickMark val="out"/>
        <c:minorTickMark val="none"/>
        <c:tickLblPos val="nextTo"/>
        <c:crossAx val="440946992"/>
        <c:crosses val="autoZero"/>
        <c:auto val="1"/>
        <c:lblAlgn val="ctr"/>
        <c:lblOffset val="100"/>
        <c:noMultiLvlLbl val="0"/>
      </c:catAx>
      <c:valAx>
        <c:axId val="440946992"/>
        <c:scaling>
          <c:orientation val="minMax"/>
        </c:scaling>
        <c:delete val="0"/>
        <c:axPos val="l"/>
        <c:majorGridlines/>
        <c:numFmt formatCode="0" sourceLinked="1"/>
        <c:majorTickMark val="out"/>
        <c:minorTickMark val="none"/>
        <c:tickLblPos val="nextTo"/>
        <c:crossAx val="440946600"/>
        <c:crosses val="autoZero"/>
        <c:crossBetween val="between"/>
      </c:valAx>
    </c:plotArea>
    <c:legend>
      <c:legendPos val="r"/>
      <c:layout>
        <c:manualLayout>
          <c:xMode val="edge"/>
          <c:yMode val="edge"/>
          <c:x val="0.8606888635745622"/>
          <c:y val="0"/>
          <c:w val="0.13931113642543783"/>
          <c:h val="1"/>
        </c:manualLayout>
      </c:layout>
      <c:overlay val="0"/>
      <c:txPr>
        <a:bodyPr/>
        <a:lstStyle/>
        <a:p>
          <a:pPr>
            <a:defRPr sz="1000"/>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811790</xdr:colOff>
      <xdr:row>0</xdr:row>
      <xdr:rowOff>429236</xdr:rowOff>
    </xdr:from>
    <xdr:to>
      <xdr:col>5</xdr:col>
      <xdr:colOff>465425</xdr:colOff>
      <xdr:row>1</xdr:row>
      <xdr:rowOff>305664</xdr:rowOff>
    </xdr:to>
    <xdr:pic>
      <xdr:nvPicPr>
        <xdr:cNvPr id="10" name="Picture 9"/>
        <xdr:cNvPicPr>
          <a:picLocks noChangeAspect="1"/>
        </xdr:cNvPicPr>
      </xdr:nvPicPr>
      <xdr:blipFill>
        <a:blip xmlns:r="http://schemas.openxmlformats.org/officeDocument/2006/relationships" r:embed="rId1"/>
        <a:stretch>
          <a:fillRect/>
        </a:stretch>
      </xdr:blipFill>
      <xdr:spPr>
        <a:xfrm>
          <a:off x="3766705" y="429236"/>
          <a:ext cx="1915822" cy="309383"/>
        </a:xfrm>
        <a:prstGeom prst="rect">
          <a:avLst/>
        </a:prstGeom>
      </xdr:spPr>
    </xdr:pic>
    <xdr:clientData/>
  </xdr:twoCellAnchor>
  <xdr:twoCellAnchor>
    <xdr:from>
      <xdr:col>3</xdr:col>
      <xdr:colOff>33555</xdr:colOff>
      <xdr:row>0</xdr:row>
      <xdr:rowOff>0</xdr:rowOff>
    </xdr:from>
    <xdr:to>
      <xdr:col>4</xdr:col>
      <xdr:colOff>612999</xdr:colOff>
      <xdr:row>0</xdr:row>
      <xdr:rowOff>360000</xdr:rowOff>
    </xdr:to>
    <xdr:sp macro="" textlink="">
      <xdr:nvSpPr>
        <xdr:cNvPr id="28" name="Rounded Rectangle 27">
          <a:hlinkClick xmlns:r="http://schemas.openxmlformats.org/officeDocument/2006/relationships" r:id="rId2"/>
        </xdr:cNvPr>
        <xdr:cNvSpPr/>
      </xdr:nvSpPr>
      <xdr:spPr>
        <a:xfrm>
          <a:off x="2988470"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2</xdr:col>
      <xdr:colOff>487074</xdr:colOff>
      <xdr:row>0</xdr:row>
      <xdr:rowOff>360000</xdr:rowOff>
    </xdr:to>
    <xdr:sp macro="" textlink="">
      <xdr:nvSpPr>
        <xdr:cNvPr id="29" name="Rounded Rectangle 28">
          <a:hlinkClick xmlns:r="http://schemas.openxmlformats.org/officeDocument/2006/relationships" r:id="rId3"/>
        </xdr:cNvPr>
        <xdr:cNvSpPr/>
      </xdr:nvSpPr>
      <xdr:spPr>
        <a:xfrm>
          <a:off x="0" y="0"/>
          <a:ext cx="25436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xdr:col>
      <xdr:colOff>616961</xdr:colOff>
      <xdr:row>0</xdr:row>
      <xdr:rowOff>0</xdr:rowOff>
    </xdr:from>
    <xdr:to>
      <xdr:col>7</xdr:col>
      <xdr:colOff>550273</xdr:colOff>
      <xdr:row>0</xdr:row>
      <xdr:rowOff>360000</xdr:rowOff>
    </xdr:to>
    <xdr:sp macro="" textlink="">
      <xdr:nvSpPr>
        <xdr:cNvPr id="30" name="Rounded Rectangle 29">
          <a:hlinkClick xmlns:r="http://schemas.openxmlformats.org/officeDocument/2006/relationships" r:id="rId4"/>
        </xdr:cNvPr>
        <xdr:cNvSpPr/>
      </xdr:nvSpPr>
      <xdr:spPr>
        <a:xfrm>
          <a:off x="7187046" y="0"/>
          <a:ext cx="1080642"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146122</xdr:colOff>
      <xdr:row>0</xdr:row>
      <xdr:rowOff>0</xdr:rowOff>
    </xdr:from>
    <xdr:to>
      <xdr:col>5</xdr:col>
      <xdr:colOff>1168978</xdr:colOff>
      <xdr:row>0</xdr:row>
      <xdr:rowOff>360000</xdr:rowOff>
    </xdr:to>
    <xdr:sp macro="" textlink="">
      <xdr:nvSpPr>
        <xdr:cNvPr id="31" name="Rounded Rectangle 30">
          <a:hlinkClick xmlns:r="http://schemas.openxmlformats.org/officeDocument/2006/relationships" r:id="rId5"/>
        </xdr:cNvPr>
        <xdr:cNvSpPr/>
      </xdr:nvSpPr>
      <xdr:spPr>
        <a:xfrm>
          <a:off x="5363224" y="0"/>
          <a:ext cx="1022856"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8</xdr:col>
      <xdr:colOff>701385</xdr:colOff>
      <xdr:row>0</xdr:row>
      <xdr:rowOff>11906</xdr:rowOff>
    </xdr:from>
    <xdr:to>
      <xdr:col>9</xdr:col>
      <xdr:colOff>606136</xdr:colOff>
      <xdr:row>0</xdr:row>
      <xdr:rowOff>371906</xdr:rowOff>
    </xdr:to>
    <xdr:sp macro="" textlink="">
      <xdr:nvSpPr>
        <xdr:cNvPr id="32" name="Rounded Rectangle 31">
          <a:hlinkClick xmlns:r="http://schemas.openxmlformats.org/officeDocument/2006/relationships" r:id="rId6"/>
        </xdr:cNvPr>
        <xdr:cNvSpPr/>
      </xdr:nvSpPr>
      <xdr:spPr>
        <a:xfrm>
          <a:off x="9880021" y="11906"/>
          <a:ext cx="125773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276442</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6414"/>
          <a:ext cx="10760050" cy="989554"/>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120,699</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6682" y="630401"/>
          <a:ext cx="3171046" cy="442552"/>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25,000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120,699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2656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16034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94884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120,699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2909672" y="586443"/>
          <a:ext cx="5388285"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76540</xdr:colOff>
      <xdr:row>7</xdr:row>
      <xdr:rowOff>154782</xdr:rowOff>
    </xdr:from>
    <xdr:to>
      <xdr:col>16</xdr:col>
      <xdr:colOff>738186</xdr:colOff>
      <xdr:row>32</xdr:row>
      <xdr:rowOff>97633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0851226"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120,699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47,606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7196978" y="507066"/>
          <a:ext cx="4658846" cy="525743"/>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26</xdr:col>
      <xdr:colOff>508000</xdr:colOff>
      <xdr:row>1</xdr:row>
      <xdr:rowOff>873125</xdr:rowOff>
    </xdr:to>
    <xdr:grpSp>
      <xdr:nvGrpSpPr>
        <xdr:cNvPr id="10" name="Group 9"/>
        <xdr:cNvGrpSpPr/>
      </xdr:nvGrpSpPr>
      <xdr:grpSpPr>
        <a:xfrm>
          <a:off x="5676900" y="679450"/>
          <a:ext cx="8013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17</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18</xdr:col>
      <xdr:colOff>164988</xdr:colOff>
      <xdr:row>0</xdr:row>
      <xdr:rowOff>0</xdr:rowOff>
    </xdr:from>
    <xdr:to>
      <xdr:col>20</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1120</xdr:colOff>
      <xdr:row>3</xdr:row>
      <xdr:rowOff>44823</xdr:rowOff>
    </xdr:from>
    <xdr:to>
      <xdr:col>25</xdr:col>
      <xdr:colOff>705410</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6890326" y="452438"/>
          <a:ext cx="3102519"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3972</xdr:colOff>
      <xdr:row>22</xdr:row>
      <xdr:rowOff>130968</xdr:rowOff>
    </xdr:from>
    <xdr:to>
      <xdr:col>7</xdr:col>
      <xdr:colOff>190500</xdr:colOff>
      <xdr:row>36</xdr:row>
      <xdr:rowOff>480218</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36063"/>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7</xdr:col>
      <xdr:colOff>273845</xdr:colOff>
      <xdr:row>22</xdr:row>
      <xdr:rowOff>11907</xdr:rowOff>
    </xdr:from>
    <xdr:to>
      <xdr:col>19</xdr:col>
      <xdr:colOff>130969</xdr:colOff>
      <xdr:row>36</xdr:row>
      <xdr:rowOff>631031</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23</xdr:col>
      <xdr:colOff>515471</xdr:colOff>
      <xdr:row>1</xdr:row>
      <xdr:rowOff>181988</xdr:rowOff>
    </xdr:from>
    <xdr:to>
      <xdr:col>28</xdr:col>
      <xdr:colOff>638735</xdr:colOff>
      <xdr:row>2</xdr:row>
      <xdr:rowOff>321232</xdr:rowOff>
    </xdr:to>
    <xdr:grpSp>
      <xdr:nvGrpSpPr>
        <xdr:cNvPr id="2" name="Group 1"/>
        <xdr:cNvGrpSpPr/>
      </xdr:nvGrpSpPr>
      <xdr:grpSpPr>
        <a:xfrm>
          <a:off x="19408589" y="641429"/>
          <a:ext cx="4403911"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15</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in Moe Htwe" refreshedDate="42907.508093518518" createdVersion="4" refreshedVersion="5" minRefreshableVersion="3" recordCount="599">
  <cacheSource type="worksheet">
    <worksheetSource name="Data_NFI_t"/>
  </cacheSource>
  <cacheFields count="43">
    <cacheField name="Months" numFmtId="1">
      <sharedItems containsBlank="1" containsMixedTypes="1" containsNumber="1" minValue="-2.4333333333333331" maxValue="58.966666666666669" count="1489">
        <n v="-0.83333333333333337"/>
        <n v="-0.8"/>
        <n v="-0.7"/>
        <n v="-0.73333333333333328"/>
        <n v="-0.46666666666666667"/>
        <n v="-0.33333333333333331"/>
        <n v="-0.13333333333333333"/>
        <n v="0.16666666666666666"/>
        <n v="0.2"/>
        <n v="0.66666666666666663"/>
        <n v="0.7"/>
        <n v="0.8"/>
        <n v="0.83333333333333337"/>
        <n v="0.8666666666666667"/>
        <n v="0.9"/>
        <n v="0.93333333333333335"/>
        <n v="1.1333333333333333"/>
        <n v="1.4666666666666666"/>
        <n v="1.5"/>
        <n v="1.5333333333333334"/>
        <n v="1.6"/>
        <n v="1.7333333333333334"/>
        <n v="1.8666666666666667"/>
        <n v="2.1"/>
        <n v="2.8"/>
        <n v="3"/>
        <n v="3.2666666666666666"/>
        <n v="3.4"/>
        <n v="3.4333333333333331"/>
        <n v="3.5"/>
        <n v="3.9"/>
        <n v="4.1333333333333337"/>
        <n v="4.2"/>
        <n v="4.3"/>
        <n v="4.7666666666666666"/>
        <n v="5.0999999999999996"/>
        <n v="5.2333333333333334"/>
        <n v="5.5333333333333332"/>
        <n v="5.7333333333333334"/>
        <n v="5.8"/>
        <n v="7.2"/>
        <n v="8.9666666666666668"/>
        <n v="10.466666666666667"/>
        <n v="10.5"/>
        <n v="11.2"/>
        <n v="12"/>
        <n v="15.066666666666666"/>
        <n v="15.266666666666667"/>
        <n v="15.333333333333334"/>
        <n v="15.5"/>
        <n v="16.966666666666665"/>
        <n v="17.5"/>
        <n v="17.633333333333333"/>
        <n v="17.666666666666668"/>
        <n v="18.166666666666668"/>
        <n v="18.399999999999999"/>
        <n v="19.033333333333335"/>
        <n v="19.733333333333334"/>
        <n v="20.933333333333334"/>
        <n v="21.066666666666666"/>
        <n v="21.566666666666666"/>
        <n v="21.6"/>
        <n v="22.066666666666666"/>
        <n v="22.5"/>
        <n v="22.533333333333335"/>
        <n v="22.566666666666666"/>
        <n v="22.6"/>
        <n v="22.866666666666667"/>
        <n v="23"/>
        <n v="23.033333333333335"/>
        <n v="23.733333333333334"/>
        <n v="24"/>
        <n v="24.166666666666668"/>
        <n v="24.2"/>
        <n v="24.233333333333334"/>
        <n v="24.5"/>
        <n v="25.933333333333334"/>
        <n v="26.266666666666666"/>
        <n v="26.4"/>
        <n v="26.7"/>
        <n v="27.333333333333332"/>
        <n v="27.433333333333334"/>
        <n v="27.7"/>
        <n v="28.2"/>
        <n v="28.366666666666667"/>
        <n v="28.666666666666668"/>
        <n v="28.833333333333332"/>
        <n v="28.866666666666667"/>
        <n v="28.966666666666665"/>
        <n v="31.866666666666667"/>
        <n v="31.9"/>
        <n v="31.933333333333334"/>
        <n v="32.56666666666667"/>
        <n v="32.633333333333333"/>
        <n v="33.033333333333331"/>
        <n v="33.466666666666669"/>
        <n v="33.833333333333336"/>
        <n v="35.06666666666667"/>
        <n v="35.266666666666666"/>
        <n v="37.533333333333331"/>
        <n v="38.56666666666667"/>
        <n v="39.533333333333331"/>
        <n v="40.033333333333331"/>
        <n v="40.06666666666667"/>
        <n v="40.366666666666667"/>
        <n v="40.5"/>
        <n v="40.56666666666667"/>
        <n v="41.166666666666664"/>
        <n v="41.2"/>
        <n v="41.43333333333333"/>
        <n v="41.966666666666669"/>
        <n v="42.133333333333333"/>
        <n v="42.166666666666664"/>
        <n v="42.2"/>
        <n v="42.6"/>
        <n v="42.7"/>
        <n v="42.9"/>
        <n v="43.033333333333331"/>
        <n v="43.06666666666667"/>
        <n v="44"/>
        <n v="44.033333333333331"/>
        <n v="44.233333333333334"/>
        <n v="44.766666666666666"/>
        <n v="45.233333333333334"/>
        <n v="45.4"/>
        <n v="46.366666666666667"/>
        <n v="46.4"/>
        <n v="46.5"/>
        <n v="46.666666666666664"/>
        <n v="46.833333333333336"/>
        <n v="47.766666666666666"/>
        <n v="47.8"/>
        <n v="47.833333333333336"/>
        <n v="47.966666666666669"/>
        <n v="48"/>
        <n v="48.733333333333334"/>
        <n v="48.766666666666666"/>
        <n v="48.866666666666667"/>
        <n v="48.93333333333333"/>
        <n v="49.333333333333336"/>
        <n v="49.4"/>
        <n v="49.43333333333333"/>
        <n v="49.56666666666667"/>
        <n v="49.6"/>
        <n v="49.633333333333333"/>
        <n v="49.666666666666664"/>
        <n v="50.3"/>
        <n v="50.6"/>
        <n v="50.666666666666664"/>
        <n v="50.733333333333334"/>
        <n v="50.8"/>
        <n v="50.966666666666669"/>
        <n v="51"/>
        <n v="51.2"/>
        <n v="51.233333333333334"/>
        <n v="51.43333333333333"/>
        <n v="51.666666666666664"/>
        <n v="51.733333333333334"/>
        <n v="51.93333333333333"/>
        <n v="52.033333333333331"/>
        <n v="52.133333333333333"/>
        <n v="52.166666666666664"/>
        <n v="52.4"/>
        <n v="52.43333333333333"/>
        <n v="52.5"/>
        <n v="52.7"/>
        <n v="52.966666666666669"/>
        <n v="53"/>
        <n v="53.166666666666664"/>
        <n v="53.2"/>
        <n v="53.233333333333334"/>
        <n v="53.266666666666666"/>
        <n v="53.3"/>
        <n v="53.333333333333336"/>
        <n v="53.366666666666667"/>
        <n v="53.43333333333333"/>
        <n v="53.6"/>
        <n v="53.666666666666664"/>
        <n v="53.766666666666666"/>
        <n v="54.06666666666667"/>
        <n v="54.133333333333333"/>
        <n v="54.666666666666664"/>
        <n v="54.7"/>
        <n v="54.733333333333334"/>
        <n v="54.766666666666666"/>
        <n v="55.56666666666667"/>
        <n v="55.6"/>
        <n v="56.56666666666667"/>
        <n v="56.633333333333333"/>
        <n v="56.766666666666666"/>
        <n v="57"/>
        <n v="57.06666666666667"/>
        <n v="57.666666666666664"/>
        <n v="57.866666666666667"/>
        <n v="57.9"/>
        <n v="58.166666666666664"/>
        <n v="58.2"/>
        <n v="58.233333333333334"/>
        <n v="58.266666666666666"/>
        <n v="58.3"/>
        <n v="58.333333333333336"/>
        <n v="58.366666666666667"/>
        <n v="58.466666666666669"/>
        <n v="58.5"/>
        <n v="58.533333333333331"/>
        <n v="58.56666666666667"/>
        <n v="58.633333333333333"/>
        <n v="58.7"/>
        <n v="58.866666666666667"/>
        <n v="58.9"/>
        <n v="58.93333333333333"/>
        <n v="58.966666666666669"/>
        <m/>
        <s v=""/>
        <n v="0" u="1"/>
        <n v="33.766666666666666" u="1"/>
        <n v="9.4333333333333336" u="1"/>
        <n v="24.033333333333335" u="1"/>
        <n v="28.7" u="1"/>
        <n v="34.733333333333334" u="1"/>
        <n v="1.1666666666666667" u="1"/>
        <n v="15.833333333333334" u="1"/>
        <n v="20.333333333333332" u="1"/>
        <n v="25" u="1"/>
        <n v="51.966666666666669" u="1"/>
        <n v="4.5333333333333332" u="1"/>
        <n v="16.633333333333333" u="1"/>
        <n v="21.3" u="1"/>
        <n v="52.93333333333333" u="1"/>
        <n v="44.56666666666667" u="1"/>
        <n v="53.9" u="1"/>
        <n v="9.8000000000000007" u="1"/>
        <n v="12.133333333333333" u="1"/>
        <n v="14.466666666666667" u="1"/>
        <n v="36.200000000000003" u="1"/>
        <n v="45.533333333333331" u="1"/>
        <n v="54.866666666666667" u="1"/>
        <n v="-1.8333333333333333" u="1"/>
        <n v="37.166666666666664" u="1"/>
        <n v="30.4" u="1"/>
        <n v="38.133333333333333" u="1"/>
        <n v="39.1" u="1"/>
        <n v="8.4333333333333336" u="1"/>
        <n v="22.033333333333335" u="1"/>
        <n v="31.366666666666667" u="1"/>
        <n v="1.3333333333333333" u="1"/>
        <n v="18.333333333333332" u="1"/>
        <n v="56.333333333333336" u="1"/>
        <n v="57.3" u="1"/>
        <n v="19.3" u="1"/>
        <n v="49.9" u="1"/>
        <n v="11.133333333333333" u="1"/>
        <n v="13.466666666666667" u="1"/>
        <n v="32.200000000000003" u="1"/>
        <n v="41.533333333333331" u="1"/>
        <n v="50.866666666666667" u="1"/>
        <n v="33.166666666666664" u="1"/>
        <n v="42.5" u="1"/>
        <n v="28.4" u="1"/>
        <n v="34.133333333333333" u="1"/>
        <n v="35.1" u="1"/>
        <n v="20.033333333333335" u="1"/>
        <n v="29.366666666666667" u="1"/>
        <n v="13.833333333333334" u="1"/>
        <n v="21" u="1"/>
        <n v="52.333333333333336" u="1"/>
        <n v="43.966666666666669" u="1"/>
        <n v="3.7666666666666666" u="1"/>
        <n v="17.3" u="1"/>
        <n v="44.93333333333333" u="1"/>
        <n v="54.266666666666666" u="1"/>
        <n v="36.56666666666667" u="1"/>
        <n v="45.9" u="1"/>
        <n v="55.233333333333334" u="1"/>
        <n v="7.9" u="1"/>
        <n v="10.133333333333333" u="1"/>
        <n v="12.466666666666667" u="1"/>
        <n v="30.1" u="1"/>
        <n v="38.5" u="1"/>
        <n v="31.066666666666666" u="1"/>
        <n v="18.033333333333335" u="1"/>
        <n v="22.7" u="1"/>
        <n v="27.366666666666667" u="1"/>
        <n v="12.833333333333334" u="1"/>
        <n v="19" u="1"/>
        <n v="48.333333333333336" u="1"/>
        <n v="39.966666666666669" u="1"/>
        <n v="49.3" u="1"/>
        <n v="2.9333333333333331" u="1"/>
        <n v="-0.3" u="1"/>
        <n v="40.93333333333333" u="1"/>
        <n v="50.266666666666666" u="1"/>
        <n v="41.9" u="1"/>
        <n v="11.466666666666667" u="1"/>
        <n v="28.1" u="1"/>
        <n v="33.533333333333331" u="1"/>
        <n v="-1.1666666666666667" u="1"/>
        <n v="34.5" u="1"/>
        <n v="29.066666666666666" u="1"/>
        <n v="0.46666666666666667" u="1"/>
        <n v="16.033333333333335" u="1"/>
        <n v="20.7" u="1"/>
        <n v="25.366666666666667" u="1"/>
        <n v="11.833333333333334" u="1"/>
        <n v="14.166666666666666" u="1"/>
        <n v="17" u="1"/>
        <n v="44.333333333333336" u="1"/>
        <n v="35.966666666666669" u="1"/>
        <n v="45.3" u="1"/>
        <n v="54.633333333333333" u="1"/>
        <n v="36.93333333333333" u="1"/>
        <n v="46.266666666666666" u="1"/>
        <n v="47.233333333333334" u="1"/>
        <n v="6.9" u="1"/>
        <n v="26.1" u="1"/>
        <n v="30.766666666666666" u="1"/>
        <n v="38.866666666666667" u="1"/>
        <n v="0.13333333333333333" u="1"/>
        <n v="17.733333333333334" u="1"/>
        <n v="22.4" u="1"/>
        <n v="27.066666666666666" u="1"/>
        <n v="18.7" u="1"/>
        <n v="23.366666666666667" u="1"/>
        <n v="48.7" u="1"/>
        <n v="40.333333333333336" u="1"/>
        <n v="41.3" u="1"/>
        <n v="2.4333333333333331" u="1"/>
        <n v="50.633333333333333" u="1"/>
        <n v="3.6" u="1"/>
        <n v="32.93333333333333" u="1"/>
        <n v="42.266666666666666" u="1"/>
        <n v="51.6" u="1"/>
        <n v="33.9" u="1"/>
        <n v="43.233333333333334" u="1"/>
        <n v="6.4" u="1"/>
        <n v="9.4666666666666668" u="1"/>
        <n v="28.766666666666666" u="1"/>
        <n v="34.866666666666667" u="1"/>
        <n v="15.866666666666667" u="1"/>
        <n v="20.399999999999999" u="1"/>
        <n v="25.066666666666666" u="1"/>
        <n v="16.7" u="1"/>
        <n v="21.366666666666667" u="1"/>
        <n v="53.06666666666667" u="1"/>
        <n v="44.7" u="1"/>
        <n v="54.033333333333331" u="1"/>
        <n v="12.166666666666666" u="1"/>
        <n v="14.5" u="1"/>
        <n v="36.333333333333336" u="1"/>
        <n v="45.666666666666664" u="1"/>
        <n v="37.299999999999997" u="1"/>
        <n v="46.633333333333333" u="1"/>
        <n v="2.7666666666666666" u="1"/>
        <n v="30.466666666666665" u="1"/>
        <n v="38.266666666666666" u="1"/>
        <n v="47.6" u="1"/>
        <n v="39.233333333333334" u="1"/>
        <n v="8.4666666666666668" u="1"/>
        <n v="26.766666666666666" u="1"/>
        <n v="31.433333333333334" u="1"/>
        <n v="23.066666666666666" u="1"/>
        <n v="56.466666666666669" u="1"/>
        <n v="0.3" u="1"/>
        <n v="19.366666666666667" u="1"/>
        <n v="49.06666666666667" u="1"/>
        <n v="40.700000000000003" u="1"/>
        <n v="50.033333333333331" u="1"/>
        <n v="11.166666666666666" u="1"/>
        <n v="13.5" u="1"/>
        <n v="32.333333333333336" u="1"/>
        <n v="41.666666666666664" u="1"/>
        <n v="33.299999999999997" u="1"/>
        <n v="1.9666666666666666" u="1"/>
        <n v="42.633333333333333" u="1"/>
        <n v="34.266666666666666" u="1"/>
        <n v="43.6" u="1"/>
        <n v="35.233333333333334" u="1"/>
        <n v="6.5666666666666664" u="1"/>
        <n v="24.766666666666666" u="1"/>
        <n v="29.433333333333334" u="1"/>
        <n v="13.866666666666667" u="1"/>
        <n v="16.399999999999999" u="1"/>
        <n v="52.466666666666669" u="1"/>
        <n v="-2.1" u="1"/>
        <n v="45.06666666666667" u="1"/>
        <n v="36.700000000000003" u="1"/>
        <n v="55.366666666666667" u="1"/>
        <n v="12.5" u="1"/>
        <n v="30.166666666666668" u="1"/>
        <n v="37.666666666666664" u="1"/>
        <n v="47" u="1"/>
        <n v="38.633333333333333" u="1"/>
        <n v="2.2666666666666666" u="1"/>
        <n v="-0.23333333333333334" u="1"/>
        <n v="39.6" u="1"/>
        <n v="4.9000000000000004" u="1"/>
        <n v="18.100000000000001" u="1"/>
        <n v="22.766666666666666" u="1"/>
        <n v="56.833333333333336" u="1"/>
        <n v="12.866666666666667" u="1"/>
        <n v="15.2" u="1"/>
        <n v="48.466666666666669" u="1"/>
        <n v="-2.4333333333333331" u="1"/>
        <n v="-1.6333333333333333" u="1"/>
        <n v="41.06666666666667" u="1"/>
        <n v="50.4" u="1"/>
        <n v="42.033333333333331" u="1"/>
        <n v="-6.6666666666666666E-2" u="1"/>
        <n v="9.1666666666666661" u="1"/>
        <n v="11.5" u="1"/>
        <n v="28.166666666666668" u="1"/>
        <n v="33.666666666666664" u="1"/>
        <n v="43" u="1"/>
        <n v="34.633333333333333" u="1"/>
        <n v="2.6" u="1"/>
        <n v="24.466666666666665" u="1"/>
        <n v="29.133333333333333" u="1"/>
        <n v="35.6" u="1"/>
        <n v="16.100000000000001" u="1"/>
        <n v="20.766666666666666" u="1"/>
        <n v="25.433333333333334" u="1"/>
        <n v="52.833333333333336" u="1"/>
        <n v="11.866666666666667" u="1"/>
        <n v="14.2" u="1"/>
        <n v="17.066666666666666" u="1"/>
        <n v="44.466666666666669" u="1"/>
        <n v="53.8" u="1"/>
        <n v="45.43333333333333" u="1"/>
        <n v="37.06666666666667" u="1"/>
        <n v="55.733333333333334" u="1"/>
        <n v="38.033333333333331" u="1"/>
        <n v="47.366666666666667" u="1"/>
        <n v="8.1666666666666661" u="1"/>
        <n v="26.166666666666668" u="1"/>
        <n v="30.833333333333332" u="1"/>
        <n v="39" u="1"/>
        <n v="22.466666666666665" u="1"/>
        <n v="27.133333333333333" u="1"/>
        <n v="31.8" u="1"/>
        <n v="6.2333333333333334" u="1"/>
        <n v="23.433333333333334" u="1"/>
        <n v="-0.5" u="1"/>
        <n v="57.2" u="1"/>
        <n v="13.2" u="1"/>
        <n v="15.533333333333333" u="1"/>
        <n v="40.466666666666669" u="1"/>
        <n v="49.8" u="1"/>
        <n v="-1.9666666666666666" u="1"/>
        <n v="50.766666666666666" u="1"/>
        <n v="33.06666666666667" u="1"/>
        <n v="42.4" u="1"/>
        <n v="34.033333333333331" u="1"/>
        <n v="43.366666666666667" u="1"/>
        <n v="9.5" u="1"/>
        <n v="35" u="1"/>
        <n v="20.466666666666665" u="1"/>
        <n v="29.8" u="1"/>
        <n v="3.7" u="1"/>
        <n v="16.766666666666666" u="1"/>
        <n v="21.433333333333334" u="1"/>
        <n v="44.833333333333336" u="1"/>
        <n v="54.166666666666664" u="1"/>
        <n v="12.2" u="1"/>
        <n v="14.533333333333333" u="1"/>
        <n v="36.466666666666669" u="1"/>
        <n v="45.8" u="1"/>
        <n v="37.43333333333333" u="1"/>
        <n v="46.766666666666666" u="1"/>
        <n v="30.533333333333335" u="1"/>
        <n v="38.4" u="1"/>
        <n v="47.733333333333334" u="1"/>
        <n v="39.366666666666667" u="1"/>
        <n v="22.166666666666668" u="1"/>
        <n v="26.833333333333332" u="1"/>
        <n v="31.5" u="1"/>
        <n v="18.466666666666665" u="1"/>
        <n v="23.133333333333333" u="1"/>
        <n v="27.8" u="1"/>
        <n v="57.56666666666667" u="1"/>
        <n v="19.433333333333334" u="1"/>
        <n v="-0.66666666666666663" u="1"/>
        <n v="49.2" u="1"/>
        <n v="6.6666666666666666E-2" u="1"/>
        <n v="50.166666666666664" u="1"/>
        <n v="13.533333333333333" u="1"/>
        <n v="32.466666666666669" u="1"/>
        <n v="41.8" u="1"/>
        <n v="51.133333333333333" u="1"/>
        <n v="33.43333333333333" u="1"/>
        <n v="42.766666666666666" u="1"/>
        <n v="52.1" u="1"/>
        <n v="28.533333333333335" u="1"/>
        <n v="34.4" u="1"/>
        <n v="43.733333333333334" u="1"/>
        <n v="35.366666666666667" u="1"/>
        <n v="20.166666666666668" u="1"/>
        <n v="24.833333333333332" u="1"/>
        <n v="29.5" u="1"/>
        <n v="1.8" u="1"/>
        <n v="16.466666666666665" u="1"/>
        <n v="21.133333333333333" u="1"/>
        <n v="25.8" u="1"/>
        <n v="53.56666666666667" u="1"/>
        <n v="3.2" u="1"/>
        <n v="4.7333333333333334" u="1"/>
        <n v="17.433333333333334" u="1"/>
        <n v="45.2" u="1"/>
        <n v="54.533333333333331" u="1"/>
        <n v="36.833333333333336" u="1"/>
        <n v="46.166666666666664" u="1"/>
        <n v="55.5" u="1"/>
        <n v="10.199999999999999" u="1"/>
        <n v="12.533333333333333" u="1"/>
        <n v="30.233333333333334" u="1"/>
        <n v="37.799999999999997" u="1"/>
        <n v="47.133333333333333" u="1"/>
        <n v="38.766666666666666" u="1"/>
        <n v="48.1" u="1"/>
        <n v="26.533333333333335" u="1"/>
        <n v="31.2" u="1"/>
        <n v="39.733333333333334" u="1"/>
        <n v="0.5" u="1"/>
        <n v="22.833333333333332" u="1"/>
        <n v="15.233333333333333" u="1"/>
        <n v="19.133333333333333" u="1"/>
        <n v="23.8" u="1"/>
        <n v="57.93333333333333" u="1"/>
        <n v="3.5333333333333332" u="1"/>
        <n v="4.2333333333333334" u="1"/>
        <n v="50.533333333333331" u="1"/>
        <n v="32.833333333333336" u="1"/>
        <n v="51.5" u="1"/>
        <n v="7.4333333333333336" u="1"/>
        <n v="9.1999999999999993" u="1"/>
        <n v="28.233333333333334" u="1"/>
        <n v="33.799999999999997" u="1"/>
        <n v="43.133333333333333" u="1"/>
        <n v="34.766666666666666" u="1"/>
        <n v="44.1" u="1"/>
        <n v="35.733333333333334" u="1"/>
        <n v="16.166666666666668" u="1"/>
        <n v="20.833333333333332" u="1"/>
        <n v="25.5" u="1"/>
        <n v="14.233333333333333" u="1"/>
        <n v="17.133333333333333" u="1"/>
        <n v="21.8" u="1"/>
        <n v="53.93333333333333" u="1"/>
        <n v="45.56666666666667" u="1"/>
        <n v="54.9" u="1"/>
        <n v="2.7" u="1"/>
        <n v="37.200000000000003" u="1"/>
        <n v="46.533333333333331" u="1"/>
        <n v="55.866666666666667" u="1"/>
        <n v="38.166666666666664" u="1"/>
        <n v="47.5" u="1"/>
        <n v="6.9333333333333336" u="1"/>
        <n v="8.1999999999999993" u="1"/>
        <n v="26.233333333333334" u="1"/>
        <n v="30.9" u="1"/>
        <n v="39.133333333333333" u="1"/>
        <n v="40.1" u="1"/>
        <n v="27.2" u="1"/>
        <n v="18.833333333333332" u="1"/>
        <n v="23.5" u="1"/>
        <n v="57.333333333333336" u="1"/>
        <n v="48.966666666666669" u="1"/>
        <n v="13.233333333333333" u="1"/>
        <n v="15.566666666666666" u="1"/>
        <n v="49.93333333333333" u="1"/>
        <n v="41.56666666666667" u="1"/>
        <n v="50.9" u="1"/>
        <n v="33.200000000000003" u="1"/>
        <n v="42.533333333333331" u="1"/>
        <n v="51.866666666666667" u="1"/>
        <n v="34.166666666666664" u="1"/>
        <n v="28.9" u="1"/>
        <n v="35.133333333333333" u="1"/>
        <n v="36.1" u="1"/>
        <n v="20.533333333333335" u="1"/>
        <n v="29.866666666666667" u="1"/>
        <n v="16.833333333333332" u="1"/>
        <n v="21.5" u="1"/>
        <n v="44.966666666666669" u="1"/>
        <n v="54.3" u="1"/>
        <n v="14.566666666666666" u="1"/>
        <n v="45.93333333333333" u="1"/>
        <n v="55.266666666666666" u="1"/>
        <n v="37.56666666666667" u="1"/>
        <n v="46.9" u="1"/>
        <n v="56.233333333333334" u="1"/>
        <n v="2.2000000000000002" u="1"/>
        <n v="3.3666666666666667" u="1"/>
        <n v="30.6" u="1"/>
        <n v="38.533333333333331" u="1"/>
        <n v="47.866666666666667" u="1"/>
        <n v="39.5" u="1"/>
        <n v="5.9333333333333336" u="1"/>
        <n v="8.5333333333333332" u="1"/>
        <n v="22.233333333333334" u="1"/>
        <n v="26.9" u="1"/>
        <n v="-0.9" u="1"/>
        <n v="31.566666666666666" u="1"/>
        <n v="32.1" u="1"/>
        <n v="18.533333333333335" u="1"/>
        <n v="23.2" u="1"/>
        <n v="27.866666666666667" u="1"/>
        <n v="57.7" u="1"/>
        <n v="40.966666666666669" u="1"/>
        <n v="15.9" u="1"/>
        <n v="41.93333333333333" u="1"/>
        <n v="51.266666666666666" u="1"/>
        <n v="33.56666666666667" u="1"/>
        <n v="52.233333333333334" u="1"/>
        <n v="28.6" u="1"/>
        <n v="34.533333333333331" u="1"/>
        <n v="43.866666666666667" u="1"/>
        <n v="35.5" u="1"/>
        <n v="5.4333333333333336" u="1"/>
        <n v="20.233333333333334" u="1"/>
        <n v="24.9" u="1"/>
        <n v="29.566666666666666" u="1"/>
        <n v="16.533333333333335" u="1"/>
        <n v="21.2" u="1"/>
        <n v="25.866666666666667" u="1"/>
        <n v="53.7" u="1"/>
        <n v="45.333333333333336" u="1"/>
        <n v="0.73333333333333328" u="1"/>
        <n v="36.966666666666669" u="1"/>
        <n v="46.3" u="1"/>
        <n v="55.633333333333333" u="1"/>
        <n v="10.233333333333333" u="1"/>
        <n v="14.9" u="1"/>
        <n v="47.266666666666666" u="1"/>
        <n v="56.6" u="1"/>
        <n v="38.9" u="1"/>
        <n v="48.233333333333334" u="1"/>
        <n v="26.6" u="1"/>
        <n v="31.266666666666666" u="1"/>
        <n v="39.866666666666667" u="1"/>
        <n v="4.9333333333333336" u="1"/>
        <n v="7.2666666666666666" u="1"/>
        <n v="18.233333333333334" u="1"/>
        <n v="22.9" u="1"/>
        <n v="27.566666666666666" u="1"/>
        <n v="19.2" u="1"/>
        <n v="23.866666666666667" u="1"/>
        <n v="49.7" u="1"/>
        <n v="41.333333333333336" u="1"/>
        <n v="32.966666666666669" u="1"/>
        <n v="42.3" u="1"/>
        <n v="51.633333333333333" u="1"/>
        <n v="9.2333333333333325" u="1"/>
        <n v="13.9" u="1"/>
        <n v="33.93333333333333" u="1"/>
        <n v="52.6" u="1"/>
        <n v="34.9" u="1"/>
        <n v="24.6" u="1"/>
        <n v="29.266666666666666" u="1"/>
        <n v="3.3333333333333333E-2" u="1"/>
        <n v="4.4333333333333336" u="1"/>
        <n v="6.7666666666666666" u="1"/>
        <n v="16.233333333333334" u="1"/>
        <n v="20.9" u="1"/>
        <n v="-0.56666666666666665" u="1"/>
        <n v="25.566666666666666" u="1"/>
        <n v="14.266666666666667" u="1"/>
        <n v="21.866666666666667" u="1"/>
        <n v="45.7" u="1"/>
        <n v="55.033333333333331" u="1"/>
        <n v="37.333333333333336" u="1"/>
        <n v="56" u="1"/>
        <n v="38.299999999999997" u="1"/>
        <n v="47.633333333333333" u="1"/>
        <n v="8.2333333333333325" u="1"/>
        <n v="10.566666666666666" u="1"/>
        <n v="30.966666666666665" u="1"/>
        <n v="39.266666666666666" u="1"/>
        <n v="48.6" u="1"/>
        <n v="40.233333333333334" u="1"/>
        <n v="27.266666666666666" u="1"/>
        <n v="6.2666666666666666" u="1"/>
        <n v="18.899999999999999" u="1"/>
        <n v="23.566666666666666" u="1"/>
        <n v="57.466666666666669" u="1"/>
        <n v="15.6" u="1"/>
        <n v="19.866666666666667" u="1"/>
        <n v="50.06666666666667" u="1"/>
        <n v="41.7" u="1"/>
        <n v="51.033333333333331" u="1"/>
        <n v="33.333333333333336" u="1"/>
        <n v="42.666666666666664" u="1"/>
        <n v="52" u="1"/>
        <n v="43.633333333333333" u="1"/>
        <n v="9.5666666666666664" u="1"/>
        <n v="11.9" u="1"/>
        <n v="44.6" u="1"/>
        <n v="20.6" u="1"/>
        <n v="25.266666666666666" u="1"/>
        <n v="29.933333333333334" u="1"/>
        <n v="5.7666666666666666" u="1"/>
        <n v="53.466666666666669" u="1"/>
        <n v="17.866666666666667" u="1"/>
        <n v="46.06666666666667" u="1"/>
        <n v="55.4" u="1"/>
        <n v="37.700000000000003" u="1"/>
        <n v="47.033333333333331" u="1"/>
        <n v="38.666666666666664" u="1"/>
        <n v="39.633333333333333" u="1"/>
        <n v="8.5666666666666664" u="1"/>
        <n v="26.966666666666665" u="1"/>
        <n v="31.633333333333333" u="1"/>
        <n v="40.6" u="1"/>
        <n v="32.233333333333334" u="1"/>
        <n v="18.600000000000001" u="1"/>
        <n v="23.266666666666666" u="1"/>
        <n v="27.933333333333334" u="1"/>
        <n v="3.4666666666666668" u="1"/>
        <n v="4.0999999999999996" u="1"/>
        <n v="5.2666666666666666" u="1"/>
        <n v="19.566666666666666" u="1"/>
        <n v="49.466666666666669" u="1"/>
        <n v="50.43333333333333" u="1"/>
        <n v="11.266666666666667" u="1"/>
        <n v="13.6" u="1"/>
        <n v="15.933333333333334" u="1"/>
        <n v="42.06666666666667" u="1"/>
        <n v="51.4" u="1"/>
        <n v="33.700000000000003" u="1"/>
        <n v="52.366666666666667" u="1"/>
        <n v="0.56666666666666665" u="1"/>
        <n v="35.633333333333333" u="1"/>
        <n v="9.9" u="1"/>
        <n v="24.966666666666665" u="1"/>
        <n v="29.633333333333333" u="1"/>
        <n v="16.600000000000001" u="1"/>
        <n v="21.266666666666666" u="1"/>
        <n v="53.833333333333336" u="1"/>
        <n v="17.566666666666666" u="1"/>
        <n v="46.43333333333333" u="1"/>
        <n v="55.766666666666666" u="1"/>
        <n v="12.6" u="1"/>
        <n v="14.933333333333334" u="1"/>
        <n v="47.4" u="1"/>
        <n v="39.033333333333331" u="1"/>
        <n v="26.666666666666668" u="1"/>
        <n v="31.333333333333332" u="1"/>
        <n v="40" u="1"/>
        <n v="8.9" u="1"/>
        <n v="22.966666666666665" u="1"/>
        <n v="27.633333333333333" u="1"/>
        <n v="1.1000000000000001" u="1"/>
        <n v="19.266666666666666" u="1"/>
        <n v="23.933333333333334" u="1"/>
        <n v="49.833333333333336" u="1"/>
        <n v="4.2666666666666666" u="1"/>
        <n v="41.466666666666669" u="1"/>
        <n v="42.43333333333333" u="1"/>
        <n v="51.766666666666666" u="1"/>
        <n v="11.6" u="1"/>
        <n v="13.933333333333334" u="1"/>
        <n v="34.06666666666667" u="1"/>
        <n v="43.4" u="1"/>
        <n v="52.733333333333334" u="1"/>
        <n v="35.033333333333331" u="1"/>
        <n v="44.366666666666667" u="1"/>
        <n v="24.666666666666668" u="1"/>
        <n v="29.333333333333332" u="1"/>
        <n v="36" u="1"/>
        <n v="20.966666666666665" u="1"/>
        <n v="25.633333333333333" u="1"/>
        <n v="30.3" u="1"/>
        <n v="21.933333333333334" u="1"/>
        <n v="54.2" u="1"/>
        <n v="45.833333333333336" u="1"/>
        <n v="3.3" u="1"/>
        <n v="37.466666666666669" u="1"/>
        <n v="46.8" u="1"/>
        <n v="56.133333333333333" u="1"/>
        <n v="38.43333333333333" u="1"/>
        <n v="8.2666666666666675" u="1"/>
        <n v="10.6" u="1"/>
        <n v="31.033333333333335" u="1"/>
        <n v="39.4" u="1"/>
        <n v="22.666666666666668" u="1"/>
        <n v="32" u="1"/>
        <n v="18.966666666666665" u="1"/>
        <n v="23.633333333333333" u="1"/>
        <n v="28.3" u="1"/>
        <n v="13.3" u="1"/>
        <n v="15.633333333333333" u="1"/>
        <n v="19.933333333333334" u="1"/>
        <n v="50.2" u="1"/>
        <n v="41.833333333333336" u="1"/>
        <n v="51.166666666666664" u="1"/>
        <n v="42.8" u="1"/>
        <n v="34.43333333333333" u="1"/>
        <n v="43.766666666666666" u="1"/>
        <n v="9.6" u="1"/>
        <n v="11.933333333333334" u="1"/>
        <n v="29.033333333333335" u="1"/>
        <n v="35.4" u="1"/>
        <n v="44.733333333333334" u="1"/>
        <n v="36.366666666666667" u="1"/>
        <n v="20.666666666666668" u="1"/>
        <n v="30" u="1"/>
        <n v="26.3" u="1"/>
        <n v="54.56666666666667" u="1"/>
        <n v="-0.16666666666666666" u="1"/>
        <n v="12.3" u="1"/>
        <n v="14.633333333333333" u="1"/>
        <n v="46.2" u="1"/>
        <n v="55.533333333333331" u="1"/>
        <n v="47.166666666666664" u="1"/>
        <n v="56.5" u="1"/>
        <n v="30.733333333333334" u="1"/>
        <n v="48.133333333333333" u="1"/>
        <n v="39.766666666666666" u="1"/>
        <n v="49.1" u="1"/>
        <n v="7.1333333333333337" u="1"/>
        <n v="8.6" u="1"/>
        <n v="10.933333333333334" u="1"/>
        <n v="27.033333333333335" u="1"/>
        <n v="31.7" u="1"/>
        <n v="40.733333333333334" u="1"/>
        <n v="32.366666666666667" u="1"/>
        <n v="18.666666666666668" u="1"/>
        <n v="23.333333333333332" u="1"/>
        <n v="28" u="1"/>
        <n v="57.966666666666669" u="1"/>
        <n v="19.633333333333333" u="1"/>
        <n v="24.3" u="1"/>
        <n v="50.56666666666667" u="1"/>
        <n v="13.633333333333333" u="1"/>
        <n v="15.966666666666667" u="1"/>
        <n v="51.533333333333331" u="1"/>
        <n v="43.166666666666664" u="1"/>
        <n v="3.1333333333333333" u="1"/>
        <n v="28.733333333333334" u="1"/>
        <n v="34.799999999999997" u="1"/>
        <n v="44.133333333333333" u="1"/>
        <n v="35.766666666666666" u="1"/>
        <n v="45.1" u="1"/>
        <n v="9.9333333333333336" u="1"/>
        <n v="-1.2666666666666666" u="1"/>
        <n v="16.666666666666668" u="1"/>
        <n v="21.333333333333332" u="1"/>
        <n v="26" u="1"/>
        <n v="22.3" u="1"/>
        <n v="54.93333333333333" u="1"/>
        <n v="55.9" u="1"/>
        <n v="10.3" u="1"/>
        <n v="12.633333333333333" u="1"/>
        <n v="14.966666666666667" u="1"/>
        <n v="38.200000000000003" u="1"/>
        <n v="47.533333333333331" u="1"/>
        <n v="56.866666666666667" u="1"/>
        <n v="39.166666666666664" u="1"/>
        <n v="2.2999999999999998" u="1"/>
        <n v="48.5" u="1"/>
        <n v="31.4" u="1"/>
        <n v="40.133333333333333" u="1"/>
        <n v="41.1" u="1"/>
        <n v="8.9333333333333336" u="1"/>
        <n v="32.733333333333334" u="1"/>
        <n v="19.333333333333332" u="1"/>
        <n v="49.966666666666669" u="1"/>
        <n v="20.3" u="1"/>
        <n v="50.93333333333333" u="1"/>
        <n v="0.96666666666666667" u="1"/>
        <n v="42.56666666666667" u="1"/>
        <n v="51.9" u="1"/>
        <n v="9.3000000000000007" u="1"/>
        <n v="11.633333333333333" u="1"/>
        <n v="34.200000000000003" u="1"/>
        <n v="43.533333333333331" u="1"/>
        <n v="52.866666666666667" u="1"/>
        <n v="35.166666666666664" u="1"/>
        <n v="44.5" u="1"/>
        <n v="24.733333333333334" u="1"/>
        <n v="29.4" u="1"/>
        <n v="36.133333333333333" u="1"/>
        <n v="37.1" u="1"/>
        <n v="5.6333333333333337" u="1"/>
        <n v="7.9666666666666668" u="1"/>
        <n v="21.033333333333335" u="1"/>
        <n v="25.7" u="1"/>
        <n v="30.366666666666667" u="1"/>
        <n v="14.333333333333334" u="1"/>
        <n v="17.333333333333332" u="1"/>
        <n v="22" u="1"/>
        <n v="54.333333333333336" u="1"/>
        <n v="45.966666666666669" u="1"/>
        <n v="55.3" u="1"/>
        <n v="18.3" u="1"/>
        <n v="46.93333333333333" u="1"/>
        <n v="56.266666666666666" u="1"/>
        <n v="47.9" u="1"/>
        <n v="57.233333333333334" u="1"/>
        <n v="10.633333333333333" u="1"/>
        <n v="12.966666666666667" u="1"/>
        <n v="31.1" u="1"/>
        <n v="1.9" u="1"/>
        <n v="22.733333333333334" u="1"/>
        <n v="27.4" u="1"/>
        <n v="33.1" u="1"/>
        <n v="23.7" u="1"/>
        <n v="15.666666666666666" u="1"/>
        <n v="20" u="1"/>
        <n v="50.333333333333336" u="1"/>
        <n v="51.3" u="1"/>
        <n v="16.3" u="1"/>
        <n v="42.93333333333333" u="1"/>
        <n v="52.266666666666666" u="1"/>
        <n v="34.56666666666667" u="1"/>
        <n v="43.9" u="1"/>
        <n v="11.966666666666667" u="1"/>
        <n v="29.1" u="1"/>
        <n v="35.533333333333331" u="1"/>
        <n v="44.866666666666667" u="1"/>
        <n v="36.5" u="1"/>
        <n v="2.1333333333333333" u="1"/>
        <n v="20.733333333333334" u="1"/>
        <n v="25.4" u="1"/>
        <n v="30.066666666666666" u="1"/>
        <n v="6.9666666666666668" u="1"/>
        <n v="17.033333333333335" u="1"/>
        <n v="21.7" u="1"/>
        <n v="26.366666666666667" u="1"/>
        <n v="14.666666666666666" u="1"/>
        <n v="18" u="1"/>
        <n v="55.666666666666664" u="1"/>
        <n v="37.966666666666669" u="1"/>
        <n v="47.3" u="1"/>
        <n v="38.93333333333333" u="1"/>
        <n v="48.266666666666666" u="1"/>
        <n v="39.9" u="1"/>
        <n v="49.233333333333334" u="1"/>
        <n v="10.966666666666667" u="1"/>
        <n v="27.1" u="1"/>
        <n v="31.766666666666666" u="1"/>
        <n v="40.866666666666667" u="1"/>
        <n v="32.5" u="1"/>
        <n v="18.733333333333334" u="1"/>
        <n v="23.4" u="1"/>
        <n v="28.066666666666666" u="1"/>
        <n v="5.3" u="1"/>
        <n v="6.4666666666666668" u="1"/>
        <n v="19.7" u="1"/>
        <n v="24.366666666666667" u="1"/>
        <n v="50.7" u="1"/>
        <n v="11.333333333333334" u="1"/>
        <n v="13.666666666666666" u="1"/>
        <n v="16" u="1"/>
        <n v="42.333333333333336" u="1"/>
        <n v="33.966666666666669" u="1"/>
        <n v="43.3" u="1"/>
        <n v="52.633333333333333" u="1"/>
        <n v="34.93333333333333" u="1"/>
        <n v="44.266666666666666" u="1"/>
        <n v="35.9" u="1"/>
        <n v="9.9666666666666668" u="1"/>
        <n v="29.766666666666666" u="1"/>
        <n v="36.866666666666667" u="1"/>
        <n v="1.2333333333333334" u="1"/>
        <n v="16.733333333333334" u="1"/>
        <n v="21.4" u="1"/>
        <n v="26.066666666666666" u="1"/>
        <n v="4.8" u="1"/>
        <n v="5.9666666666666668" u="1"/>
        <n v="17.7" u="1"/>
        <n v="22.366666666666667" u="1"/>
        <n v="46.7" u="1"/>
        <n v="10.333333333333334" u="1"/>
        <n v="12.666666666666666" u="1"/>
        <n v="15" u="1"/>
        <n v="38.333333333333336" u="1"/>
        <n v="47.666666666666664" u="1"/>
        <n v="-1.9" u="1"/>
        <n v="39.299999999999997" u="1"/>
        <n v="48.633333333333333" u="1"/>
        <n v="31.466666666666665" u="1"/>
        <n v="40.266666666666666" u="1"/>
        <n v="41.233333333333334" u="1"/>
        <n v="32.866666666666667" u="1"/>
        <n v="1.4" u="1"/>
        <n v="19.399999999999999" u="1"/>
        <n v="24.066666666666666" u="1"/>
        <n v="3.5666666666666669" u="1"/>
        <n v="5.4666666666666668" u="1"/>
        <n v="20.366666666666667" u="1"/>
        <n v="11.666666666666666" u="1"/>
        <n v="14" u="1"/>
        <n v="34.333333333333336" u="1"/>
        <n v="43.666666666666664" u="1"/>
        <n v="35.299999999999997" u="1"/>
        <n v="44.633333333333333" u="1"/>
        <n v="29.466666666666665" u="1"/>
        <n v="45.6" u="1"/>
        <n v="0.4" u="1"/>
        <n v="21.1" u="1"/>
        <n v="25.766666666666666" u="1"/>
        <n v="30.433333333333334" u="1"/>
        <n v="17.399999999999999" u="1"/>
        <n v="54.466666666666669" u="1"/>
        <n v="4.9666666666666668" u="1"/>
        <n v="-0.6333333333333333" u="1"/>
        <n v="47.06666666666667" u="1"/>
        <n v="38.700000000000003" u="1"/>
        <n v="48.033333333333331" u="1"/>
        <n v="57.366666666666667" u="1"/>
        <n v="13" u="1"/>
        <n v="31.166666666666668" u="1"/>
        <n v="39.666666666666664" u="1"/>
        <n v="49" u="1"/>
        <n v="40.633333333333333" u="1"/>
        <n v="27.466666666666665" u="1"/>
        <n v="32.266666666666666" u="1"/>
        <n v="41.6" u="1"/>
        <n v="33.233333333333334" u="1"/>
        <n v="19.100000000000001" u="1"/>
        <n v="23.766666666666666" u="1"/>
        <n v="28.433333333333334" u="1"/>
        <n v="13.366666666666667" u="1"/>
        <n v="20.066666666666666" u="1"/>
        <n v="50.466666666666669" u="1"/>
        <n v="3.0666666666666669" u="1"/>
        <n v="4.4666666666666668" u="1"/>
        <n v="16.366666666666667" u="1"/>
        <n v="34.700000000000003" u="1"/>
        <n v="7.666666666666667" u="1"/>
        <n v="29.166666666666668" u="1"/>
        <n v="35.666666666666664" u="1"/>
        <n v="45" u="1"/>
        <n v="36.633333333333333" u="1"/>
        <n v="25.466666666666665" u="1"/>
        <n v="30.133333333333333" u="1"/>
        <n v="37.6" u="1"/>
        <n v="17.100000000000001" u="1"/>
        <n v="21.766666666666666" u="1"/>
        <n v="26.433333333333334" u="1"/>
        <n v="12.366666666666667" u="1"/>
        <n v="14.7" u="1"/>
        <n v="18.066666666666666" u="1"/>
        <n v="46.466666666666669" u="1"/>
        <n v="47.43333333333333" u="1"/>
        <n v="39.06666666666667" u="1"/>
        <n v="48.4" u="1"/>
        <n v="49.366666666666667" u="1"/>
        <n v="11" u="1"/>
        <n v="27.166666666666668" u="1"/>
        <n v="41" u="1"/>
        <n v="23.466666666666665" u="1"/>
        <n v="28.133333333333333" u="1"/>
        <n v="33.6" u="1"/>
        <n v="19.766666666666666" u="1"/>
        <n v="24.433333333333334" u="1"/>
        <n v="50.833333333333336" u="1"/>
        <n v="11.366666666666667" u="1"/>
        <n v="13.7" u="1"/>
        <n v="16.066666666666666" u="1"/>
        <n v="42.466666666666669" u="1"/>
        <n v="51.8" u="1"/>
        <n v="43.43333333333333" u="1"/>
        <n v="52.766666666666666" u="1"/>
        <n v="2.5666666666666669" u="1"/>
        <n v="3.7333333333333334" u="1"/>
        <n v="44.4" u="1"/>
        <n v="53.733333333333334" u="1"/>
        <n v="36.033333333333331" u="1"/>
        <n v="45.366666666666667" u="1"/>
        <n v="6.666666666666667" u="1"/>
        <n v="29.833333333333332" u="1"/>
        <n v="37" u="1"/>
        <n v="21.466666666666665" u="1"/>
        <n v="26.133333333333333" u="1"/>
        <n v="30.8" u="1"/>
        <n v="22.433333333333334" u="1"/>
        <n v="55.2" u="1"/>
        <n v="56.166666666666664" u="1"/>
        <n v="15.033333333333333" u="1"/>
        <n v="38.466666666666669" u="1"/>
        <n v="39.43333333333333" u="1"/>
        <n v="2.9" u="1"/>
        <n v="31.533333333333335" u="1"/>
        <n v="40.4" u="1"/>
        <n v="49.733333333333334" u="1"/>
        <n v="32.033333333333331" u="1"/>
        <n v="41.366666666666667" u="1"/>
        <n v="6.166666666666667" u="1"/>
        <n v="23.166666666666668" u="1"/>
        <n v="27.833333333333332" u="1"/>
        <n v="33" u="1"/>
        <n v="19.466666666666665" u="1"/>
        <n v="24.133333333333333" u="1"/>
        <n v="28.8" u="1"/>
        <n v="42.833333333333336" u="1"/>
        <n v="11.7" u="1"/>
        <n v="34.466666666666669" u="1"/>
        <n v="43.8" u="1"/>
        <n v="53.133333333333333" u="1"/>
        <n v="35.43333333333333" u="1"/>
        <n v="54.1" u="1"/>
        <n v="2.0666666666666669" u="1"/>
        <n v="3.2333333333333334" u="1"/>
        <n v="29.533333333333335" u="1"/>
        <n v="36.4" u="1"/>
        <n v="45.733333333333334" u="1"/>
        <n v="37.366666666666667" u="1"/>
        <n v="8" u="1"/>
        <n v="25.833333333333332" u="1"/>
        <n v="-0.8666666666666667" u="1"/>
        <n v="30.5" u="1"/>
        <n v="17.466666666666665" u="1"/>
        <n v="22.133333333333333" u="1"/>
        <n v="26.8" u="1"/>
        <n v="47.2" u="1"/>
        <n v="56.533333333333331" u="1"/>
        <n v="38.833333333333336" u="1"/>
        <n v="48.166666666666664" u="1"/>
        <n v="57.5" u="1"/>
        <n v="13.033333333333333" u="1"/>
        <n v="49.133333333333333" u="1"/>
        <n v="40.766666666666666" u="1"/>
        <n v="50.1" u="1"/>
        <n v="2.4" u="1"/>
        <n v="27.533333333333335" u="1"/>
        <n v="32.4" u="1"/>
        <n v="41.733333333333334" u="1"/>
        <n v="33.366666666666667" u="1"/>
        <n v="5.166666666666667" u="1"/>
        <n v="7.5" u="1"/>
        <n v="19.166666666666668" u="1"/>
        <n v="23.833333333333332" u="1"/>
        <n v="28.5" u="1"/>
        <n v="15.733333333333333" u="1"/>
        <n v="20.133333333333333" u="1"/>
        <n v="24.8" u="1"/>
        <n v="51.56666666666667" u="1"/>
        <n v="16.433333333333334" u="1"/>
        <n v="43.2" u="1"/>
        <n v="52.533333333333331" u="1"/>
        <n v="34.833333333333336" u="1"/>
        <n v="44.166666666666664" u="1"/>
        <n v="53.5" u="1"/>
        <n v="9.6999999999999993" u="1"/>
        <n v="29.233333333333334" u="1"/>
        <n v="45.133333333333333" u="1"/>
        <n v="46.1" u="1"/>
        <n v="2.7333333333333334" u="1"/>
        <n v="25.533333333333335" u="1"/>
        <n v="30.2" u="1"/>
        <n v="37.733333333333334" u="1"/>
        <n v="4.666666666666667" u="1"/>
        <n v="5.833333333333333" u="1"/>
        <n v="7" u="1"/>
        <n v="17.166666666666668" u="1"/>
        <n v="21.833333333333332" u="1"/>
        <n v="54.966666666666669" u="1"/>
        <n v="18.133333333333333" u="1"/>
        <n v="22.8" u="1"/>
        <n v="55.93333333333333" u="1"/>
        <n v="47.56666666666667" u="1"/>
        <n v="56.9" u="1"/>
        <n v="39.200000000000003" u="1"/>
        <n v="48.533333333333331" u="1"/>
        <n v="40.166666666666664" u="1"/>
        <n v="49.5" u="1"/>
        <n v="8.6999999999999993" u="1"/>
        <n v="27.233333333333334" u="1"/>
        <n v="41.133333333333333" u="1"/>
        <n v="32.766666666666666" u="1"/>
        <n v="42.1" u="1"/>
        <n v="23.533333333333335" u="1"/>
        <n v="33.733333333333334" u="1"/>
        <n v="5.333333333333333" u="1"/>
        <n v="6.5" u="1"/>
        <n v="-0.53333333333333333" u="1"/>
        <n v="16.133333333333333" u="1"/>
        <n v="20.8" u="1"/>
        <n v="43.56666666666667" u="1"/>
        <n v="52.9" u="1"/>
        <n v="35.200000000000003" u="1"/>
        <n v="44.533333333333331" u="1"/>
        <n v="53.866666666666667" u="1"/>
        <n v="36.166666666666664" u="1"/>
        <n v="45.5" u="1"/>
        <n v="10.033333333333333" u="1"/>
        <n v="25.233333333333334" u="1"/>
        <n v="29.9" u="1"/>
        <n v="37.133333333333333" u="1"/>
        <n v="21.533333333333335" u="1"/>
        <n v="30.866666666666667" u="1"/>
        <n v="3.8333333333333335" u="1"/>
        <n v="4.833333333333333" u="1"/>
        <n v="6" u="1"/>
        <n v="17.833333333333332" u="1"/>
        <n v="55.333333333333336" u="1"/>
        <n v="46.966666666666669" u="1"/>
        <n v="56.3" u="1"/>
        <n v="18.8" u="1"/>
        <n v="47.93333333333333" u="1"/>
        <n v="57.266666666666666" u="1"/>
        <n v="39.56666666666667" u="1"/>
        <n v="40.533333333333331" u="1"/>
        <n v="49.866666666666667" u="1"/>
        <n v="0.43333333333333335" u="1"/>
        <n v="32.166666666666664" u="1"/>
        <n v="41.5" u="1"/>
        <n v="9.0333333333333332" u="1"/>
        <n v="23.233333333333334" u="1"/>
        <n v="27.9" u="1"/>
        <n v="33.133333333333333" u="1"/>
        <n v="34.1" u="1"/>
        <n v="19.533333333333335" u="1"/>
        <n v="4.333333333333333" u="1"/>
        <n v="5.5" u="1"/>
        <n v="20.5" u="1"/>
        <n v="51.333333333333336" u="1"/>
        <n v="42.966666666666669" u="1"/>
        <n v="52.3" u="1"/>
        <n v="11.733333333333333" u="1"/>
        <n v="14.066666666666666" u="1"/>
        <n v="16.8" u="1"/>
        <n v="43.93333333333333" u="1"/>
        <n v="-1.2" u="1"/>
        <n v="35.56666666666667" u="1"/>
        <n v="44.9" u="1"/>
        <n v="54.233333333333334" u="1"/>
        <n v="29.6" u="1"/>
        <n v="36.533333333333331" u="1"/>
        <n v="45.866666666666667" u="1"/>
        <n v="37.5" u="1"/>
        <n v="8.0333333333333332" u="1"/>
        <n v="21.233333333333334" u="1"/>
        <n v="25.9" u="1"/>
        <n v="30.566666666666666" u="1"/>
        <n v="-0.2" u="1"/>
        <n v="17.533333333333335" u="1"/>
        <n v="22.2" u="1"/>
        <n v="26.866666666666667" u="1"/>
        <n v="3.3333333333333335" u="1"/>
        <n v="18.5" u="1"/>
        <n v="47.333333333333336" u="1"/>
        <n v="56.666666666666664" u="1"/>
        <n v="38.966666666666669" u="1"/>
        <n v="48.3" u="1"/>
        <n v="57.633333333333333" u="1"/>
        <n v="10.733333333333333" u="1"/>
        <n v="13.066666666666666" u="1"/>
        <n v="15.4" u="1"/>
        <n v="39.93333333333333" u="1"/>
        <n v="-1.3666666666666667" u="1"/>
        <n v="49.266666666666666" u="1"/>
        <n v="40.9" u="1"/>
        <n v="50.233333333333334" u="1"/>
        <n v="27.6" u="1"/>
        <n v="32.533333333333331" u="1"/>
        <n v="41.866666666666667" u="1"/>
        <n v="0.53333333333333333" u="1"/>
        <n v="33.5" u="1"/>
        <n v="23.9" u="1"/>
        <n v="28.566666666666666" u="1"/>
        <n v="20.2" u="1"/>
        <n v="24.866666666666667" u="1"/>
        <n v="51.7" u="1"/>
        <n v="16.5" u="1"/>
        <n v="43.333333333333336" u="1"/>
        <n v="52.666666666666664" u="1"/>
        <n v="34.966666666666669" u="1"/>
        <n v="44.3" u="1"/>
        <n v="14.4" u="1"/>
        <n v="35.93333333333333" u="1"/>
        <n v="45.266666666666666" u="1"/>
        <n v="54.6" u="1"/>
        <n v="-1.5333333333333334" u="1"/>
        <n v="36.9" u="1"/>
        <n v="46.233333333333334" u="1"/>
        <n v="25.6" u="1"/>
        <n v="30.266666666666666" u="1"/>
        <n v="37.866666666666667" u="1"/>
        <n v="17.233333333333334" u="1"/>
        <n v="21.9" u="1"/>
        <n v="26.566666666666666" u="1"/>
        <n v="1.0333333333333334" u="1"/>
        <n v="18.2" u="1"/>
        <n v="56.06666666666667" u="1"/>
        <n v="47.7" u="1"/>
        <n v="2.8333333333333335" u="1"/>
        <n v="4" u="1"/>
        <n v="-0.43333333333333335" u="1"/>
        <n v="39.333333333333336" u="1"/>
        <n v="48.666666666666664" u="1"/>
        <n v="40.299999999999997" u="1"/>
        <n v="11.066666666666666" u="1"/>
        <n v="13.4" u="1"/>
        <n v="31.966666666666665" u="1"/>
        <n v="41.266666666666666" u="1"/>
        <n v="32.9" u="1"/>
        <n v="42.233333333333334" u="1"/>
        <n v="28.266666666666666" u="1"/>
        <n v="19.899999999999999" u="1"/>
        <n v="24.566666666666666" u="1"/>
        <n v="13.766666666666667" u="1"/>
        <n v="16.2" u="1"/>
        <n v="43.7" u="1"/>
        <n v="35.333333333333336" u="1"/>
        <n v="44.666666666666664" u="1"/>
        <n v="36.299999999999997" u="1"/>
        <n v="45.633333333333333" u="1"/>
        <n v="7.8666666666666663" u="1"/>
        <n v="29.966666666666665" u="1"/>
        <n v="37.266666666666666" u="1"/>
        <n v="46.6" u="1"/>
        <n v="38.233333333333334" u="1"/>
        <n v="30.933333333333334" u="1"/>
        <n v="56.43333333333333" u="1"/>
        <n v="1.3666666666666667" u="1"/>
        <n v="15.1" u="1"/>
        <n v="18.866666666666667" u="1"/>
        <n v="39.700000000000003" u="1"/>
        <n v="49.033333333333331" u="1"/>
        <n v="2.3333333333333335" u="1"/>
        <n v="40.666666666666664" u="1"/>
        <n v="50" u="1"/>
        <n v="32.299999999999997" u="1"/>
        <n v="41.633333333333333" u="1"/>
        <n v="9.0666666666666664" u="1"/>
        <n v="11.4" u="1"/>
        <n v="27.966666666666665" u="1"/>
        <n v="-0.93333333333333335" u="1"/>
        <n v="33.266666666666666" u="1"/>
        <n v="19.600000000000001" u="1"/>
        <n v="24.266666666666666" u="1"/>
        <n v="28.933333333333334" u="1"/>
        <n v="20.566666666666666" u="1"/>
        <n v="51.466666666666669" u="1"/>
        <n v="16.866666666666667" u="1"/>
        <n v="44.06666666666667" u="1"/>
        <n v="35.700000000000003" u="1"/>
        <n v="45.033333333333331" u="1"/>
        <n v="54.366666666666667" u="1"/>
        <n v="-0.26666666666666666" u="1"/>
        <n v="29.666666666666668" u="1"/>
        <n v="36.666666666666664" u="1"/>
        <n v="46" u="1"/>
        <n v="37.633333333333333" u="1"/>
        <n v="8.0666666666666664" u="1"/>
        <n v="25.966666666666665" u="1"/>
        <n v="30.633333333333333" u="1"/>
        <n v="38.6" u="1"/>
        <n v="-1.0333333333333334" u="1"/>
        <n v="17.600000000000001" u="1"/>
        <n v="22.266666666666666" u="1"/>
        <n v="26.933333333333334" u="1"/>
        <n v="55.833333333333336" u="1"/>
        <n v="18.566666666666666" u="1"/>
        <n v="47.466666666666669" u="1"/>
        <n v="48.43333333333333" u="1"/>
        <n v="0.76666666666666672" u="1"/>
        <n v="13.1" u="1"/>
        <n v="15.433333333333334" u="1"/>
        <n v="41.033333333333331" u="1"/>
        <n v="50.366666666666667" u="1"/>
        <n v="27.666666666666668" u="1"/>
        <n v="32.666666666666664" u="1"/>
        <n v="42" u="1"/>
        <n v="33.633333333333333" u="1"/>
        <n v="6.3666666666666663" u="1"/>
        <n v="7.5333333333333332" u="1"/>
        <n v="9.4" u="1"/>
        <n v="23.966666666666665" u="1"/>
        <n v="28.633333333333333" u="1"/>
        <n v="15.8" u="1"/>
        <n v="20.266666666666666" u="1"/>
        <n v="24.933333333333334" u="1"/>
        <n v="51.833333333333336" u="1"/>
        <n v="16.566666666666666" u="1"/>
        <n v="44.43333333333333" u="1"/>
        <n v="12.1" u="1"/>
        <n v="14.433333333333334" u="1"/>
        <n v="36.06666666666667" u="1"/>
        <n v="37.033333333333331" u="1"/>
        <n v="2.1666666666666665" u="1"/>
        <n v="25.666666666666668" u="1"/>
        <n v="30.333333333333332" u="1"/>
        <n v="38" u="1"/>
        <n v="7.0333333333333332" u="1"/>
        <n v="8.4" u="1"/>
        <n v="21.966666666666665" u="1"/>
        <n v="-0.6" u="1"/>
        <n v="26.633333333333333" u="1"/>
        <n v="14.8" u="1"/>
        <n v="18.266666666666666" u="1"/>
        <n v="22.933333333333334" u="1"/>
        <n v="56.2" u="1"/>
        <n v="57.166666666666664" u="1"/>
        <n v="39.466666666666669" u="1"/>
        <n v="48.8" u="1"/>
        <n v="40.43333333333333" u="1"/>
        <n v="49.766666666666666" u="1"/>
        <n v="-0.1" u="1"/>
        <n v="11.1" u="1"/>
        <n v="13.433333333333334" u="1"/>
        <n v="32.06666666666667" u="1"/>
        <n v="41.4" u="1"/>
        <n v="42.366666666666667" u="1"/>
        <n v="1.6666666666666667" u="1"/>
        <n v="2.5" u="1"/>
        <n v="23.666666666666668" u="1"/>
        <n v="28.333333333333332" u="1"/>
        <n v="34" u="1"/>
        <n v="5.3666666666666663" u="1"/>
        <n v="6.5333333333333332" u="1"/>
        <n v="7.7" u="1"/>
        <n v="24.633333333333333" u="1"/>
        <n v="29.3" u="1"/>
        <n v="13.8" u="1"/>
        <n v="52.2" u="1"/>
        <n v="0.26666666666666666" u="1"/>
        <n v="43.833333333333336" u="1"/>
        <n v="35.466666666666669" u="1"/>
        <n v="44.8" u="1"/>
        <n v="36.43333333333333" u="1"/>
        <n v="45.766666666666666" u="1"/>
        <n v="10.1" u="1"/>
        <n v="30.033333333333335" u="1"/>
        <n v="37.4" u="1"/>
        <n v="46.733333333333334" u="1"/>
        <n v="38.366666666666667" u="1"/>
        <n v="21.666666666666668" u="1"/>
        <n v="26.333333333333332" u="1"/>
        <n v="31" u="1"/>
        <n v="4.8666666666666663" u="1"/>
        <n v="17.966666666666665" u="1"/>
        <n v="22.633333333333333" u="1"/>
        <n v="12.8" u="1"/>
        <n v="15.133333333333333" u="1"/>
        <n v="48.2" u="1"/>
        <n v="57.533333333333331" u="1"/>
        <n v="39.833333333333336" u="1"/>
        <n v="49.166666666666664" u="1"/>
        <n v="31.733333333333334" u="1"/>
        <n v="40.799999999999997" u="1"/>
        <n v="50.133333333333333" u="1"/>
        <n v="32.43333333333333" u="1"/>
        <n v="41.766666666666666" u="1"/>
        <n v="51.1" u="1"/>
        <n v="9.1" u="1"/>
        <n v="11.433333333333334" u="1"/>
        <n v="42.733333333333334" u="1"/>
        <n v="34.366666666666667" u="1"/>
        <n v="2" u="1"/>
        <n v="24.333333333333332" u="1"/>
        <n v="4.3666666666666663" u="1"/>
        <n v="6.7" u="1"/>
        <n v="20.633333333333333" u="1"/>
        <n v="25.3" u="1"/>
        <n v="52.56666666666667" u="1"/>
        <n v="16.933333333333334" u="1"/>
        <n v="44.2" u="1"/>
        <n v="53.533333333333331" u="1"/>
        <n v="35.833333333333336" u="1"/>
        <n v="45.166666666666664" u="1"/>
        <n v="54.5" u="1"/>
        <n v="29.733333333333334" u="1"/>
        <n v="46.133333333333333" u="1"/>
        <n v="0.6" u="1"/>
        <n v="47.1" u="1"/>
        <n v="8.1" u="1"/>
        <n v="10.433333333333334" u="1"/>
        <n v="30.7" u="1"/>
        <n v="38.733333333333334" u="1"/>
        <n v="22.333333333333332" u="1"/>
        <n v="27" u="1"/>
        <n v="55.966666666666669" u="1"/>
        <n v="3.9333333333333331" u="1"/>
        <n v="5.0333333333333332" u="1"/>
        <n v="6.2" u="1"/>
        <n v="18.633333333333333" u="1"/>
        <n v="23.3" u="1"/>
        <n v="56.93333333333333" u="1"/>
        <n v="48.56666666666667" u="1"/>
        <n v="13.133333333333333" u="1"/>
        <n v="15.466666666666667" u="1"/>
        <n v="40.200000000000003" u="1"/>
        <n v="49.533333333333331" u="1"/>
        <n v="-1.6666666666666667" u="1"/>
        <n v="50.5" u="1"/>
        <n v="32.799999999999997" u="1"/>
      </sharedItems>
    </cacheField>
    <cacheField name="year" numFmtId="0">
      <sharedItems containsString="0" containsBlank="1" containsNumber="1" containsInteger="1" minValue="1900" maxValue="2017" count="8">
        <n v="2017"/>
        <n v="2016"/>
        <n v="2015"/>
        <n v="2014"/>
        <n v="2013"/>
        <n v="2012"/>
        <m/>
        <n v="1900"/>
      </sharedItems>
    </cacheField>
    <cacheField name="Distribution Date" numFmtId="0">
      <sharedItems containsNonDate="0" containsDate="1" containsString="0" containsBlank="1" minDate="2012-06-27T00:00:00" maxDate="2017-05-27T00:00:00" count="213">
        <d v="2017-05-26T00:00:00"/>
        <d v="2017-05-25T00:00:00"/>
        <d v="2017-05-22T00:00:00"/>
        <d v="2017-05-23T00:00:00"/>
        <d v="2017-05-15T00:00:00"/>
        <d v="2017-05-11T00:00:00"/>
        <d v="2017-05-05T00:00:00"/>
        <d v="2017-04-26T00:00:00"/>
        <d v="2017-04-25T00:00:00"/>
        <d v="2017-04-11T00:00:00"/>
        <d v="2017-04-10T00:00:00"/>
        <d v="2017-04-07T00:00:00"/>
        <d v="2017-04-06T00:00:00"/>
        <d v="2017-04-05T00:00:00"/>
        <d v="2017-04-04T00:00:00"/>
        <d v="2017-04-03T00:00:00"/>
        <d v="2017-03-28T00:00:00"/>
        <d v="2017-03-18T00:00:00"/>
        <d v="2017-03-17T00:00:00"/>
        <d v="2017-03-16T00:00:00"/>
        <d v="2017-03-14T00:00:00"/>
        <d v="2017-03-10T00:00:00"/>
        <d v="2017-03-06T00:00:00"/>
        <d v="2017-02-27T00:00:00"/>
        <d v="2017-02-06T00:00:00"/>
        <d v="2017-01-31T00:00:00"/>
        <d v="2017-01-23T00:00:00"/>
        <d v="2017-01-19T00:00:00"/>
        <d v="2017-01-18T00:00:00"/>
        <d v="2017-01-16T00:00:00"/>
        <d v="2017-01-04T00:00:00"/>
        <d v="2016-12-28T00:00:00"/>
        <d v="2016-12-26T00:00:00"/>
        <d v="2016-12-23T00:00:00"/>
        <d v="2016-12-09T00:00:00"/>
        <d v="2016-11-29T00:00:00"/>
        <d v="2016-11-25T00:00:00"/>
        <d v="2016-11-16T00:00:00"/>
        <d v="2016-11-10T00:00:00"/>
        <d v="2016-11-08T00:00:00"/>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42" base="2">
        <rangePr groupBy="months" startDate="2012-06-27T00:00:00" endDate="2017-05-27T00:00:00"/>
        <groupItems count="14">
          <s v="(blank)"/>
          <s v="Jan"/>
          <s v="Feb"/>
          <s v="Mar"/>
          <s v="Apr"/>
          <s v="May"/>
          <s v="Jun"/>
          <s v="Jul"/>
          <s v="Aug"/>
          <s v="Sep"/>
          <s v="Oct"/>
          <s v="Nov"/>
          <s v="Dec"/>
          <s v="&gt;5/27/2017"/>
        </groupItems>
      </fieldGroup>
    </cacheField>
    <cacheField name="Organization" numFmtId="0">
      <sharedItems containsBlank="1" count="26">
        <s v="SI"/>
        <s v="UNHCR"/>
        <s v="CDN"/>
        <s v="NRC"/>
        <s v="SCI"/>
        <s v="MRF"/>
        <s v="RI"/>
        <s v="MAUK"/>
        <s v="UNIQLO"/>
        <s v="MHAA"/>
        <s v="Gov"/>
        <s v="DRC"/>
        <s v="MRCS"/>
        <s v="LWF"/>
        <s v="IOM"/>
        <s v="Save the Children"/>
        <s v="AGE"/>
        <s v="UNFPA"/>
        <s v="Muslim Aid"/>
        <s v="UNICEF "/>
        <s v="KOICAT"/>
        <s v="ABCD"/>
        <m/>
        <s v="UNIQLO/UNHCR" u="1"/>
        <s v="Solidarites International" u="1"/>
        <s v="UNICLO"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Sittwe"/>
        <s v="Kyauktaw"/>
        <s v="Pauktaw"/>
        <s v="Myebon"/>
        <s v="Rathedaung"/>
        <s v="Kyaukpyu"/>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0">
      <sharedItems containsString="0" containsBlank="1" containsNumber="1" containsInteger="1" minValue="0" maxValue="2900"/>
    </cacheField>
    <cacheField name="Plastic Mat" numFmtId="0">
      <sharedItems containsBlank="1" containsMixedTypes="1" containsNumber="1" containsInteger="1" minValue="0" maxValue="12020"/>
    </cacheField>
    <cacheField name="Adult Clothes" numFmtId="0">
      <sharedItems containsString="0" containsBlank="1" containsNumber="1" containsInteger="1" minValue="397" maxValue="2222"/>
    </cacheField>
    <cacheField name="Children Clothes" numFmtId="0">
      <sharedItems containsString="0" containsBlank="1" containsNumber="1" containsInteger="1" minValue="624" maxValue="2017"/>
    </cacheField>
    <cacheField name="Sewing Kit" numFmtId="0">
      <sharedItems containsString="0" containsBlank="1" containsNumber="1" containsInteger="1" minValue="628" maxValue="628"/>
    </cacheField>
    <cacheField name="Solar Lantern" numFmtId="0">
      <sharedItems containsString="0" containsBlank="1" containsNumber="1" containsInteger="1" minValue="148" maxValue="241"/>
    </cacheField>
    <cacheField name="Hygiene Kit_LS" numFmtId="0">
      <sharedItems containsString="0" containsBlank="1" containsNumber="1" containsInteger="1" minValue="0" maxValue="1000"/>
    </cacheField>
    <cacheField name="NFI Core Kit_LS" numFmtId="0">
      <sharedItems containsString="0" containsBlank="1" containsNumber="1" containsInteger="1" minValue="0" maxValue="973"/>
    </cacheField>
    <cacheField name="Sanitary Kit_LS" numFmtId="0">
      <sharedItems containsString="0" containsBlank="1" containsNumber="1" containsInteger="1" minValue="0" maxValue="2007"/>
    </cacheField>
    <cacheField name="Mosquito net_LS" numFmtId="0">
      <sharedItems containsString="0" containsBlank="1" containsNumber="1" containsInteger="1" minValue="0" maxValue="2380"/>
    </cacheField>
    <cacheField name="Tarpaulin_LS" numFmtId="0">
      <sharedItems containsString="0" containsBlank="1" containsNumber="1" containsInteger="1" minValue="0" maxValue="182"/>
    </cacheField>
    <cacheField name="Blanket_LS" numFmtId="0">
      <sharedItems containsString="0" containsBlank="1" containsNumber="1" containsInteger="1" minValue="0" maxValue="4760"/>
    </cacheField>
    <cacheField name="Kitchen Set_LS" numFmtId="0">
      <sharedItems containsString="0" containsBlank="1" containsNumber="1" containsInteger="1" minValue="0" maxValue="1228"/>
    </cacheField>
    <cacheField name="Complementary Kit_LS" numFmtId="0">
      <sharedItems containsString="0" containsBlank="1" containsNumber="1" containsInteger="1" minValue="0" maxValue="195"/>
    </cacheField>
    <cacheField name="Plastic Bucket_LS" numFmtId="0">
      <sharedItems containsString="0" containsBlank="1" containsNumber="1" containsInteger="1" minValue="0" maxValue="1964"/>
    </cacheField>
    <cacheField name="Jerry Can_LS" numFmtId="0">
      <sharedItems containsString="0" containsBlank="1" containsNumber="1" containsInteger="1" minValue="0" maxValue="2900"/>
    </cacheField>
    <cacheField name="Plastic  Mat_LS" numFmtId="0">
      <sharedItems containsString="0" containsBlank="1" containsNumber="1" containsInteger="1" minValue="0" maxValue="11900"/>
    </cacheField>
    <cacheField name="Adult Clothes_LS" numFmtId="0">
      <sharedItems containsSemiMixedTypes="0" containsString="0" containsNumber="1" containsInteger="1" minValue="0" maxValue="2222"/>
    </cacheField>
    <cacheField name="Children Clothes_LS" numFmtId="0">
      <sharedItems containsSemiMixedTypes="0" containsString="0" containsNumber="1" containsInteger="1" minValue="0" maxValue="2017"/>
    </cacheField>
    <cacheField name="Sewing Kit_LS" numFmtId="0">
      <sharedItems containsSemiMixedTypes="0" containsString="0" containsNumber="1" containsInteger="1" minValue="0" maxValue="628"/>
    </cacheField>
    <cacheField name="Solar Lantern_LS" numFmtId="0">
      <sharedItems containsSemiMixedTypes="0" containsString="0" containsNumber="1" containsInteger="1" minValue="0" maxValue="241"/>
    </cacheField>
    <cacheField name="Pcode" numFmtId="0">
      <sharedItems containsBlank="1"/>
    </cacheField>
    <cacheField name="Status" numFmtId="0">
      <sharedItems containsBlank="1" count="8">
        <s v="Open"/>
        <s v="Relocated"/>
        <s v="Returned"/>
        <s v=""/>
        <s v="Close"/>
        <m/>
        <s v="Relocated in Individual Housing" u="1"/>
        <s v="Returned in Individual Housing" u="1"/>
      </sharedItems>
    </cacheField>
    <cacheField name="Remark" numFmtId="0">
      <sharedItems containsBlank="1"/>
    </cacheField>
    <cacheField name="Year2" numFmtId="0" formula="YEAR('Distribution Date')" databaseField="0"/>
    <cacheField name="Years" numFmtId="0" databaseField="0">
      <fieldGroup base="2">
        <rangePr groupBy="years" startDate="2012-06-27T00:00:00" endDate="2017-05-27T00:00:00"/>
        <groupItems count="8">
          <s v="&lt;6/27/2012"/>
          <s v="2012"/>
          <s v="2013"/>
          <s v="2014"/>
          <s v="2015"/>
          <s v="2016"/>
          <s v="2017"/>
          <s v="&gt;5/27/2017"/>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in Moe Htwe" refreshedDate="42907.508094907411"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Blank="1" containsMixedTypes="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in Moe Htwe" refreshedDate="42907.508095370373"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Mental dis. " u="1"/>
        <s v="Child HH" u="1"/>
        <s v="Elderly at Risk" u="1"/>
        <s v="Separated chidlren" u="1"/>
        <s v="Single Parent" u="1"/>
        <s v="Single Parent Female" u="1"/>
        <s v="Serious Medical Conditions" u="1"/>
        <s v="Single Parent Male" u="1"/>
        <s v="Children at Risk" u="1"/>
        <s v="Disabilities" u="1"/>
        <s v="Physical dis." u="1"/>
        <s v="Unaccompanied children" u="1"/>
        <s v="Women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7-05-31T00:00:00" maxDate="2017-06-01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in Moe Htwe" refreshedDate="42907.50809560185" createdVersion="4" refreshedVersion="5" minRefreshableVersion="3" recordCount="204">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Kan Thar Htwat Wa" u="1"/>
        <s v="Nget Chaung" u="1"/>
        <s v="Sat Roe Kya 1" u="1"/>
        <s v="Set Yone Su 3" u="1"/>
        <s v="Set Yone Su" u="1"/>
        <s v="Sat Roe Kya 2" u="1"/>
        <s v="Ba Wan Chaung Wa Su" u="1"/>
      </sharedItems>
    </cacheField>
    <cacheField name="Pcode" numFmtId="0">
      <sharedItems/>
    </cacheField>
    <cacheField name="Age_Cat" numFmtId="0">
      <sharedItems containsBlank="1" count="19">
        <s v="0-5"/>
        <s v="6 to 11"/>
        <s v="12 to 17"/>
        <s v="18 to 25"/>
        <s v="26 to 59"/>
        <s v="60+"/>
        <m u="1"/>
        <s v="18+" u="1"/>
        <s v="1 to 5" u="1"/>
        <s v="0 &lt; 5" u="1"/>
        <s v="&lt; 1" u="1"/>
        <s v="18 to 59" u="1"/>
        <s v="60 +" u="1"/>
        <s v=" 6 to 11" u="1"/>
        <s v="5 to 11" u="1"/>
        <s v="0 to 17" u="1"/>
        <s v=" 1 to 5" u="1"/>
        <s v="0 to 5" u="1"/>
        <s v=" &lt; 1" u="1"/>
      </sharedItems>
    </cacheField>
    <cacheField name="Sex" numFmtId="0">
      <sharedItems containsBlank="1" count="4">
        <s v="M"/>
        <s v="F"/>
        <m u="1"/>
        <s v="U" u="1"/>
      </sharedItems>
    </cacheField>
    <cacheField name="Total" numFmtId="0">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acheField>
    <cacheField name="Updated Date" numFmtId="170">
      <sharedItems containsSemiMixedTypes="0" containsNonDate="0" containsDate="1" containsString="0" minDate="2017-05-31T00:00:00" maxDate="2017-06-01T00: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in Moe Htwe" refreshedDate="42907.508095949073" createdVersion="5" refreshedVersion="5" minRefreshableVersion="3" recordCount="204">
  <cacheSource type="worksheet">
    <worksheetSource name="Data_Demography_t[[Township]:[Total]]"/>
  </cacheSource>
  <cacheFields count="6">
    <cacheField name="Township" numFmtId="0">
      <sharedItems count="3">
        <s v="Pauktaw"/>
        <s v="Sittwe"/>
        <s v="Myebon"/>
      </sharedItems>
    </cacheField>
    <cacheField name="Camp" numFmtId="0">
      <sharedItems count="17">
        <s v="Ah Nauk Ywe"/>
        <s v="Baw Du Pha 1"/>
        <s v="Baw Du Pha 2"/>
        <s v="Dar Pai"/>
        <s v="Khaung Doke Khar "/>
        <s v="Kyein Ni Pyin"/>
        <s v="Maw Ti Ngar"/>
        <s v="Nget Chaung 2"/>
        <s v="Ohn Taw Chay"/>
        <s v="Ohn Taw Gyi (North)"/>
        <s v="Ohn Taw Gyi (South)"/>
        <s v="Say Tha Mar Gyi"/>
        <s v="Sin Tet Maw"/>
        <s v="Taung Paw "/>
        <s v="Thae Chaung"/>
        <s v="Thet Kae Pyin "/>
        <s v="Basare"/>
      </sharedItems>
    </cacheField>
    <cacheField name="Pcode" numFmtId="0">
      <sharedItems/>
    </cacheField>
    <cacheField name="Age_Cat" numFmtId="0">
      <sharedItems containsBlank="1" count="7">
        <s v="0-5"/>
        <s v="6 to 11"/>
        <s v="12 to 17"/>
        <s v="18 to 25"/>
        <s v="26 to 59"/>
        <s v="60+"/>
        <m u="1"/>
      </sharedItems>
    </cacheField>
    <cacheField name="Sex" numFmtId="0">
      <sharedItems containsBlank="1" count="3">
        <s v="M"/>
        <s v="F"/>
        <m u="1"/>
      </sharedItems>
    </cacheField>
    <cacheField name="Total" numFmtId="0">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in Moe Htwe" refreshedDate="42907.508096296297"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May Khaing" refreshedDate="42907.57330358796" missingItemsLimit="0" createdVersion="4" refreshedVersion="5" minRefreshableVersion="3" recordCount="137">
  <cacheSource type="worksheet">
    <worksheetSource name="AllData_CampList"/>
  </cacheSource>
  <cacheFields count="37">
    <cacheField name="Status" numFmtId="0">
      <sharedItems containsBlank="1" count="5">
        <s v="Open"/>
        <s v="Relocated"/>
        <s v="Return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Rathedaung"/>
        <s v="Kyaukpyu"/>
        <s v="Myebon"/>
        <s v="Mrauk-U"/>
        <s v="Minbya"/>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Nget Chaung 1"/>
        <s v="Set Yone Su 3"/>
        <s v="Khaung Htoke"/>
        <s v="Raw Ma Ni Sin Oe"/>
        <s v="Thi Kyar"/>
        <s v="Ba Wan Chaung Wa Su"/>
        <s v="Sat Roe Kya 1"/>
        <s v="Sat Roe Kya 2"/>
        <s v="Set Yone Su"/>
        <s v="Kan Thar Htwat Wa"/>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17"/>
        <s v="MMR012CMP098"/>
        <s v="MMR012CMP115"/>
        <s v="MMR012CMP036"/>
        <s v="MMR012CMP035"/>
        <s v="MMR012CMP038"/>
        <s v="MMR012CMP116"/>
        <s v="MMR012CMP045"/>
        <s v="MMR012CMP019"/>
        <s v="MMR012CMP014"/>
        <s v="MMR012CMP046"/>
        <s v="MMR012CMP048"/>
        <s v="MMR012CMP091"/>
        <s v="MMR012CMP093"/>
        <s v="MMR012CMP030"/>
        <s v="MMR012CMP012"/>
        <s v="MMR012CMP117"/>
        <s v="MMR012CMP015"/>
        <s v="MMR012CMP111"/>
        <s v="MMR012CMP112"/>
        <s v="MMR012CMP056"/>
        <s v="MMR012CMP013"/>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40"/>
    </cacheField>
    <cacheField name="Total" numFmtId="0">
      <sharedItems containsString="0" containsBlank="1" containsNumber="1" containsInteger="1" minValue="30"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s v="Planned Camp"/>
        <s v="Host Families"/>
        <s v="Individual House"/>
        <m/>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Kaman"/>
        <s v="Maramargyi"/>
      </sharedItems>
    </cacheField>
    <cacheField name="Religion" numFmtId="0">
      <sharedItems containsBlank="1"/>
    </cacheField>
    <cacheField name="Type of Population" numFmtId="0">
      <sharedItems containsBlank="1" count="6">
        <s v="-Muslim"/>
        <s v="Rakhine-Buddhist"/>
        <s v="Kaman-Muslim"/>
        <s v="Maramargyi-Buddhist"/>
        <s v="-"/>
        <m/>
      </sharedItems>
    </cacheField>
    <cacheField name="Type of Location" numFmtId="0">
      <sharedItems containsBlank="1"/>
    </cacheField>
    <cacheField name="CM/FP" numFmtId="0">
      <sharedItems containsBlank="1" count="3">
        <s v="Focal Point"/>
        <s v="Camp Management"/>
        <m/>
      </sharedItems>
    </cacheField>
    <cacheField name="Responsible Agency" numFmtId="0">
      <sharedItems containsBlank="1" count="7">
        <s v="UNHCR"/>
        <s v="LWF"/>
        <s v="DRC"/>
        <s v="NRC"/>
        <s v="RI"/>
        <m/>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7-04-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Sophie Everest, CCCM Project Coordinator,_x000a_sophie.everest@drcmm.org,"/>
        <s v="Helen T Colon Omana, Camp Management Coordinator , helen.omana@nrc.no "/>
        <s v="Alejandro Cuyar, Head of Rakhine Programs, _x000a_alejandro.cuyar@ri.org"/>
        <s v=""/>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71"/>
          <x v="58"/>
          <x v="72"/>
          <x v="64"/>
          <x v="67"/>
          <x v="67"/>
          <x v="6"/>
          <x v="67"/>
          <x v="48"/>
          <x v="67"/>
          <x v="67"/>
          <x v="15"/>
          <x v="68"/>
          <x v="67"/>
          <x v="11"/>
          <x v="26"/>
          <x v="0"/>
          <x v="67"/>
          <x v="67"/>
          <x v="75"/>
          <x v="67"/>
          <x v="67"/>
          <x v="69"/>
          <x v="28"/>
          <x v="47"/>
          <x v="67"/>
          <x v="67"/>
          <x v="67"/>
          <x v="67"/>
          <x v="67"/>
          <x v="67"/>
          <x v="61"/>
          <x v="74"/>
          <x v="67"/>
          <x v="68"/>
          <x v="68"/>
          <x v="68"/>
          <x v="67"/>
          <x v="67"/>
          <x v="67"/>
          <x v="67"/>
          <x v="67"/>
          <x v="39"/>
          <x v="68"/>
          <x v="68"/>
          <x v="68"/>
          <x v="68"/>
          <x v="68"/>
          <x v="68"/>
          <x v="68"/>
          <x v="68"/>
          <x v="68"/>
          <x v="68"/>
          <x v="68"/>
          <x v="68"/>
          <x v="68"/>
          <x v="68"/>
          <x v="68"/>
          <x v="68"/>
          <x v="68"/>
          <x v="68"/>
          <x v="1"/>
          <x v="38"/>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99">
  <r>
    <x v="0"/>
    <x v="0"/>
    <x v="0"/>
    <x v="0"/>
    <s v="SI"/>
    <x v="0"/>
    <x v="0"/>
    <s v="Khaung Doke Khar "/>
    <m/>
    <m/>
    <n v="400"/>
    <m/>
    <m/>
    <m/>
    <m/>
    <m/>
    <m/>
    <m/>
    <m/>
    <m/>
    <m/>
    <m/>
    <m/>
    <n v="0"/>
    <n v="0"/>
    <n v="400"/>
    <n v="0"/>
    <n v="0"/>
    <n v="0"/>
    <n v="0"/>
    <n v="0"/>
    <n v="0"/>
    <n v="0"/>
    <n v="0"/>
    <n v="0"/>
    <n v="0"/>
    <n v="0"/>
    <n v="0"/>
    <s v="MMR012CMP042"/>
    <x v="0"/>
    <m/>
  </r>
  <r>
    <x v="0"/>
    <x v="0"/>
    <x v="0"/>
    <x v="1"/>
    <s v="LWF"/>
    <x v="0"/>
    <x v="0"/>
    <s v="Khaung Doke Khar "/>
    <m/>
    <m/>
    <m/>
    <m/>
    <n v="112"/>
    <m/>
    <m/>
    <m/>
    <m/>
    <m/>
    <m/>
    <m/>
    <m/>
    <m/>
    <m/>
    <n v="0"/>
    <n v="0"/>
    <n v="0"/>
    <n v="0"/>
    <n v="112"/>
    <n v="0"/>
    <n v="0"/>
    <n v="0"/>
    <n v="0"/>
    <n v="0"/>
    <n v="0"/>
    <n v="0"/>
    <n v="0"/>
    <n v="0"/>
    <n v="0"/>
    <s v="MMR012CMP042"/>
    <x v="0"/>
    <m/>
  </r>
  <r>
    <x v="1"/>
    <x v="0"/>
    <x v="1"/>
    <x v="2"/>
    <s v="CDN"/>
    <x v="0"/>
    <x v="0"/>
    <s v="Ohn Taw Chay"/>
    <m/>
    <m/>
    <m/>
    <m/>
    <m/>
    <m/>
    <m/>
    <m/>
    <n v="635"/>
    <m/>
    <m/>
    <m/>
    <m/>
    <m/>
    <m/>
    <n v="0"/>
    <n v="0"/>
    <n v="0"/>
    <n v="0"/>
    <n v="0"/>
    <n v="0"/>
    <n v="0"/>
    <n v="0"/>
    <n v="635"/>
    <n v="0"/>
    <n v="0"/>
    <n v="0"/>
    <n v="0"/>
    <n v="0"/>
    <n v="0"/>
    <s v="MMR012CMP098"/>
    <x v="0"/>
    <m/>
  </r>
  <r>
    <x v="2"/>
    <x v="0"/>
    <x v="2"/>
    <x v="3"/>
    <s v="NRC"/>
    <x v="0"/>
    <x v="0"/>
    <s v="Thet Kae Pyin "/>
    <m/>
    <n v="30"/>
    <m/>
    <m/>
    <m/>
    <m/>
    <m/>
    <m/>
    <m/>
    <m/>
    <m/>
    <m/>
    <m/>
    <m/>
    <m/>
    <n v="0"/>
    <n v="30"/>
    <n v="0"/>
    <n v="0"/>
    <n v="0"/>
    <n v="0"/>
    <n v="0"/>
    <n v="0"/>
    <n v="0"/>
    <n v="0"/>
    <n v="0"/>
    <n v="0"/>
    <n v="0"/>
    <n v="0"/>
    <n v="0"/>
    <s v="MMR012CMP048"/>
    <x v="0"/>
    <m/>
  </r>
  <r>
    <x v="3"/>
    <x v="0"/>
    <x v="3"/>
    <x v="4"/>
    <s v="SCI"/>
    <x v="0"/>
    <x v="0"/>
    <s v="Basare"/>
    <m/>
    <m/>
    <n v="397"/>
    <m/>
    <m/>
    <m/>
    <m/>
    <m/>
    <m/>
    <m/>
    <m/>
    <m/>
    <m/>
    <m/>
    <m/>
    <n v="0"/>
    <n v="0"/>
    <n v="397"/>
    <n v="0"/>
    <n v="0"/>
    <n v="0"/>
    <n v="0"/>
    <n v="0"/>
    <n v="0"/>
    <n v="0"/>
    <n v="0"/>
    <n v="0"/>
    <n v="0"/>
    <n v="0"/>
    <n v="0"/>
    <s v="MMR012CMP039"/>
    <x v="0"/>
    <m/>
  </r>
  <r>
    <x v="4"/>
    <x v="0"/>
    <x v="4"/>
    <x v="4"/>
    <s v="SCI"/>
    <x v="0"/>
    <x v="0"/>
    <s v="Maw Ti Ngar"/>
    <m/>
    <m/>
    <n v="656"/>
    <m/>
    <m/>
    <m/>
    <m/>
    <m/>
    <n v="104"/>
    <m/>
    <m/>
    <m/>
    <m/>
    <m/>
    <m/>
    <n v="0"/>
    <n v="0"/>
    <n v="656"/>
    <n v="0"/>
    <n v="0"/>
    <n v="0"/>
    <n v="0"/>
    <n v="0"/>
    <n v="104"/>
    <n v="0"/>
    <n v="0"/>
    <n v="0"/>
    <n v="0"/>
    <n v="0"/>
    <n v="0"/>
    <s v="MMR012CMP092"/>
    <x v="0"/>
    <m/>
  </r>
  <r>
    <x v="5"/>
    <x v="0"/>
    <x v="5"/>
    <x v="4"/>
    <s v="SCI"/>
    <x v="0"/>
    <x v="0"/>
    <s v="Thet Kae Pyin "/>
    <m/>
    <m/>
    <n v="998"/>
    <m/>
    <m/>
    <m/>
    <m/>
    <m/>
    <m/>
    <m/>
    <m/>
    <m/>
    <m/>
    <m/>
    <m/>
    <n v="0"/>
    <n v="0"/>
    <n v="998"/>
    <n v="0"/>
    <n v="0"/>
    <n v="0"/>
    <n v="0"/>
    <n v="0"/>
    <n v="0"/>
    <n v="0"/>
    <n v="0"/>
    <n v="0"/>
    <n v="0"/>
    <n v="0"/>
    <n v="0"/>
    <s v="MMR012CMP048"/>
    <x v="0"/>
    <m/>
  </r>
  <r>
    <x v="6"/>
    <x v="0"/>
    <x v="6"/>
    <x v="1"/>
    <s v="UNHCR"/>
    <x v="0"/>
    <x v="1"/>
    <s v="Nidin"/>
    <m/>
    <m/>
    <m/>
    <n v="182"/>
    <n v="182"/>
    <n v="182"/>
    <n v="91"/>
    <m/>
    <m/>
    <n v="91"/>
    <n v="455"/>
    <m/>
    <m/>
    <m/>
    <m/>
    <n v="0"/>
    <n v="0"/>
    <n v="0"/>
    <n v="182"/>
    <n v="182"/>
    <n v="182"/>
    <n v="91"/>
    <n v="0"/>
    <n v="0"/>
    <n v="91"/>
    <n v="455"/>
    <n v="0"/>
    <n v="0"/>
    <n v="0"/>
    <n v="0"/>
    <s v="MMR012CMP023"/>
    <x v="0"/>
    <m/>
  </r>
  <r>
    <x v="7"/>
    <x v="0"/>
    <x v="7"/>
    <x v="1"/>
    <s v="LWF"/>
    <x v="0"/>
    <x v="2"/>
    <s v="Nget Chaung 2"/>
    <m/>
    <m/>
    <m/>
    <m/>
    <m/>
    <m/>
    <m/>
    <m/>
    <m/>
    <m/>
    <m/>
    <m/>
    <m/>
    <m/>
    <n v="148"/>
    <n v="0"/>
    <n v="0"/>
    <n v="0"/>
    <n v="0"/>
    <n v="0"/>
    <n v="0"/>
    <n v="0"/>
    <n v="0"/>
    <n v="0"/>
    <n v="0"/>
    <n v="0"/>
    <n v="0"/>
    <n v="0"/>
    <n v="0"/>
    <n v="148"/>
    <s v="MMR012CMP017"/>
    <x v="0"/>
    <m/>
  </r>
  <r>
    <x v="8"/>
    <x v="0"/>
    <x v="8"/>
    <x v="1"/>
    <s v="LWF"/>
    <x v="0"/>
    <x v="2"/>
    <s v="Ah Nauk Ywe"/>
    <m/>
    <m/>
    <m/>
    <m/>
    <m/>
    <m/>
    <m/>
    <m/>
    <m/>
    <m/>
    <m/>
    <m/>
    <m/>
    <m/>
    <n v="241"/>
    <n v="0"/>
    <n v="0"/>
    <n v="0"/>
    <n v="0"/>
    <n v="0"/>
    <n v="0"/>
    <n v="0"/>
    <n v="0"/>
    <n v="0"/>
    <n v="0"/>
    <n v="0"/>
    <n v="0"/>
    <n v="0"/>
    <n v="0"/>
    <n v="241"/>
    <s v="MMR012CMP016"/>
    <x v="0"/>
    <m/>
  </r>
  <r>
    <x v="9"/>
    <x v="0"/>
    <x v="9"/>
    <x v="4"/>
    <s v="SCI"/>
    <x v="0"/>
    <x v="0"/>
    <s v="Maw Ti Ngar"/>
    <m/>
    <m/>
    <m/>
    <m/>
    <m/>
    <m/>
    <m/>
    <n v="6"/>
    <m/>
    <m/>
    <m/>
    <m/>
    <m/>
    <m/>
    <m/>
    <n v="0"/>
    <n v="0"/>
    <n v="0"/>
    <n v="0"/>
    <n v="0"/>
    <n v="0"/>
    <n v="0"/>
    <n v="6"/>
    <n v="0"/>
    <n v="0"/>
    <n v="0"/>
    <n v="0"/>
    <n v="0"/>
    <n v="0"/>
    <n v="0"/>
    <s v="MMR012CMP092"/>
    <x v="0"/>
    <m/>
  </r>
  <r>
    <x v="10"/>
    <x v="0"/>
    <x v="10"/>
    <x v="4"/>
    <s v="SCI"/>
    <x v="0"/>
    <x v="0"/>
    <s v="Thet Kae Pyin "/>
    <m/>
    <m/>
    <m/>
    <m/>
    <m/>
    <m/>
    <m/>
    <m/>
    <m/>
    <n v="125"/>
    <m/>
    <m/>
    <m/>
    <m/>
    <m/>
    <n v="0"/>
    <n v="0"/>
    <n v="0"/>
    <n v="0"/>
    <n v="0"/>
    <n v="0"/>
    <n v="0"/>
    <n v="0"/>
    <n v="0"/>
    <n v="125"/>
    <n v="0"/>
    <n v="0"/>
    <n v="0"/>
    <n v="0"/>
    <n v="0"/>
    <s v="MMR012CMP048"/>
    <x v="0"/>
    <m/>
  </r>
  <r>
    <x v="11"/>
    <x v="0"/>
    <x v="11"/>
    <x v="0"/>
    <s v="SI"/>
    <x v="0"/>
    <x v="0"/>
    <s v="Thae Chaung"/>
    <m/>
    <m/>
    <n v="1137"/>
    <m/>
    <m/>
    <m/>
    <m/>
    <m/>
    <m/>
    <m/>
    <m/>
    <m/>
    <m/>
    <m/>
    <m/>
    <n v="0"/>
    <n v="0"/>
    <n v="1137"/>
    <n v="0"/>
    <n v="0"/>
    <n v="0"/>
    <n v="0"/>
    <n v="0"/>
    <n v="0"/>
    <n v="0"/>
    <n v="0"/>
    <n v="0"/>
    <n v="0"/>
    <n v="0"/>
    <n v="0"/>
    <s v="MMR012CMP046"/>
    <x v="0"/>
    <m/>
  </r>
  <r>
    <x v="12"/>
    <x v="0"/>
    <x v="12"/>
    <x v="0"/>
    <s v="SI"/>
    <x v="0"/>
    <x v="0"/>
    <s v="Khaung Doke Khar "/>
    <m/>
    <m/>
    <n v="400"/>
    <m/>
    <m/>
    <m/>
    <m/>
    <m/>
    <m/>
    <m/>
    <m/>
    <m/>
    <m/>
    <m/>
    <m/>
    <n v="0"/>
    <n v="0"/>
    <n v="400"/>
    <n v="0"/>
    <n v="0"/>
    <n v="0"/>
    <n v="0"/>
    <n v="0"/>
    <n v="0"/>
    <n v="0"/>
    <n v="0"/>
    <n v="0"/>
    <n v="0"/>
    <n v="0"/>
    <n v="0"/>
    <s v="MMR012CMP042"/>
    <x v="0"/>
    <m/>
  </r>
  <r>
    <x v="13"/>
    <x v="0"/>
    <x v="13"/>
    <x v="0"/>
    <s v="SI"/>
    <x v="0"/>
    <x v="0"/>
    <s v="Dar Pai"/>
    <m/>
    <m/>
    <n v="2007"/>
    <m/>
    <m/>
    <m/>
    <m/>
    <m/>
    <m/>
    <m/>
    <m/>
    <m/>
    <m/>
    <m/>
    <m/>
    <n v="0"/>
    <n v="0"/>
    <n v="2007"/>
    <n v="0"/>
    <n v="0"/>
    <n v="0"/>
    <n v="0"/>
    <n v="0"/>
    <n v="0"/>
    <n v="0"/>
    <n v="0"/>
    <n v="0"/>
    <n v="0"/>
    <n v="0"/>
    <n v="0"/>
    <s v="MMR012CMP041"/>
    <x v="0"/>
    <m/>
  </r>
  <r>
    <x v="14"/>
    <x v="0"/>
    <x v="14"/>
    <x v="0"/>
    <s v="SI"/>
    <x v="0"/>
    <x v="0"/>
    <s v="Baw Du Pha 2"/>
    <m/>
    <m/>
    <n v="1236"/>
    <m/>
    <m/>
    <m/>
    <m/>
    <m/>
    <m/>
    <m/>
    <m/>
    <m/>
    <m/>
    <m/>
    <m/>
    <n v="0"/>
    <n v="0"/>
    <n v="1236"/>
    <n v="0"/>
    <n v="0"/>
    <n v="0"/>
    <n v="0"/>
    <n v="0"/>
    <n v="0"/>
    <n v="0"/>
    <n v="0"/>
    <n v="0"/>
    <n v="0"/>
    <n v="0"/>
    <n v="0"/>
    <s v="MMR012CMP114"/>
    <x v="0"/>
    <m/>
  </r>
  <r>
    <x v="15"/>
    <x v="0"/>
    <x v="15"/>
    <x v="0"/>
    <s v="SI"/>
    <x v="0"/>
    <x v="0"/>
    <s v="Baw Du Pha 1"/>
    <m/>
    <m/>
    <n v="1127"/>
    <m/>
    <m/>
    <m/>
    <m/>
    <m/>
    <m/>
    <m/>
    <m/>
    <m/>
    <m/>
    <m/>
    <m/>
    <n v="0"/>
    <n v="0"/>
    <n v="1127"/>
    <n v="0"/>
    <n v="0"/>
    <n v="0"/>
    <n v="0"/>
    <n v="0"/>
    <n v="0"/>
    <n v="0"/>
    <n v="0"/>
    <n v="0"/>
    <n v="0"/>
    <n v="0"/>
    <n v="0"/>
    <s v="MMR012CMP113"/>
    <x v="0"/>
    <m/>
  </r>
  <r>
    <x v="16"/>
    <x v="0"/>
    <x v="16"/>
    <x v="5"/>
    <s v="MRF"/>
    <x v="0"/>
    <x v="0"/>
    <s v="Ohn Taw Gyi (South)"/>
    <m/>
    <m/>
    <m/>
    <n v="1450"/>
    <m/>
    <n v="1450"/>
    <m/>
    <m/>
    <n v="1450"/>
    <n v="2900"/>
    <m/>
    <n v="2175"/>
    <n v="725"/>
    <m/>
    <m/>
    <n v="0"/>
    <n v="0"/>
    <n v="0"/>
    <n v="1450"/>
    <n v="0"/>
    <n v="1450"/>
    <n v="0"/>
    <n v="0"/>
    <n v="1450"/>
    <n v="2900"/>
    <n v="0"/>
    <n v="2175"/>
    <n v="725"/>
    <n v="0"/>
    <n v="0"/>
    <s v="MMR012CMP116"/>
    <x v="0"/>
    <m/>
  </r>
  <r>
    <x v="17"/>
    <x v="0"/>
    <x v="17"/>
    <x v="6"/>
    <s v="RI"/>
    <x v="0"/>
    <x v="3"/>
    <s v="Taung Paw "/>
    <m/>
    <m/>
    <n v="622"/>
    <m/>
    <m/>
    <m/>
    <m/>
    <m/>
    <m/>
    <m/>
    <m/>
    <m/>
    <m/>
    <m/>
    <m/>
    <n v="0"/>
    <n v="0"/>
    <n v="622"/>
    <n v="0"/>
    <n v="0"/>
    <n v="0"/>
    <n v="0"/>
    <n v="0"/>
    <n v="0"/>
    <n v="0"/>
    <n v="0"/>
    <n v="0"/>
    <n v="0"/>
    <n v="0"/>
    <n v="0"/>
    <s v="MMR012CMP014"/>
    <x v="0"/>
    <m/>
  </r>
  <r>
    <x v="18"/>
    <x v="0"/>
    <x v="18"/>
    <x v="1"/>
    <s v="LWF"/>
    <x v="0"/>
    <x v="0"/>
    <s v="Thae Chaung"/>
    <m/>
    <m/>
    <m/>
    <n v="2380"/>
    <m/>
    <n v="4760"/>
    <m/>
    <m/>
    <m/>
    <m/>
    <n v="11900"/>
    <m/>
    <m/>
    <m/>
    <m/>
    <n v="0"/>
    <n v="0"/>
    <n v="0"/>
    <n v="2380"/>
    <n v="0"/>
    <n v="4760"/>
    <n v="0"/>
    <n v="0"/>
    <n v="0"/>
    <n v="0"/>
    <n v="11900"/>
    <n v="0"/>
    <n v="0"/>
    <n v="0"/>
    <n v="0"/>
    <s v="MMR012CMP046"/>
    <x v="0"/>
    <m/>
  </r>
  <r>
    <x v="19"/>
    <x v="0"/>
    <x v="19"/>
    <x v="1"/>
    <s v="LWF"/>
    <x v="0"/>
    <x v="2"/>
    <s v="Nget Chaung 2"/>
    <m/>
    <m/>
    <m/>
    <n v="856"/>
    <m/>
    <m/>
    <m/>
    <m/>
    <m/>
    <m/>
    <m/>
    <m/>
    <m/>
    <m/>
    <m/>
    <n v="0"/>
    <n v="0"/>
    <n v="0"/>
    <n v="856"/>
    <n v="0"/>
    <n v="0"/>
    <n v="0"/>
    <n v="0"/>
    <n v="0"/>
    <n v="0"/>
    <n v="0"/>
    <n v="0"/>
    <n v="0"/>
    <n v="0"/>
    <n v="0"/>
    <s v="MMR012CMP017"/>
    <x v="0"/>
    <m/>
  </r>
  <r>
    <x v="19"/>
    <x v="0"/>
    <x v="19"/>
    <x v="1"/>
    <s v="LWF"/>
    <x v="0"/>
    <x v="2"/>
    <s v="Ah Nauk Ywe"/>
    <m/>
    <m/>
    <m/>
    <n v="1238"/>
    <m/>
    <m/>
    <m/>
    <m/>
    <m/>
    <m/>
    <m/>
    <m/>
    <m/>
    <m/>
    <m/>
    <n v="0"/>
    <n v="0"/>
    <n v="0"/>
    <n v="1238"/>
    <n v="0"/>
    <n v="0"/>
    <n v="0"/>
    <n v="0"/>
    <n v="0"/>
    <n v="0"/>
    <n v="0"/>
    <n v="0"/>
    <n v="0"/>
    <n v="0"/>
    <n v="0"/>
    <s v="MMR012CMP016"/>
    <x v="0"/>
    <m/>
  </r>
  <r>
    <x v="20"/>
    <x v="0"/>
    <x v="20"/>
    <x v="1"/>
    <s v="LWF"/>
    <x v="0"/>
    <x v="0"/>
    <s v="Khaung Doke Khar "/>
    <m/>
    <m/>
    <m/>
    <n v="799"/>
    <m/>
    <m/>
    <n v="799"/>
    <m/>
    <m/>
    <m/>
    <m/>
    <m/>
    <m/>
    <m/>
    <m/>
    <n v="0"/>
    <n v="0"/>
    <n v="0"/>
    <n v="799"/>
    <n v="0"/>
    <n v="0"/>
    <n v="799"/>
    <n v="0"/>
    <n v="0"/>
    <n v="0"/>
    <n v="0"/>
    <n v="0"/>
    <n v="0"/>
    <n v="0"/>
    <n v="0"/>
    <s v="MMR012CMP042"/>
    <x v="0"/>
    <m/>
  </r>
  <r>
    <x v="21"/>
    <x v="0"/>
    <x v="21"/>
    <x v="1"/>
    <s v="LWF"/>
    <x v="0"/>
    <x v="0"/>
    <s v="Basare"/>
    <m/>
    <m/>
    <m/>
    <n v="397"/>
    <m/>
    <n v="794"/>
    <n v="397"/>
    <m/>
    <m/>
    <m/>
    <n v="1859"/>
    <m/>
    <m/>
    <m/>
    <m/>
    <n v="0"/>
    <n v="0"/>
    <n v="0"/>
    <n v="397"/>
    <n v="0"/>
    <n v="794"/>
    <n v="397"/>
    <n v="0"/>
    <n v="0"/>
    <n v="0"/>
    <n v="1859"/>
    <n v="0"/>
    <n v="0"/>
    <n v="0"/>
    <n v="0"/>
    <s v="MMR012CMP039"/>
    <x v="0"/>
    <m/>
  </r>
  <r>
    <x v="22"/>
    <x v="0"/>
    <x v="22"/>
    <x v="3"/>
    <s v="NRC"/>
    <x v="0"/>
    <x v="4"/>
    <s v="Ah Htet Nan Yar"/>
    <m/>
    <n v="270"/>
    <m/>
    <m/>
    <m/>
    <n v="270"/>
    <m/>
    <m/>
    <m/>
    <m/>
    <m/>
    <m/>
    <m/>
    <m/>
    <m/>
    <n v="0"/>
    <n v="270"/>
    <n v="0"/>
    <n v="0"/>
    <n v="0"/>
    <n v="270"/>
    <n v="0"/>
    <n v="0"/>
    <n v="0"/>
    <n v="0"/>
    <n v="0"/>
    <n v="0"/>
    <n v="0"/>
    <n v="0"/>
    <n v="0"/>
    <s v="MMR012CMP034"/>
    <x v="0"/>
    <m/>
  </r>
  <r>
    <x v="23"/>
    <x v="0"/>
    <x v="23"/>
    <x v="7"/>
    <s v="MAUK"/>
    <x v="0"/>
    <x v="0"/>
    <s v="Ohn Taw Gyi (South)"/>
    <m/>
    <m/>
    <m/>
    <m/>
    <m/>
    <m/>
    <m/>
    <m/>
    <m/>
    <m/>
    <m/>
    <m/>
    <n v="2009"/>
    <m/>
    <m/>
    <n v="0"/>
    <n v="0"/>
    <n v="0"/>
    <n v="0"/>
    <n v="0"/>
    <n v="0"/>
    <n v="0"/>
    <n v="0"/>
    <n v="0"/>
    <n v="0"/>
    <n v="0"/>
    <n v="0"/>
    <n v="2009"/>
    <n v="0"/>
    <n v="0"/>
    <s v="MMR012CMP116"/>
    <x v="0"/>
    <m/>
  </r>
  <r>
    <x v="24"/>
    <x v="0"/>
    <x v="24"/>
    <x v="8"/>
    <s v="LWF"/>
    <x v="0"/>
    <x v="0"/>
    <s v="Thae Chaung"/>
    <m/>
    <m/>
    <m/>
    <m/>
    <m/>
    <m/>
    <m/>
    <m/>
    <m/>
    <m/>
    <m/>
    <m/>
    <n v="2017"/>
    <m/>
    <m/>
    <n v="0"/>
    <n v="0"/>
    <n v="0"/>
    <n v="0"/>
    <n v="0"/>
    <n v="0"/>
    <n v="0"/>
    <n v="0"/>
    <n v="0"/>
    <n v="0"/>
    <n v="0"/>
    <n v="0"/>
    <n v="2017"/>
    <n v="0"/>
    <n v="0"/>
    <s v="MMR012CMP046"/>
    <x v="0"/>
    <m/>
  </r>
  <r>
    <x v="25"/>
    <x v="0"/>
    <x v="25"/>
    <x v="4"/>
    <s v="SCI"/>
    <x v="0"/>
    <x v="0"/>
    <s v="Basare"/>
    <m/>
    <m/>
    <n v="397"/>
    <m/>
    <m/>
    <m/>
    <m/>
    <m/>
    <m/>
    <m/>
    <m/>
    <m/>
    <m/>
    <m/>
    <m/>
    <n v="0"/>
    <n v="0"/>
    <n v="397"/>
    <n v="0"/>
    <n v="0"/>
    <n v="0"/>
    <n v="0"/>
    <n v="0"/>
    <n v="0"/>
    <n v="0"/>
    <n v="0"/>
    <n v="0"/>
    <n v="0"/>
    <n v="0"/>
    <n v="0"/>
    <s v="MMR012CMP039"/>
    <x v="0"/>
    <m/>
  </r>
  <r>
    <x v="26"/>
    <x v="0"/>
    <x v="26"/>
    <x v="8"/>
    <s v="LWF"/>
    <x v="0"/>
    <x v="2"/>
    <s v="Nget Chaung 2"/>
    <m/>
    <m/>
    <m/>
    <m/>
    <m/>
    <m/>
    <m/>
    <m/>
    <m/>
    <m/>
    <m/>
    <n v="856"/>
    <m/>
    <m/>
    <m/>
    <n v="0"/>
    <n v="0"/>
    <n v="0"/>
    <n v="0"/>
    <n v="0"/>
    <n v="0"/>
    <n v="0"/>
    <n v="0"/>
    <n v="0"/>
    <n v="0"/>
    <n v="0"/>
    <n v="856"/>
    <n v="0"/>
    <n v="0"/>
    <n v="0"/>
    <s v="MMR012CMP017"/>
    <x v="0"/>
    <s v="Distributed Item number is number of HH"/>
  </r>
  <r>
    <x v="26"/>
    <x v="0"/>
    <x v="26"/>
    <x v="8"/>
    <s v="LWF"/>
    <x v="0"/>
    <x v="2"/>
    <s v="Ah Nauk Ywe"/>
    <m/>
    <m/>
    <m/>
    <m/>
    <m/>
    <m/>
    <m/>
    <m/>
    <m/>
    <m/>
    <m/>
    <n v="1164"/>
    <m/>
    <m/>
    <m/>
    <n v="0"/>
    <n v="0"/>
    <n v="0"/>
    <n v="0"/>
    <n v="0"/>
    <n v="0"/>
    <n v="0"/>
    <n v="0"/>
    <n v="0"/>
    <n v="0"/>
    <n v="0"/>
    <n v="1164"/>
    <n v="0"/>
    <n v="0"/>
    <n v="0"/>
    <s v="MMR012CMP016"/>
    <x v="0"/>
    <s v="Distributed Item number is number of HH"/>
  </r>
  <r>
    <x v="26"/>
    <x v="0"/>
    <x v="26"/>
    <x v="2"/>
    <s v="CDN"/>
    <x v="0"/>
    <x v="0"/>
    <s v="Khaung Doke Khar "/>
    <m/>
    <m/>
    <n v="799"/>
    <m/>
    <m/>
    <m/>
    <m/>
    <m/>
    <m/>
    <m/>
    <m/>
    <m/>
    <m/>
    <m/>
    <m/>
    <n v="0"/>
    <n v="0"/>
    <n v="799"/>
    <n v="0"/>
    <n v="0"/>
    <n v="0"/>
    <n v="0"/>
    <n v="0"/>
    <n v="0"/>
    <n v="0"/>
    <n v="0"/>
    <n v="0"/>
    <n v="0"/>
    <n v="0"/>
    <n v="0"/>
    <s v="MMR012CMP042"/>
    <x v="0"/>
    <s v="Distributed Item number is number of HH"/>
  </r>
  <r>
    <x v="26"/>
    <x v="0"/>
    <x v="26"/>
    <x v="9"/>
    <s v="MHAA"/>
    <x v="0"/>
    <x v="3"/>
    <s v="Taung Paw "/>
    <m/>
    <m/>
    <m/>
    <n v="690"/>
    <m/>
    <m/>
    <m/>
    <m/>
    <m/>
    <m/>
    <m/>
    <m/>
    <m/>
    <m/>
    <m/>
    <n v="0"/>
    <n v="0"/>
    <n v="0"/>
    <n v="690"/>
    <n v="0"/>
    <n v="0"/>
    <n v="0"/>
    <n v="0"/>
    <n v="0"/>
    <n v="0"/>
    <n v="0"/>
    <n v="0"/>
    <n v="0"/>
    <n v="0"/>
    <n v="0"/>
    <s v="MMR012CMP014"/>
    <x v="0"/>
    <s v="Distributed Item number is also the same with HH"/>
  </r>
  <r>
    <x v="27"/>
    <x v="0"/>
    <x v="27"/>
    <x v="10"/>
    <s v="Gov"/>
    <x v="0"/>
    <x v="0"/>
    <s v="Ohn Taw Gyi (South)"/>
    <m/>
    <n v="350"/>
    <m/>
    <m/>
    <m/>
    <m/>
    <m/>
    <m/>
    <m/>
    <m/>
    <m/>
    <m/>
    <m/>
    <m/>
    <m/>
    <n v="0"/>
    <n v="350"/>
    <n v="0"/>
    <n v="0"/>
    <n v="0"/>
    <n v="0"/>
    <n v="0"/>
    <n v="0"/>
    <n v="0"/>
    <n v="0"/>
    <n v="0"/>
    <n v="0"/>
    <n v="0"/>
    <n v="0"/>
    <n v="0"/>
    <s v="MMR012CMP116"/>
    <x v="0"/>
    <s v="Gov provided 350 kits which include noodle, clothes and wheat. "/>
  </r>
  <r>
    <x v="27"/>
    <x v="0"/>
    <x v="27"/>
    <x v="8"/>
    <s v="LWF"/>
    <x v="0"/>
    <x v="0"/>
    <s v="Ohn Taw Gyi (South)"/>
    <m/>
    <m/>
    <m/>
    <m/>
    <m/>
    <m/>
    <m/>
    <m/>
    <m/>
    <m/>
    <m/>
    <n v="2222"/>
    <m/>
    <m/>
    <m/>
    <n v="0"/>
    <n v="0"/>
    <n v="0"/>
    <n v="0"/>
    <n v="0"/>
    <n v="0"/>
    <n v="0"/>
    <n v="0"/>
    <n v="0"/>
    <n v="0"/>
    <n v="0"/>
    <n v="2222"/>
    <n v="0"/>
    <n v="0"/>
    <n v="0"/>
    <s v="MMR012CMP116"/>
    <x v="0"/>
    <s v="Distributed Item number is number of HH"/>
  </r>
  <r>
    <x v="27"/>
    <x v="0"/>
    <x v="27"/>
    <x v="8"/>
    <s v="NRC"/>
    <x v="0"/>
    <x v="0"/>
    <s v="Thet Kae Pyin "/>
    <m/>
    <m/>
    <m/>
    <m/>
    <m/>
    <m/>
    <m/>
    <m/>
    <m/>
    <m/>
    <m/>
    <n v="988"/>
    <n v="988"/>
    <m/>
    <m/>
    <n v="0"/>
    <n v="0"/>
    <n v="0"/>
    <n v="0"/>
    <n v="0"/>
    <n v="0"/>
    <n v="0"/>
    <n v="0"/>
    <n v="0"/>
    <n v="0"/>
    <n v="0"/>
    <n v="988"/>
    <n v="988"/>
    <n v="0"/>
    <n v="0"/>
    <s v="MMR012CMP048"/>
    <x v="0"/>
    <s v="Distributed Item number is number of HH"/>
  </r>
  <r>
    <x v="28"/>
    <x v="0"/>
    <x v="28"/>
    <x v="8"/>
    <s v="LWF"/>
    <x v="0"/>
    <x v="0"/>
    <s v="Khaung Doke Khar "/>
    <m/>
    <m/>
    <m/>
    <m/>
    <m/>
    <m/>
    <m/>
    <m/>
    <m/>
    <m/>
    <m/>
    <n v="799"/>
    <m/>
    <m/>
    <m/>
    <n v="0"/>
    <n v="0"/>
    <n v="0"/>
    <n v="0"/>
    <n v="0"/>
    <n v="0"/>
    <n v="0"/>
    <n v="0"/>
    <n v="0"/>
    <n v="0"/>
    <n v="0"/>
    <n v="799"/>
    <n v="0"/>
    <n v="0"/>
    <n v="0"/>
    <s v="MMR012CMP042"/>
    <x v="0"/>
    <s v="Distributed Item number is number of HH"/>
  </r>
  <r>
    <x v="28"/>
    <x v="0"/>
    <x v="28"/>
    <x v="8"/>
    <s v="LWF"/>
    <x v="0"/>
    <x v="0"/>
    <s v="Basare"/>
    <m/>
    <m/>
    <m/>
    <m/>
    <m/>
    <m/>
    <m/>
    <m/>
    <m/>
    <m/>
    <m/>
    <n v="397"/>
    <m/>
    <m/>
    <m/>
    <n v="0"/>
    <n v="0"/>
    <n v="0"/>
    <n v="0"/>
    <n v="0"/>
    <n v="0"/>
    <n v="0"/>
    <n v="0"/>
    <n v="0"/>
    <n v="0"/>
    <n v="0"/>
    <n v="397"/>
    <n v="0"/>
    <n v="0"/>
    <n v="0"/>
    <s v="MMR012CMP039"/>
    <x v="0"/>
    <s v="Distributed Item number is number of HH"/>
  </r>
  <r>
    <x v="29"/>
    <x v="0"/>
    <x v="29"/>
    <x v="8"/>
    <s v="NRC"/>
    <x v="0"/>
    <x v="0"/>
    <s v="Maw Ti Ngar"/>
    <m/>
    <m/>
    <m/>
    <m/>
    <m/>
    <m/>
    <m/>
    <m/>
    <m/>
    <m/>
    <m/>
    <n v="624"/>
    <n v="624"/>
    <m/>
    <m/>
    <n v="0"/>
    <n v="0"/>
    <n v="0"/>
    <n v="0"/>
    <n v="0"/>
    <n v="0"/>
    <n v="0"/>
    <n v="0"/>
    <n v="0"/>
    <n v="0"/>
    <n v="0"/>
    <n v="624"/>
    <n v="624"/>
    <n v="0"/>
    <n v="0"/>
    <s v="MMR012CMP092"/>
    <x v="0"/>
    <s v="Distributed Item number is number of HH"/>
  </r>
  <r>
    <x v="30"/>
    <x v="0"/>
    <x v="30"/>
    <x v="6"/>
    <s v="RI"/>
    <x v="0"/>
    <x v="3"/>
    <s v="Taung Paw "/>
    <m/>
    <m/>
    <n v="703"/>
    <m/>
    <m/>
    <m/>
    <m/>
    <m/>
    <m/>
    <m/>
    <m/>
    <m/>
    <m/>
    <m/>
    <m/>
    <n v="0"/>
    <n v="0"/>
    <n v="703"/>
    <n v="0"/>
    <n v="0"/>
    <n v="0"/>
    <n v="0"/>
    <n v="0"/>
    <n v="0"/>
    <n v="0"/>
    <n v="0"/>
    <n v="0"/>
    <n v="0"/>
    <n v="0"/>
    <n v="0"/>
    <s v="MMR012CMP014"/>
    <x v="0"/>
    <s v="Distributed Item number is also the same with HH"/>
  </r>
  <r>
    <x v="31"/>
    <x v="1"/>
    <x v="31"/>
    <x v="6"/>
    <s v="RI"/>
    <x v="0"/>
    <x v="3"/>
    <s v="Taung Paw "/>
    <m/>
    <m/>
    <m/>
    <m/>
    <m/>
    <m/>
    <m/>
    <m/>
    <m/>
    <m/>
    <m/>
    <m/>
    <m/>
    <n v="628"/>
    <m/>
    <n v="0"/>
    <n v="0"/>
    <n v="0"/>
    <n v="0"/>
    <n v="0"/>
    <n v="0"/>
    <n v="0"/>
    <n v="0"/>
    <n v="0"/>
    <n v="0"/>
    <n v="0"/>
    <n v="0"/>
    <n v="0"/>
    <n v="628"/>
    <n v="0"/>
    <s v="MMR012CMP014"/>
    <x v="0"/>
    <m/>
  </r>
  <r>
    <x v="32"/>
    <x v="1"/>
    <x v="32"/>
    <x v="6"/>
    <s v="RI"/>
    <x v="0"/>
    <x v="3"/>
    <s v="Taung Paw "/>
    <m/>
    <m/>
    <m/>
    <m/>
    <m/>
    <m/>
    <m/>
    <m/>
    <m/>
    <m/>
    <m/>
    <n v="628"/>
    <m/>
    <m/>
    <m/>
    <n v="0"/>
    <n v="0"/>
    <n v="0"/>
    <n v="0"/>
    <n v="0"/>
    <n v="0"/>
    <n v="0"/>
    <n v="0"/>
    <n v="0"/>
    <n v="0"/>
    <n v="0"/>
    <n v="628"/>
    <n v="0"/>
    <n v="0"/>
    <n v="0"/>
    <s v="MMR012CMP014"/>
    <x v="0"/>
    <m/>
  </r>
  <r>
    <x v="33"/>
    <x v="1"/>
    <x v="33"/>
    <x v="6"/>
    <s v="RI"/>
    <x v="0"/>
    <x v="3"/>
    <s v="Taung Paw "/>
    <m/>
    <m/>
    <m/>
    <m/>
    <m/>
    <n v="703"/>
    <m/>
    <m/>
    <m/>
    <m/>
    <m/>
    <m/>
    <m/>
    <m/>
    <m/>
    <n v="0"/>
    <n v="0"/>
    <n v="0"/>
    <n v="0"/>
    <n v="0"/>
    <n v="703"/>
    <n v="0"/>
    <n v="0"/>
    <n v="0"/>
    <n v="0"/>
    <n v="0"/>
    <n v="0"/>
    <n v="0"/>
    <n v="0"/>
    <n v="0"/>
    <s v="MMR012CMP014"/>
    <x v="0"/>
    <m/>
  </r>
  <r>
    <x v="34"/>
    <x v="1"/>
    <x v="34"/>
    <x v="0"/>
    <s v="SI"/>
    <x v="0"/>
    <x v="2"/>
    <s v="Ah Nauk Ywe"/>
    <m/>
    <m/>
    <m/>
    <m/>
    <m/>
    <m/>
    <n v="1228"/>
    <m/>
    <m/>
    <m/>
    <m/>
    <m/>
    <m/>
    <m/>
    <m/>
    <n v="0"/>
    <n v="0"/>
    <n v="0"/>
    <n v="0"/>
    <n v="0"/>
    <n v="0"/>
    <n v="1228"/>
    <n v="0"/>
    <n v="0"/>
    <n v="0"/>
    <n v="0"/>
    <n v="0"/>
    <n v="0"/>
    <n v="0"/>
    <n v="0"/>
    <s v="MMR012CMP016"/>
    <x v="0"/>
    <m/>
  </r>
  <r>
    <x v="35"/>
    <x v="1"/>
    <x v="35"/>
    <x v="0"/>
    <s v="SI"/>
    <x v="0"/>
    <x v="0"/>
    <s v="Thae Chaung"/>
    <m/>
    <m/>
    <m/>
    <m/>
    <m/>
    <m/>
    <m/>
    <m/>
    <m/>
    <n v="985"/>
    <m/>
    <m/>
    <m/>
    <m/>
    <m/>
    <n v="0"/>
    <n v="0"/>
    <n v="0"/>
    <n v="0"/>
    <n v="0"/>
    <n v="0"/>
    <n v="0"/>
    <n v="0"/>
    <n v="0"/>
    <n v="985"/>
    <n v="0"/>
    <n v="0"/>
    <n v="0"/>
    <n v="0"/>
    <n v="0"/>
    <s v="MMR012CMP046"/>
    <x v="0"/>
    <m/>
  </r>
  <r>
    <x v="36"/>
    <x v="1"/>
    <x v="36"/>
    <x v="3"/>
    <s v="NRC"/>
    <x v="0"/>
    <x v="0"/>
    <s v="Thet Kae Pyin "/>
    <n v="1000"/>
    <n v="32"/>
    <m/>
    <n v="32"/>
    <m/>
    <n v="64"/>
    <m/>
    <m/>
    <n v="64"/>
    <n v="64"/>
    <n v="64"/>
    <m/>
    <m/>
    <m/>
    <m/>
    <n v="1000"/>
    <n v="32"/>
    <n v="0"/>
    <n v="32"/>
    <n v="0"/>
    <n v="64"/>
    <n v="0"/>
    <n v="0"/>
    <n v="64"/>
    <n v="64"/>
    <n v="64"/>
    <n v="0"/>
    <n v="0"/>
    <n v="0"/>
    <n v="0"/>
    <s v="MMR012CMP048"/>
    <x v="0"/>
    <m/>
  </r>
  <r>
    <x v="36"/>
    <x v="1"/>
    <x v="36"/>
    <x v="3"/>
    <s v="NRC"/>
    <x v="0"/>
    <x v="0"/>
    <s v="Maw Ti Ngar"/>
    <m/>
    <n v="624"/>
    <n v="656"/>
    <n v="1248"/>
    <m/>
    <n v="624"/>
    <m/>
    <m/>
    <n v="1248"/>
    <n v="1248"/>
    <n v="1248"/>
    <m/>
    <m/>
    <m/>
    <m/>
    <n v="0"/>
    <n v="624"/>
    <n v="656"/>
    <n v="1248"/>
    <n v="0"/>
    <n v="624"/>
    <n v="0"/>
    <n v="0"/>
    <n v="1248"/>
    <n v="1248"/>
    <n v="1248"/>
    <n v="0"/>
    <n v="0"/>
    <n v="0"/>
    <n v="0"/>
    <s v="MMR012CMP092"/>
    <x v="0"/>
    <m/>
  </r>
  <r>
    <x v="37"/>
    <x v="1"/>
    <x v="37"/>
    <x v="6"/>
    <s v="RI"/>
    <x v="0"/>
    <x v="3"/>
    <s v="Taung Paw "/>
    <m/>
    <m/>
    <m/>
    <m/>
    <m/>
    <m/>
    <m/>
    <n v="195"/>
    <m/>
    <m/>
    <m/>
    <m/>
    <m/>
    <m/>
    <m/>
    <n v="0"/>
    <n v="0"/>
    <n v="0"/>
    <n v="0"/>
    <n v="0"/>
    <n v="0"/>
    <n v="0"/>
    <n v="195"/>
    <n v="0"/>
    <n v="0"/>
    <n v="0"/>
    <n v="0"/>
    <n v="0"/>
    <n v="0"/>
    <n v="0"/>
    <s v="MMR012CMP014"/>
    <x v="0"/>
    <m/>
  </r>
  <r>
    <x v="38"/>
    <x v="1"/>
    <x v="38"/>
    <x v="0"/>
    <s v="SI"/>
    <x v="0"/>
    <x v="2"/>
    <s v="Nget Chaung 2"/>
    <m/>
    <m/>
    <m/>
    <m/>
    <m/>
    <m/>
    <n v="856"/>
    <m/>
    <m/>
    <m/>
    <m/>
    <m/>
    <m/>
    <m/>
    <m/>
    <n v="0"/>
    <n v="0"/>
    <n v="0"/>
    <n v="0"/>
    <n v="0"/>
    <n v="0"/>
    <n v="856"/>
    <n v="0"/>
    <n v="0"/>
    <n v="0"/>
    <n v="0"/>
    <n v="0"/>
    <n v="0"/>
    <n v="0"/>
    <n v="0"/>
    <s v="MMR012CMP017"/>
    <x v="0"/>
    <m/>
  </r>
  <r>
    <x v="39"/>
    <x v="1"/>
    <x v="39"/>
    <x v="6"/>
    <s v="RI"/>
    <x v="0"/>
    <x v="3"/>
    <s v="Taung Paw "/>
    <n v="734"/>
    <m/>
    <m/>
    <m/>
    <m/>
    <m/>
    <m/>
    <m/>
    <m/>
    <m/>
    <m/>
    <m/>
    <m/>
    <m/>
    <m/>
    <m/>
    <m/>
    <m/>
    <m/>
    <m/>
    <m/>
    <m/>
    <m/>
    <m/>
    <m/>
    <n v="0"/>
    <n v="0"/>
    <n v="0"/>
    <n v="0"/>
    <n v="0"/>
    <s v="MMR012CMP014"/>
    <x v="0"/>
    <m/>
  </r>
  <r>
    <x v="40"/>
    <x v="1"/>
    <x v="40"/>
    <x v="3"/>
    <s v="NRC"/>
    <x v="0"/>
    <x v="0"/>
    <s v="Thet Kae Pyin "/>
    <m/>
    <n v="973"/>
    <m/>
    <n v="973"/>
    <m/>
    <n v="973"/>
    <m/>
    <m/>
    <n v="1964"/>
    <n v="1964"/>
    <n v="1964"/>
    <m/>
    <m/>
    <m/>
    <m/>
    <n v="0"/>
    <n v="973"/>
    <n v="0"/>
    <n v="973"/>
    <n v="0"/>
    <n v="973"/>
    <n v="0"/>
    <n v="0"/>
    <n v="1964"/>
    <n v="1964"/>
    <n v="1964"/>
    <n v="0"/>
    <n v="0"/>
    <n v="0"/>
    <n v="0"/>
    <s v="MMR012CMP048"/>
    <x v="0"/>
    <m/>
  </r>
  <r>
    <x v="41"/>
    <x v="1"/>
    <x v="41"/>
    <x v="6"/>
    <s v="RI"/>
    <x v="0"/>
    <x v="3"/>
    <s v="Taung Paw "/>
    <n v="703"/>
    <m/>
    <m/>
    <m/>
    <m/>
    <m/>
    <m/>
    <m/>
    <m/>
    <m/>
    <m/>
    <m/>
    <m/>
    <m/>
    <m/>
    <n v="703"/>
    <n v="0"/>
    <n v="0"/>
    <n v="0"/>
    <n v="0"/>
    <n v="0"/>
    <n v="0"/>
    <n v="0"/>
    <n v="0"/>
    <n v="0"/>
    <n v="0"/>
    <n v="0"/>
    <n v="0"/>
    <n v="0"/>
    <n v="0"/>
    <s v="MMR012CMP014"/>
    <x v="0"/>
    <m/>
  </r>
  <r>
    <x v="41"/>
    <x v="1"/>
    <x v="41"/>
    <x v="6"/>
    <s v="RI"/>
    <x v="0"/>
    <x v="3"/>
    <s v="Kan Thar Htwat Wa"/>
    <n v="40"/>
    <m/>
    <m/>
    <m/>
    <m/>
    <m/>
    <m/>
    <m/>
    <m/>
    <m/>
    <m/>
    <m/>
    <m/>
    <m/>
    <m/>
    <n v="40"/>
    <n v="0"/>
    <n v="0"/>
    <n v="0"/>
    <n v="0"/>
    <n v="0"/>
    <n v="0"/>
    <n v="0"/>
    <n v="0"/>
    <n v="0"/>
    <n v="0"/>
    <n v="0"/>
    <n v="0"/>
    <n v="0"/>
    <n v="0"/>
    <s v="MMR012CMP013"/>
    <x v="1"/>
    <m/>
  </r>
  <r>
    <x v="42"/>
    <x v="1"/>
    <x v="42"/>
    <x v="1"/>
    <s v="UNHCR"/>
    <x v="0"/>
    <x v="5"/>
    <s v="Kyauk Ta Lone"/>
    <n v="65"/>
    <n v="65"/>
    <m/>
    <m/>
    <m/>
    <n v="65"/>
    <m/>
    <m/>
    <m/>
    <m/>
    <m/>
    <m/>
    <m/>
    <m/>
    <m/>
    <n v="65"/>
    <n v="65"/>
    <n v="0"/>
    <n v="0"/>
    <n v="0"/>
    <n v="65"/>
    <n v="0"/>
    <n v="0"/>
    <n v="0"/>
    <n v="0"/>
    <n v="0"/>
    <n v="0"/>
    <n v="0"/>
    <n v="0"/>
    <n v="0"/>
    <s v="MMR012CMP035"/>
    <x v="0"/>
    <m/>
  </r>
  <r>
    <x v="43"/>
    <x v="1"/>
    <x v="43"/>
    <x v="1"/>
    <s v="UNHCR"/>
    <x v="0"/>
    <x v="5"/>
    <s v="Ka Nyin Taw"/>
    <m/>
    <n v="427"/>
    <m/>
    <m/>
    <m/>
    <n v="854"/>
    <m/>
    <m/>
    <m/>
    <m/>
    <m/>
    <m/>
    <m/>
    <m/>
    <m/>
    <n v="0"/>
    <n v="427"/>
    <n v="0"/>
    <n v="0"/>
    <n v="0"/>
    <n v="854"/>
    <n v="0"/>
    <n v="0"/>
    <n v="0"/>
    <n v="0"/>
    <n v="0"/>
    <n v="0"/>
    <n v="0"/>
    <n v="0"/>
    <n v="0"/>
    <s v="MMR012CMP036"/>
    <x v="0"/>
    <m/>
  </r>
  <r>
    <x v="44"/>
    <x v="1"/>
    <x v="44"/>
    <x v="1"/>
    <s v="LWF"/>
    <x v="0"/>
    <x v="2"/>
    <s v="Ah Nauk Ywe"/>
    <m/>
    <m/>
    <m/>
    <m/>
    <n v="60"/>
    <m/>
    <m/>
    <m/>
    <m/>
    <m/>
    <m/>
    <m/>
    <m/>
    <m/>
    <m/>
    <n v="0"/>
    <n v="0"/>
    <n v="0"/>
    <n v="0"/>
    <n v="60"/>
    <n v="0"/>
    <n v="0"/>
    <n v="0"/>
    <n v="0"/>
    <n v="0"/>
    <n v="0"/>
    <n v="0"/>
    <n v="0"/>
    <n v="0"/>
    <n v="0"/>
    <s v="MMR012CMP016"/>
    <x v="0"/>
    <m/>
  </r>
  <r>
    <x v="45"/>
    <x v="1"/>
    <x v="45"/>
    <x v="11"/>
    <s v="DRC"/>
    <x v="0"/>
    <x v="0"/>
    <s v="Baw Du Pha 2"/>
    <m/>
    <m/>
    <n v="424"/>
    <m/>
    <n v="424"/>
    <m/>
    <m/>
    <m/>
    <m/>
    <m/>
    <n v="848"/>
    <m/>
    <m/>
    <m/>
    <m/>
    <n v="0"/>
    <n v="0"/>
    <n v="0"/>
    <n v="0"/>
    <n v="0"/>
    <n v="0"/>
    <n v="0"/>
    <n v="0"/>
    <n v="0"/>
    <n v="0"/>
    <n v="0"/>
    <n v="0"/>
    <n v="0"/>
    <n v="0"/>
    <n v="0"/>
    <s v="MMR012CMP114"/>
    <x v="0"/>
    <m/>
  </r>
  <r>
    <x v="46"/>
    <x v="1"/>
    <x v="46"/>
    <x v="1"/>
    <s v="UNHCR"/>
    <x v="0"/>
    <x v="0"/>
    <s v="Say Tha Mar Gyi"/>
    <m/>
    <m/>
    <m/>
    <n v="3630"/>
    <n v="1815"/>
    <n v="1815"/>
    <n v="1815"/>
    <m/>
    <n v="1815"/>
    <n v="1815"/>
    <n v="9075"/>
    <m/>
    <m/>
    <m/>
    <m/>
    <n v="0"/>
    <n v="0"/>
    <n v="0"/>
    <n v="0"/>
    <n v="0"/>
    <n v="0"/>
    <n v="0"/>
    <n v="0"/>
    <n v="0"/>
    <n v="0"/>
    <n v="0"/>
    <n v="0"/>
    <n v="0"/>
    <n v="0"/>
    <n v="0"/>
    <s v="MMR012CMP045"/>
    <x v="0"/>
    <m/>
  </r>
  <r>
    <x v="47"/>
    <x v="1"/>
    <x v="47"/>
    <x v="1"/>
    <s v="UNHCR"/>
    <x v="0"/>
    <x v="0"/>
    <s v="San Htoe Tan"/>
    <m/>
    <m/>
    <m/>
    <n v="6"/>
    <n v="3"/>
    <n v="6"/>
    <n v="3"/>
    <m/>
    <n v="3"/>
    <n v="3"/>
    <n v="15"/>
    <m/>
    <m/>
    <m/>
    <m/>
    <n v="0"/>
    <n v="0"/>
    <n v="0"/>
    <n v="0"/>
    <n v="0"/>
    <n v="0"/>
    <n v="0"/>
    <n v="0"/>
    <n v="0"/>
    <n v="0"/>
    <n v="0"/>
    <n v="0"/>
    <n v="0"/>
    <n v="0"/>
    <n v="0"/>
    <s v="MMR012CMP003"/>
    <x v="2"/>
    <m/>
  </r>
  <r>
    <x v="48"/>
    <x v="1"/>
    <x v="48"/>
    <x v="6"/>
    <s v="RI"/>
    <x v="0"/>
    <x v="3"/>
    <s v="Kan Thar Htwat Wa"/>
    <m/>
    <m/>
    <m/>
    <n v="42"/>
    <n v="42"/>
    <m/>
    <n v="42"/>
    <m/>
    <m/>
    <n v="42"/>
    <m/>
    <m/>
    <m/>
    <m/>
    <m/>
    <n v="0"/>
    <n v="0"/>
    <n v="0"/>
    <n v="0"/>
    <n v="0"/>
    <n v="0"/>
    <n v="0"/>
    <n v="0"/>
    <n v="0"/>
    <n v="0"/>
    <n v="0"/>
    <n v="0"/>
    <n v="0"/>
    <n v="0"/>
    <n v="0"/>
    <s v="MMR012CMP013"/>
    <x v="1"/>
    <m/>
  </r>
  <r>
    <x v="48"/>
    <x v="1"/>
    <x v="48"/>
    <x v="6"/>
    <s v="RI"/>
    <x v="0"/>
    <x v="3"/>
    <s v="Taung Paw "/>
    <m/>
    <m/>
    <m/>
    <n v="682"/>
    <n v="682"/>
    <m/>
    <n v="682"/>
    <m/>
    <m/>
    <n v="682"/>
    <m/>
    <m/>
    <m/>
    <m/>
    <m/>
    <n v="0"/>
    <n v="0"/>
    <n v="0"/>
    <n v="0"/>
    <n v="0"/>
    <n v="0"/>
    <n v="0"/>
    <n v="0"/>
    <n v="0"/>
    <n v="0"/>
    <n v="0"/>
    <n v="0"/>
    <n v="0"/>
    <n v="0"/>
    <n v="0"/>
    <s v="MMR012CMP014"/>
    <x v="0"/>
    <m/>
  </r>
  <r>
    <x v="49"/>
    <x v="1"/>
    <x v="49"/>
    <x v="1"/>
    <s v="UNHCR"/>
    <x v="0"/>
    <x v="0"/>
    <s v="Nidin"/>
    <m/>
    <n v="85"/>
    <m/>
    <n v="170"/>
    <n v="85"/>
    <n v="85"/>
    <n v="85"/>
    <m/>
    <n v="85"/>
    <n v="85"/>
    <n v="425"/>
    <m/>
    <m/>
    <m/>
    <m/>
    <n v="0"/>
    <n v="0"/>
    <n v="0"/>
    <n v="0"/>
    <n v="0"/>
    <n v="0"/>
    <n v="0"/>
    <n v="0"/>
    <n v="0"/>
    <n v="0"/>
    <n v="0"/>
    <n v="0"/>
    <n v="0"/>
    <n v="0"/>
    <n v="0"/>
    <s v="MMR012CMP023"/>
    <x v="0"/>
    <m/>
  </r>
  <r>
    <x v="50"/>
    <x v="2"/>
    <x v="50"/>
    <x v="12"/>
    <s v="LWF"/>
    <x v="0"/>
    <x v="0"/>
    <s v="Khaung Doke Khar "/>
    <m/>
    <m/>
    <m/>
    <m/>
    <m/>
    <n v="1598"/>
    <m/>
    <m/>
    <m/>
    <m/>
    <m/>
    <m/>
    <m/>
    <m/>
    <m/>
    <n v="0"/>
    <n v="0"/>
    <n v="0"/>
    <n v="0"/>
    <n v="0"/>
    <n v="0"/>
    <n v="0"/>
    <n v="0"/>
    <n v="0"/>
    <n v="0"/>
    <n v="0"/>
    <n v="0"/>
    <n v="0"/>
    <n v="0"/>
    <n v="0"/>
    <s v="MMR012CMP042"/>
    <x v="0"/>
    <m/>
  </r>
  <r>
    <x v="51"/>
    <x v="2"/>
    <x v="51"/>
    <x v="13"/>
    <s v="LWF"/>
    <x v="0"/>
    <x v="2"/>
    <s v="Ah Nauk Ywe"/>
    <m/>
    <n v="986"/>
    <m/>
    <n v="1972"/>
    <n v="986"/>
    <n v="1972"/>
    <n v="986"/>
    <m/>
    <n v="968"/>
    <n v="986"/>
    <n v="4930"/>
    <m/>
    <m/>
    <m/>
    <m/>
    <n v="0"/>
    <n v="0"/>
    <n v="0"/>
    <n v="0"/>
    <n v="0"/>
    <n v="0"/>
    <n v="0"/>
    <n v="0"/>
    <n v="0"/>
    <n v="0"/>
    <n v="0"/>
    <n v="0"/>
    <n v="0"/>
    <n v="0"/>
    <n v="0"/>
    <s v="MMR012CMP016"/>
    <x v="0"/>
    <m/>
  </r>
  <r>
    <x v="52"/>
    <x v="2"/>
    <x v="52"/>
    <x v="14"/>
    <s v="LWF"/>
    <x v="0"/>
    <x v="2"/>
    <s v="Nget Chaung"/>
    <m/>
    <m/>
    <m/>
    <n v="1563"/>
    <m/>
    <m/>
    <m/>
    <m/>
    <m/>
    <m/>
    <m/>
    <m/>
    <m/>
    <m/>
    <m/>
    <n v="0"/>
    <n v="0"/>
    <n v="0"/>
    <n v="0"/>
    <n v="0"/>
    <n v="0"/>
    <n v="0"/>
    <n v="0"/>
    <n v="0"/>
    <n v="0"/>
    <n v="0"/>
    <n v="0"/>
    <n v="0"/>
    <n v="0"/>
    <n v="0"/>
    <s v=""/>
    <x v="3"/>
    <m/>
  </r>
  <r>
    <x v="53"/>
    <x v="2"/>
    <x v="53"/>
    <x v="13"/>
    <s v="LWF"/>
    <x v="0"/>
    <x v="2"/>
    <s v="Ba Wan Chaung Wa Su"/>
    <m/>
    <n v="21"/>
    <m/>
    <n v="42"/>
    <n v="21"/>
    <n v="42"/>
    <n v="21"/>
    <m/>
    <n v="21"/>
    <n v="21"/>
    <n v="105"/>
    <m/>
    <m/>
    <m/>
    <m/>
    <n v="0"/>
    <n v="0"/>
    <n v="0"/>
    <n v="0"/>
    <n v="0"/>
    <n v="0"/>
    <n v="0"/>
    <n v="0"/>
    <n v="0"/>
    <n v="0"/>
    <n v="0"/>
    <n v="0"/>
    <n v="0"/>
    <n v="0"/>
    <n v="0"/>
    <s v="MMR012CMP015"/>
    <x v="1"/>
    <m/>
  </r>
  <r>
    <x v="54"/>
    <x v="2"/>
    <x v="54"/>
    <x v="1"/>
    <s v="CFSI"/>
    <x v="0"/>
    <x v="4"/>
    <s v="Ah Htet Nan Yar"/>
    <n v="0"/>
    <n v="0"/>
    <n v="0"/>
    <n v="0"/>
    <n v="7"/>
    <n v="0"/>
    <n v="0"/>
    <n v="0"/>
    <n v="0"/>
    <n v="0"/>
    <n v="0"/>
    <m/>
    <m/>
    <m/>
    <m/>
    <n v="0"/>
    <n v="0"/>
    <n v="0"/>
    <n v="0"/>
    <n v="0"/>
    <n v="0"/>
    <n v="0"/>
    <n v="0"/>
    <n v="0"/>
    <n v="0"/>
    <n v="0"/>
    <n v="0"/>
    <n v="0"/>
    <n v="0"/>
    <n v="0"/>
    <s v="MMR012CMP034"/>
    <x v="0"/>
    <m/>
  </r>
  <r>
    <x v="55"/>
    <x v="2"/>
    <x v="55"/>
    <x v="1"/>
    <s v="CFSI"/>
    <x v="0"/>
    <x v="4"/>
    <s v="Ah Nauk Pyin"/>
    <n v="0"/>
    <n v="0"/>
    <n v="0"/>
    <n v="0"/>
    <n v="5"/>
    <n v="0"/>
    <n v="0"/>
    <n v="0"/>
    <n v="0"/>
    <n v="0"/>
    <n v="0"/>
    <m/>
    <m/>
    <m/>
    <m/>
    <n v="0"/>
    <n v="0"/>
    <n v="0"/>
    <n v="0"/>
    <n v="0"/>
    <n v="0"/>
    <n v="0"/>
    <n v="0"/>
    <n v="0"/>
    <n v="0"/>
    <n v="0"/>
    <n v="0"/>
    <n v="0"/>
    <n v="0"/>
    <n v="0"/>
    <s v="MMR012CMP032"/>
    <x v="2"/>
    <m/>
  </r>
  <r>
    <x v="56"/>
    <x v="2"/>
    <x v="56"/>
    <x v="1"/>
    <s v="LWF"/>
    <x v="0"/>
    <x v="0"/>
    <s v="Khaung Doke Khar "/>
    <m/>
    <m/>
    <m/>
    <n v="252"/>
    <n v="127"/>
    <n v="252"/>
    <n v="127"/>
    <m/>
    <n v="127"/>
    <n v="127"/>
    <n v="635"/>
    <m/>
    <m/>
    <m/>
    <m/>
    <n v="0"/>
    <n v="0"/>
    <n v="0"/>
    <n v="0"/>
    <n v="0"/>
    <n v="0"/>
    <n v="0"/>
    <n v="0"/>
    <n v="0"/>
    <n v="0"/>
    <n v="0"/>
    <n v="0"/>
    <n v="0"/>
    <n v="0"/>
    <n v="0"/>
    <s v="MMR012CMP042"/>
    <x v="0"/>
    <m/>
  </r>
  <r>
    <x v="56"/>
    <x v="2"/>
    <x v="56"/>
    <x v="13"/>
    <s v="LWF"/>
    <x v="0"/>
    <x v="0"/>
    <s v="Khaung Doke Khar "/>
    <m/>
    <m/>
    <m/>
    <s v="2"/>
    <n v="1"/>
    <s v="2"/>
    <s v="1"/>
    <m/>
    <s v="1"/>
    <m/>
    <s v="5"/>
    <m/>
    <m/>
    <m/>
    <m/>
    <n v="0"/>
    <n v="0"/>
    <n v="0"/>
    <n v="0"/>
    <n v="0"/>
    <n v="0"/>
    <n v="0"/>
    <n v="0"/>
    <n v="0"/>
    <n v="0"/>
    <n v="0"/>
    <n v="0"/>
    <n v="0"/>
    <n v="0"/>
    <n v="0"/>
    <s v="MMR012CMP042"/>
    <x v="0"/>
    <m/>
  </r>
  <r>
    <x v="57"/>
    <x v="2"/>
    <x v="57"/>
    <x v="1"/>
    <s v="DRC"/>
    <x v="0"/>
    <x v="0"/>
    <s v="Say Tha Mar Gyi"/>
    <m/>
    <m/>
    <m/>
    <n v="730"/>
    <n v="365"/>
    <n v="730"/>
    <n v="365"/>
    <m/>
    <n v="365"/>
    <n v="365"/>
    <n v="1825"/>
    <m/>
    <m/>
    <m/>
    <m/>
    <n v="0"/>
    <n v="0"/>
    <n v="0"/>
    <n v="0"/>
    <n v="0"/>
    <n v="0"/>
    <n v="0"/>
    <n v="0"/>
    <n v="0"/>
    <n v="0"/>
    <n v="0"/>
    <n v="0"/>
    <n v="0"/>
    <n v="0"/>
    <n v="0"/>
    <s v="MMR012CMP045"/>
    <x v="0"/>
    <m/>
  </r>
  <r>
    <x v="57"/>
    <x v="2"/>
    <x v="57"/>
    <x v="1"/>
    <s v="CFSI"/>
    <x v="0"/>
    <x v="4"/>
    <s v="Chein Khar Li"/>
    <n v="0"/>
    <n v="0"/>
    <n v="0"/>
    <n v="0"/>
    <n v="10"/>
    <n v="0"/>
    <n v="0"/>
    <n v="0"/>
    <n v="0"/>
    <n v="0"/>
    <n v="0"/>
    <m/>
    <m/>
    <m/>
    <m/>
    <n v="0"/>
    <n v="0"/>
    <n v="0"/>
    <n v="0"/>
    <n v="0"/>
    <n v="0"/>
    <n v="0"/>
    <n v="0"/>
    <n v="0"/>
    <n v="0"/>
    <n v="0"/>
    <n v="0"/>
    <n v="0"/>
    <n v="0"/>
    <n v="0"/>
    <s v="MMR012CMP033"/>
    <x v="0"/>
    <m/>
  </r>
  <r>
    <x v="58"/>
    <x v="2"/>
    <x v="58"/>
    <x v="1"/>
    <s v="DRC"/>
    <x v="0"/>
    <x v="0"/>
    <s v="Say Tha Mar Gyi"/>
    <m/>
    <n v="273"/>
    <m/>
    <n v="546"/>
    <n v="273"/>
    <n v="546"/>
    <n v="273"/>
    <m/>
    <n v="273"/>
    <n v="273"/>
    <n v="1365"/>
    <m/>
    <m/>
    <m/>
    <m/>
    <n v="0"/>
    <n v="0"/>
    <n v="0"/>
    <n v="0"/>
    <n v="0"/>
    <n v="0"/>
    <n v="0"/>
    <n v="0"/>
    <n v="0"/>
    <n v="0"/>
    <n v="0"/>
    <n v="0"/>
    <n v="0"/>
    <n v="0"/>
    <n v="0"/>
    <s v="MMR012CMP045"/>
    <x v="0"/>
    <m/>
  </r>
  <r>
    <x v="58"/>
    <x v="2"/>
    <x v="58"/>
    <x v="1"/>
    <s v="LWF"/>
    <x v="0"/>
    <x v="0"/>
    <s v="Basare"/>
    <m/>
    <n v="59"/>
    <m/>
    <n v="6"/>
    <n v="3"/>
    <n v="6"/>
    <n v="3"/>
    <m/>
    <n v="3"/>
    <n v="3"/>
    <n v="15"/>
    <m/>
    <m/>
    <m/>
    <m/>
    <n v="0"/>
    <n v="0"/>
    <n v="0"/>
    <n v="0"/>
    <n v="0"/>
    <n v="0"/>
    <n v="0"/>
    <n v="0"/>
    <n v="0"/>
    <n v="0"/>
    <n v="0"/>
    <n v="0"/>
    <n v="0"/>
    <n v="0"/>
    <n v="0"/>
    <s v="MMR012CMP039"/>
    <x v="0"/>
    <m/>
  </r>
  <r>
    <x v="58"/>
    <x v="2"/>
    <x v="58"/>
    <x v="1"/>
    <s v="LWF"/>
    <x v="0"/>
    <x v="0"/>
    <s v="Khaung Doke Khar "/>
    <m/>
    <n v="160"/>
    <m/>
    <n v="96"/>
    <n v="48"/>
    <n v="96"/>
    <n v="48"/>
    <m/>
    <n v="48"/>
    <n v="48"/>
    <n v="240"/>
    <m/>
    <m/>
    <m/>
    <m/>
    <n v="0"/>
    <n v="0"/>
    <n v="0"/>
    <n v="0"/>
    <n v="0"/>
    <n v="0"/>
    <n v="0"/>
    <n v="0"/>
    <n v="0"/>
    <n v="0"/>
    <n v="0"/>
    <n v="0"/>
    <n v="0"/>
    <n v="0"/>
    <n v="0"/>
    <s v="MMR012CMP042"/>
    <x v="0"/>
    <m/>
  </r>
  <r>
    <x v="59"/>
    <x v="2"/>
    <x v="59"/>
    <x v="1"/>
    <s v="Save the Children"/>
    <x v="0"/>
    <x v="2"/>
    <s v="Kyein Ni Pyin"/>
    <m/>
    <m/>
    <m/>
    <n v="62"/>
    <n v="31"/>
    <n v="62"/>
    <n v="31"/>
    <m/>
    <n v="31"/>
    <n v="31"/>
    <n v="155"/>
    <m/>
    <m/>
    <m/>
    <m/>
    <n v="0"/>
    <n v="0"/>
    <n v="0"/>
    <n v="0"/>
    <n v="0"/>
    <n v="0"/>
    <n v="0"/>
    <n v="0"/>
    <n v="0"/>
    <n v="0"/>
    <n v="0"/>
    <n v="0"/>
    <n v="0"/>
    <n v="0"/>
    <n v="0"/>
    <s v="MMR012CMP018"/>
    <x v="0"/>
    <m/>
  </r>
  <r>
    <x v="60"/>
    <x v="2"/>
    <x v="60"/>
    <x v="1"/>
    <s v="Save the Children"/>
    <x v="0"/>
    <x v="0"/>
    <s v="Thet Kae Pyin "/>
    <m/>
    <n v="984"/>
    <m/>
    <n v="1968"/>
    <n v="984"/>
    <n v="1968"/>
    <n v="984"/>
    <m/>
    <n v="984"/>
    <n v="984"/>
    <n v="4920"/>
    <m/>
    <m/>
    <m/>
    <m/>
    <n v="0"/>
    <n v="0"/>
    <n v="0"/>
    <n v="0"/>
    <n v="0"/>
    <n v="0"/>
    <n v="0"/>
    <n v="0"/>
    <n v="0"/>
    <n v="0"/>
    <n v="0"/>
    <n v="0"/>
    <n v="0"/>
    <n v="0"/>
    <n v="0"/>
    <s v="MMR012CMP048"/>
    <x v="0"/>
    <m/>
  </r>
  <r>
    <x v="61"/>
    <x v="2"/>
    <x v="61"/>
    <x v="1"/>
    <s v="UNHCR"/>
    <x v="0"/>
    <x v="4"/>
    <s v="Koe Tan Kauk"/>
    <n v="0"/>
    <n v="0"/>
    <n v="0"/>
    <n v="0"/>
    <n v="217"/>
    <n v="0"/>
    <n v="0"/>
    <n v="0"/>
    <n v="0"/>
    <n v="0"/>
    <n v="0"/>
    <m/>
    <m/>
    <m/>
    <m/>
    <n v="0"/>
    <n v="0"/>
    <n v="0"/>
    <n v="0"/>
    <n v="0"/>
    <n v="0"/>
    <n v="0"/>
    <n v="0"/>
    <n v="0"/>
    <n v="0"/>
    <n v="0"/>
    <n v="0"/>
    <n v="0"/>
    <n v="0"/>
    <n v="0"/>
    <s v="MMR012CMP110"/>
    <x v="0"/>
    <m/>
  </r>
  <r>
    <x v="61"/>
    <x v="2"/>
    <x v="61"/>
    <x v="1"/>
    <s v="UNHCR"/>
    <x v="0"/>
    <x v="4"/>
    <s v="Chein Khar Li"/>
    <n v="0"/>
    <n v="0"/>
    <n v="0"/>
    <n v="0"/>
    <n v="167"/>
    <n v="0"/>
    <n v="0"/>
    <n v="0"/>
    <n v="0"/>
    <n v="0"/>
    <n v="0"/>
    <m/>
    <m/>
    <m/>
    <m/>
    <n v="0"/>
    <n v="0"/>
    <n v="0"/>
    <n v="0"/>
    <n v="0"/>
    <n v="0"/>
    <n v="0"/>
    <n v="0"/>
    <n v="0"/>
    <n v="0"/>
    <n v="0"/>
    <n v="0"/>
    <n v="0"/>
    <n v="0"/>
    <n v="0"/>
    <s v="MMR012CMP033"/>
    <x v="0"/>
    <m/>
  </r>
  <r>
    <x v="62"/>
    <x v="2"/>
    <x v="62"/>
    <x v="1"/>
    <s v="Save the Children"/>
    <x v="0"/>
    <x v="0"/>
    <s v="Maw Ti Ngar"/>
    <m/>
    <n v="624"/>
    <m/>
    <n v="1248"/>
    <n v="624"/>
    <n v="1248"/>
    <n v="624"/>
    <m/>
    <n v="624"/>
    <n v="624"/>
    <n v="3120"/>
    <m/>
    <m/>
    <m/>
    <m/>
    <n v="0"/>
    <n v="0"/>
    <n v="0"/>
    <n v="0"/>
    <n v="0"/>
    <n v="0"/>
    <n v="0"/>
    <n v="0"/>
    <n v="0"/>
    <n v="0"/>
    <n v="0"/>
    <n v="0"/>
    <n v="0"/>
    <n v="0"/>
    <n v="0"/>
    <s v="MMR012CMP092"/>
    <x v="0"/>
    <m/>
  </r>
  <r>
    <x v="63"/>
    <x v="2"/>
    <x v="63"/>
    <x v="1"/>
    <s v="UNHCR"/>
    <x v="0"/>
    <x v="1"/>
    <s v="Yun Nyar"/>
    <m/>
    <m/>
    <m/>
    <m/>
    <n v="112"/>
    <m/>
    <m/>
    <m/>
    <m/>
    <m/>
    <m/>
    <m/>
    <m/>
    <m/>
    <m/>
    <n v="0"/>
    <n v="0"/>
    <n v="0"/>
    <n v="0"/>
    <n v="0"/>
    <n v="0"/>
    <n v="0"/>
    <n v="0"/>
    <n v="0"/>
    <n v="0"/>
    <n v="0"/>
    <n v="0"/>
    <n v="0"/>
    <n v="0"/>
    <n v="0"/>
    <s v="MMR012CMP028"/>
    <x v="2"/>
    <m/>
  </r>
  <r>
    <x v="63"/>
    <x v="2"/>
    <x v="63"/>
    <x v="1"/>
    <s v="UNHCR"/>
    <x v="0"/>
    <x v="1"/>
    <s v="Shwe Hlaing"/>
    <m/>
    <m/>
    <m/>
    <m/>
    <n v="138"/>
    <m/>
    <m/>
    <m/>
    <m/>
    <m/>
    <m/>
    <m/>
    <m/>
    <m/>
    <m/>
    <n v="0"/>
    <n v="0"/>
    <n v="0"/>
    <n v="0"/>
    <n v="0"/>
    <n v="0"/>
    <n v="0"/>
    <n v="0"/>
    <n v="0"/>
    <n v="0"/>
    <n v="0"/>
    <n v="0"/>
    <n v="0"/>
    <n v="0"/>
    <n v="0"/>
    <s v="MMR012CMP029"/>
    <x v="2"/>
    <m/>
  </r>
  <r>
    <x v="64"/>
    <x v="2"/>
    <x v="64"/>
    <x v="1"/>
    <s v="UNHCR"/>
    <x v="0"/>
    <x v="1"/>
    <s v="Nidin"/>
    <m/>
    <m/>
    <m/>
    <m/>
    <n v="85"/>
    <m/>
    <m/>
    <m/>
    <m/>
    <m/>
    <m/>
    <m/>
    <m/>
    <m/>
    <m/>
    <n v="0"/>
    <n v="0"/>
    <n v="0"/>
    <n v="0"/>
    <n v="0"/>
    <n v="0"/>
    <n v="0"/>
    <n v="0"/>
    <n v="0"/>
    <n v="0"/>
    <n v="0"/>
    <n v="0"/>
    <n v="0"/>
    <n v="0"/>
    <n v="0"/>
    <s v="MMR012CMP023"/>
    <x v="0"/>
    <m/>
  </r>
  <r>
    <x v="64"/>
    <x v="2"/>
    <x v="64"/>
    <x v="1"/>
    <s v="UNHCR"/>
    <x v="0"/>
    <x v="1"/>
    <s v="Khaung Htoke"/>
    <m/>
    <m/>
    <m/>
    <m/>
    <n v="97"/>
    <m/>
    <m/>
    <m/>
    <m/>
    <m/>
    <m/>
    <m/>
    <m/>
    <m/>
    <m/>
    <n v="0"/>
    <n v="0"/>
    <n v="0"/>
    <n v="0"/>
    <n v="0"/>
    <n v="0"/>
    <n v="0"/>
    <n v="0"/>
    <n v="0"/>
    <n v="0"/>
    <n v="0"/>
    <n v="0"/>
    <n v="0"/>
    <n v="0"/>
    <n v="0"/>
    <s v="MMR012CMP030"/>
    <x v="1"/>
    <m/>
  </r>
  <r>
    <x v="65"/>
    <x v="2"/>
    <x v="65"/>
    <x v="1"/>
    <s v="UNHCR"/>
    <x v="0"/>
    <x v="1"/>
    <s v="In Bar Yi"/>
    <m/>
    <m/>
    <m/>
    <m/>
    <n v="236"/>
    <m/>
    <m/>
    <m/>
    <m/>
    <m/>
    <m/>
    <m/>
    <m/>
    <m/>
    <m/>
    <n v="0"/>
    <n v="0"/>
    <n v="0"/>
    <n v="0"/>
    <n v="0"/>
    <n v="0"/>
    <n v="0"/>
    <n v="0"/>
    <n v="0"/>
    <n v="0"/>
    <n v="0"/>
    <n v="0"/>
    <n v="0"/>
    <n v="0"/>
    <n v="0"/>
    <s v="MMR012CMP026"/>
    <x v="2"/>
    <m/>
  </r>
  <r>
    <x v="65"/>
    <x v="2"/>
    <x v="65"/>
    <x v="1"/>
    <s v="UNHCR"/>
    <x v="0"/>
    <x v="1"/>
    <s v="Ah Pauk Wa "/>
    <m/>
    <m/>
    <m/>
    <m/>
    <n v="92"/>
    <m/>
    <m/>
    <m/>
    <m/>
    <m/>
    <m/>
    <m/>
    <m/>
    <m/>
    <m/>
    <n v="0"/>
    <n v="0"/>
    <n v="0"/>
    <n v="0"/>
    <n v="0"/>
    <n v="0"/>
    <n v="0"/>
    <n v="0"/>
    <n v="0"/>
    <n v="0"/>
    <n v="0"/>
    <n v="0"/>
    <n v="0"/>
    <n v="0"/>
    <n v="0"/>
    <s v="MMR012CMP024"/>
    <x v="2"/>
    <m/>
  </r>
  <r>
    <x v="65"/>
    <x v="2"/>
    <x v="65"/>
    <x v="1"/>
    <s v="UNHCR"/>
    <x v="0"/>
    <x v="1"/>
    <s v="Goke Pi Htaunt"/>
    <m/>
    <m/>
    <m/>
    <m/>
    <n v="116"/>
    <m/>
    <m/>
    <m/>
    <m/>
    <m/>
    <m/>
    <m/>
    <m/>
    <m/>
    <m/>
    <n v="0"/>
    <n v="0"/>
    <n v="0"/>
    <n v="0"/>
    <n v="0"/>
    <n v="0"/>
    <n v="0"/>
    <n v="0"/>
    <n v="0"/>
    <n v="0"/>
    <n v="0"/>
    <n v="0"/>
    <n v="0"/>
    <n v="0"/>
    <n v="0"/>
    <s v="MMR012CMP027"/>
    <x v="2"/>
    <m/>
  </r>
  <r>
    <x v="66"/>
    <x v="2"/>
    <x v="66"/>
    <x v="1"/>
    <s v="UNHCR"/>
    <x v="0"/>
    <x v="6"/>
    <s v="Tha Dar"/>
    <m/>
    <m/>
    <m/>
    <m/>
    <n v="16"/>
    <m/>
    <m/>
    <m/>
    <m/>
    <m/>
    <m/>
    <m/>
    <m/>
    <m/>
    <m/>
    <n v="0"/>
    <n v="0"/>
    <n v="0"/>
    <n v="0"/>
    <n v="0"/>
    <n v="0"/>
    <n v="0"/>
    <n v="0"/>
    <n v="0"/>
    <n v="0"/>
    <n v="0"/>
    <n v="0"/>
    <n v="0"/>
    <n v="0"/>
    <n v="0"/>
    <s v="MMR012CMP002"/>
    <x v="2"/>
    <m/>
  </r>
  <r>
    <x v="67"/>
    <x v="2"/>
    <x v="67"/>
    <x v="1"/>
    <s v="CFSI"/>
    <x v="0"/>
    <x v="4"/>
    <s v="Koe Tan Kauk"/>
    <n v="0"/>
    <n v="0"/>
    <n v="0"/>
    <n v="0"/>
    <n v="10"/>
    <n v="0"/>
    <n v="0"/>
    <n v="0"/>
    <n v="0"/>
    <n v="0"/>
    <n v="0"/>
    <m/>
    <m/>
    <m/>
    <m/>
    <n v="0"/>
    <n v="0"/>
    <n v="0"/>
    <n v="0"/>
    <n v="0"/>
    <n v="0"/>
    <n v="0"/>
    <n v="0"/>
    <n v="0"/>
    <n v="0"/>
    <n v="0"/>
    <n v="0"/>
    <n v="0"/>
    <n v="0"/>
    <n v="0"/>
    <s v="MMR012CMP110"/>
    <x v="0"/>
    <m/>
  </r>
  <r>
    <x v="67"/>
    <x v="2"/>
    <x v="67"/>
    <x v="1"/>
    <s v="CFSI"/>
    <x v="0"/>
    <x v="4"/>
    <s v="Chein Khar Li"/>
    <n v="0"/>
    <n v="0"/>
    <n v="0"/>
    <n v="0"/>
    <n v="20"/>
    <n v="0"/>
    <n v="0"/>
    <n v="0"/>
    <n v="0"/>
    <n v="0"/>
    <n v="0"/>
    <m/>
    <m/>
    <m/>
    <m/>
    <n v="0"/>
    <n v="0"/>
    <n v="0"/>
    <n v="0"/>
    <n v="0"/>
    <n v="0"/>
    <n v="0"/>
    <n v="0"/>
    <n v="0"/>
    <n v="0"/>
    <n v="0"/>
    <n v="0"/>
    <n v="0"/>
    <n v="0"/>
    <n v="0"/>
    <s v="MMR012CMP033"/>
    <x v="0"/>
    <m/>
  </r>
  <r>
    <x v="67"/>
    <x v="2"/>
    <x v="67"/>
    <x v="1"/>
    <s v="CFSI"/>
    <x v="0"/>
    <x v="4"/>
    <s v="Ah Htet Nan Yar"/>
    <n v="0"/>
    <n v="0"/>
    <n v="0"/>
    <n v="0"/>
    <n v="10"/>
    <n v="0"/>
    <n v="0"/>
    <n v="0"/>
    <n v="0"/>
    <n v="0"/>
    <n v="0"/>
    <m/>
    <m/>
    <m/>
    <m/>
    <n v="0"/>
    <n v="0"/>
    <n v="0"/>
    <n v="0"/>
    <n v="0"/>
    <n v="0"/>
    <n v="0"/>
    <n v="0"/>
    <n v="0"/>
    <n v="0"/>
    <n v="0"/>
    <n v="0"/>
    <n v="0"/>
    <n v="0"/>
    <n v="0"/>
    <s v="MMR012CMP034"/>
    <x v="0"/>
    <m/>
  </r>
  <r>
    <x v="68"/>
    <x v="2"/>
    <x v="68"/>
    <x v="1"/>
    <s v="UNHCR"/>
    <x v="0"/>
    <x v="6"/>
    <s v="Tha Dar"/>
    <m/>
    <m/>
    <m/>
    <m/>
    <n v="187"/>
    <m/>
    <m/>
    <m/>
    <m/>
    <m/>
    <m/>
    <m/>
    <m/>
    <m/>
    <m/>
    <n v="0"/>
    <n v="0"/>
    <n v="0"/>
    <n v="0"/>
    <n v="0"/>
    <n v="0"/>
    <n v="0"/>
    <n v="0"/>
    <n v="0"/>
    <n v="0"/>
    <n v="0"/>
    <n v="0"/>
    <n v="0"/>
    <n v="0"/>
    <n v="0"/>
    <s v="MMR012CMP002"/>
    <x v="2"/>
    <m/>
  </r>
  <r>
    <x v="68"/>
    <x v="2"/>
    <x v="68"/>
    <x v="1"/>
    <s v="UNHCR"/>
    <x v="0"/>
    <x v="6"/>
    <s v="San Htoe Tan"/>
    <m/>
    <m/>
    <m/>
    <m/>
    <n v="90"/>
    <m/>
    <m/>
    <m/>
    <m/>
    <m/>
    <m/>
    <m/>
    <m/>
    <m/>
    <m/>
    <n v="0"/>
    <n v="0"/>
    <n v="0"/>
    <n v="0"/>
    <n v="0"/>
    <n v="0"/>
    <n v="0"/>
    <n v="0"/>
    <n v="0"/>
    <n v="0"/>
    <n v="0"/>
    <n v="0"/>
    <n v="0"/>
    <n v="0"/>
    <n v="0"/>
    <s v="MMR012CMP003"/>
    <x v="2"/>
    <m/>
  </r>
  <r>
    <x v="68"/>
    <x v="2"/>
    <x v="68"/>
    <x v="1"/>
    <s v="UNHCR"/>
    <x v="0"/>
    <x v="6"/>
    <s v="Aung Taing"/>
    <m/>
    <m/>
    <m/>
    <m/>
    <n v="86"/>
    <m/>
    <m/>
    <m/>
    <m/>
    <m/>
    <m/>
    <m/>
    <m/>
    <m/>
    <m/>
    <n v="0"/>
    <n v="0"/>
    <n v="0"/>
    <n v="0"/>
    <n v="0"/>
    <n v="0"/>
    <n v="0"/>
    <n v="0"/>
    <n v="0"/>
    <n v="0"/>
    <n v="0"/>
    <n v="0"/>
    <n v="0"/>
    <n v="0"/>
    <n v="0"/>
    <s v="MMR012CMP006"/>
    <x v="2"/>
    <m/>
  </r>
  <r>
    <x v="68"/>
    <x v="2"/>
    <x v="68"/>
    <x v="1"/>
    <s v="UNHCR"/>
    <x v="0"/>
    <x v="6"/>
    <s v="Sam Ba Le"/>
    <m/>
    <m/>
    <m/>
    <m/>
    <n v="225"/>
    <m/>
    <m/>
    <m/>
    <m/>
    <m/>
    <m/>
    <m/>
    <m/>
    <m/>
    <m/>
    <n v="0"/>
    <n v="0"/>
    <n v="0"/>
    <n v="0"/>
    <n v="0"/>
    <n v="0"/>
    <n v="0"/>
    <n v="0"/>
    <n v="0"/>
    <n v="0"/>
    <n v="0"/>
    <n v="0"/>
    <n v="0"/>
    <n v="0"/>
    <n v="0"/>
    <s v="MMR012CMP008"/>
    <x v="2"/>
    <m/>
  </r>
  <r>
    <x v="69"/>
    <x v="2"/>
    <x v="69"/>
    <x v="1"/>
    <s v="UNHCR"/>
    <x v="0"/>
    <x v="7"/>
    <s v="Pa Rein"/>
    <m/>
    <m/>
    <m/>
    <m/>
    <n v="56"/>
    <m/>
    <m/>
    <m/>
    <m/>
    <m/>
    <m/>
    <m/>
    <m/>
    <m/>
    <m/>
    <n v="0"/>
    <n v="0"/>
    <n v="0"/>
    <n v="0"/>
    <n v="0"/>
    <n v="0"/>
    <n v="0"/>
    <n v="0"/>
    <n v="0"/>
    <n v="0"/>
    <n v="0"/>
    <n v="0"/>
    <n v="0"/>
    <n v="0"/>
    <n v="0"/>
    <s v="MMR012CMP009"/>
    <x v="2"/>
    <m/>
  </r>
  <r>
    <x v="69"/>
    <x v="2"/>
    <x v="69"/>
    <x v="1"/>
    <s v="UNHCR"/>
    <x v="0"/>
    <x v="7"/>
    <s v="Yai Thei-Muslim"/>
    <m/>
    <m/>
    <m/>
    <m/>
    <n v="55"/>
    <m/>
    <m/>
    <m/>
    <m/>
    <m/>
    <m/>
    <m/>
    <m/>
    <m/>
    <m/>
    <n v="0"/>
    <n v="0"/>
    <n v="0"/>
    <n v="0"/>
    <n v="0"/>
    <n v="0"/>
    <n v="0"/>
    <n v="0"/>
    <n v="0"/>
    <n v="0"/>
    <n v="0"/>
    <n v="0"/>
    <n v="0"/>
    <n v="0"/>
    <n v="0"/>
    <s v="MMR012CMP010"/>
    <x v="2"/>
    <m/>
  </r>
  <r>
    <x v="69"/>
    <x v="2"/>
    <x v="69"/>
    <x v="1"/>
    <s v="UNHCR"/>
    <x v="0"/>
    <x v="6"/>
    <s v="Tha Yet Oak"/>
    <m/>
    <m/>
    <m/>
    <m/>
    <n v="275"/>
    <m/>
    <m/>
    <m/>
    <m/>
    <m/>
    <m/>
    <m/>
    <m/>
    <m/>
    <m/>
    <n v="0"/>
    <n v="0"/>
    <n v="0"/>
    <n v="0"/>
    <n v="0"/>
    <n v="0"/>
    <n v="0"/>
    <n v="0"/>
    <n v="0"/>
    <n v="0"/>
    <n v="0"/>
    <n v="0"/>
    <n v="0"/>
    <n v="0"/>
    <n v="0"/>
    <s v="MMR012CMP005"/>
    <x v="2"/>
    <m/>
  </r>
  <r>
    <x v="70"/>
    <x v="2"/>
    <x v="70"/>
    <x v="1"/>
    <s v="DRC"/>
    <x v="0"/>
    <x v="0"/>
    <s v="Ohn Taw Chay"/>
    <n v="0"/>
    <n v="140"/>
    <n v="0"/>
    <n v="1298"/>
    <n v="649"/>
    <n v="1298"/>
    <n v="649"/>
    <n v="509"/>
    <n v="649"/>
    <n v="649"/>
    <n v="3245"/>
    <m/>
    <m/>
    <m/>
    <m/>
    <n v="0"/>
    <n v="0"/>
    <n v="0"/>
    <n v="0"/>
    <n v="0"/>
    <n v="0"/>
    <n v="0"/>
    <n v="0"/>
    <n v="0"/>
    <n v="0"/>
    <n v="0"/>
    <n v="0"/>
    <n v="0"/>
    <n v="0"/>
    <n v="0"/>
    <s v="MMR012CMP098"/>
    <x v="0"/>
    <m/>
  </r>
  <r>
    <x v="71"/>
    <x v="2"/>
    <x v="71"/>
    <x v="1"/>
    <s v="Save the Children"/>
    <x v="0"/>
    <x v="0"/>
    <s v="Sat Roe Kya 1"/>
    <n v="0"/>
    <m/>
    <n v="0"/>
    <n v="498"/>
    <n v="249"/>
    <n v="498"/>
    <n v="249"/>
    <n v="0"/>
    <n v="249"/>
    <n v="249"/>
    <n v="1245"/>
    <m/>
    <m/>
    <m/>
    <m/>
    <n v="0"/>
    <n v="0"/>
    <n v="0"/>
    <n v="0"/>
    <n v="0"/>
    <n v="0"/>
    <n v="0"/>
    <n v="0"/>
    <n v="0"/>
    <n v="0"/>
    <n v="0"/>
    <n v="0"/>
    <n v="0"/>
    <n v="0"/>
    <n v="0"/>
    <s v="MMR012CMP111"/>
    <x v="1"/>
    <m/>
  </r>
  <r>
    <x v="72"/>
    <x v="2"/>
    <x v="72"/>
    <x v="1"/>
    <s v="LWF"/>
    <x v="0"/>
    <x v="0"/>
    <s v="Thae Chaung"/>
    <m/>
    <n v="2145"/>
    <m/>
    <n v="4290"/>
    <n v="2145"/>
    <n v="4290"/>
    <n v="2145"/>
    <m/>
    <n v="2145"/>
    <n v="2145"/>
    <n v="10725"/>
    <m/>
    <m/>
    <m/>
    <m/>
    <n v="0"/>
    <n v="0"/>
    <n v="0"/>
    <n v="0"/>
    <n v="0"/>
    <n v="0"/>
    <n v="0"/>
    <n v="0"/>
    <n v="0"/>
    <n v="0"/>
    <n v="0"/>
    <n v="0"/>
    <n v="0"/>
    <n v="0"/>
    <n v="0"/>
    <s v="MMR012CMP046"/>
    <x v="0"/>
    <m/>
  </r>
  <r>
    <x v="73"/>
    <x v="2"/>
    <x v="73"/>
    <x v="11"/>
    <s v="DRC"/>
    <x v="0"/>
    <x v="0"/>
    <s v="Dar Pai"/>
    <n v="0"/>
    <n v="1364"/>
    <n v="0"/>
    <n v="2728"/>
    <n v="1364"/>
    <n v="2728"/>
    <n v="1364"/>
    <n v="0"/>
    <n v="1364"/>
    <n v="1364"/>
    <n v="6820"/>
    <m/>
    <m/>
    <m/>
    <m/>
    <n v="0"/>
    <n v="0"/>
    <n v="0"/>
    <n v="0"/>
    <n v="0"/>
    <n v="0"/>
    <n v="0"/>
    <n v="0"/>
    <n v="0"/>
    <n v="0"/>
    <n v="0"/>
    <n v="0"/>
    <n v="0"/>
    <n v="0"/>
    <n v="0"/>
    <s v="MMR012CMP041"/>
    <x v="0"/>
    <m/>
  </r>
  <r>
    <x v="74"/>
    <x v="2"/>
    <x v="74"/>
    <x v="1"/>
    <s v="UNHCR"/>
    <x v="0"/>
    <x v="4"/>
    <s v="Chein Khar Li"/>
    <n v="0"/>
    <n v="7"/>
    <n v="7"/>
    <n v="14"/>
    <n v="5"/>
    <n v="14"/>
    <n v="5"/>
    <n v="0"/>
    <n v="7"/>
    <n v="7"/>
    <n v="21"/>
    <m/>
    <m/>
    <m/>
    <m/>
    <n v="0"/>
    <n v="0"/>
    <n v="0"/>
    <n v="0"/>
    <n v="0"/>
    <n v="0"/>
    <n v="0"/>
    <n v="0"/>
    <n v="0"/>
    <n v="0"/>
    <n v="0"/>
    <n v="0"/>
    <n v="0"/>
    <n v="0"/>
    <n v="0"/>
    <s v="MMR012CMP033"/>
    <x v="0"/>
    <m/>
  </r>
  <r>
    <x v="75"/>
    <x v="2"/>
    <x v="75"/>
    <x v="1"/>
    <s v="UNHCR"/>
    <x v="0"/>
    <x v="0"/>
    <s v="Sat Roe Kya 2"/>
    <n v="0"/>
    <m/>
    <n v="0"/>
    <n v="836"/>
    <n v="418"/>
    <n v="836"/>
    <n v="418"/>
    <n v="0"/>
    <n v="418"/>
    <n v="418"/>
    <n v="2090"/>
    <m/>
    <m/>
    <m/>
    <m/>
    <n v="0"/>
    <n v="0"/>
    <n v="0"/>
    <n v="0"/>
    <n v="0"/>
    <n v="0"/>
    <n v="0"/>
    <n v="0"/>
    <n v="0"/>
    <n v="0"/>
    <n v="0"/>
    <n v="0"/>
    <n v="0"/>
    <n v="0"/>
    <n v="0"/>
    <s v="MMR012CMP112"/>
    <x v="1"/>
    <m/>
  </r>
  <r>
    <x v="75"/>
    <x v="2"/>
    <x v="75"/>
    <x v="1"/>
    <s v="LWF"/>
    <x v="0"/>
    <x v="0"/>
    <s v="Set Yone Su"/>
    <m/>
    <n v="72"/>
    <m/>
    <n v="144"/>
    <n v="72"/>
    <n v="144"/>
    <n v="72"/>
    <m/>
    <n v="72"/>
    <n v="72"/>
    <n v="360"/>
    <m/>
    <m/>
    <m/>
    <m/>
    <n v="0"/>
    <n v="0"/>
    <n v="0"/>
    <n v="0"/>
    <n v="0"/>
    <n v="0"/>
    <n v="0"/>
    <n v="0"/>
    <n v="0"/>
    <n v="0"/>
    <n v="0"/>
    <n v="0"/>
    <n v="0"/>
    <n v="0"/>
    <n v="0"/>
    <s v="MMR012CMP056"/>
    <x v="1"/>
    <m/>
  </r>
  <r>
    <x v="75"/>
    <x v="2"/>
    <x v="75"/>
    <x v="1"/>
    <s v="LWF"/>
    <x v="0"/>
    <x v="0"/>
    <s v="Set Yone Su 3"/>
    <m/>
    <n v="151"/>
    <m/>
    <n v="302"/>
    <n v="151"/>
    <n v="302"/>
    <n v="151"/>
    <m/>
    <n v="151"/>
    <n v="151"/>
    <n v="755"/>
    <m/>
    <m/>
    <m/>
    <m/>
    <n v="0"/>
    <n v="0"/>
    <n v="0"/>
    <n v="0"/>
    <n v="0"/>
    <n v="0"/>
    <n v="0"/>
    <n v="0"/>
    <n v="0"/>
    <n v="0"/>
    <n v="0"/>
    <n v="0"/>
    <n v="0"/>
    <n v="0"/>
    <n v="0"/>
    <s v="MMR012CMP093"/>
    <x v="1"/>
    <m/>
  </r>
  <r>
    <x v="76"/>
    <x v="2"/>
    <x v="76"/>
    <x v="15"/>
    <s v="Save the Children"/>
    <x v="0"/>
    <x v="0"/>
    <s v="Thet Kae Pyin "/>
    <n v="1020"/>
    <m/>
    <m/>
    <m/>
    <m/>
    <m/>
    <m/>
    <m/>
    <m/>
    <m/>
    <m/>
    <m/>
    <m/>
    <m/>
    <m/>
    <n v="0"/>
    <n v="0"/>
    <n v="0"/>
    <n v="0"/>
    <n v="0"/>
    <n v="0"/>
    <n v="0"/>
    <n v="0"/>
    <n v="0"/>
    <n v="0"/>
    <n v="0"/>
    <n v="0"/>
    <n v="0"/>
    <n v="0"/>
    <n v="0"/>
    <s v="MMR012CMP048"/>
    <x v="0"/>
    <m/>
  </r>
  <r>
    <x v="77"/>
    <x v="2"/>
    <x v="77"/>
    <x v="1"/>
    <s v="UNHCR"/>
    <x v="0"/>
    <x v="8"/>
    <s v="Bomu Ywa"/>
    <n v="0"/>
    <n v="43"/>
    <n v="43"/>
    <n v="86"/>
    <n v="0"/>
    <n v="86"/>
    <n v="33"/>
    <n v="0"/>
    <n v="43"/>
    <n v="43"/>
    <n v="165"/>
    <m/>
    <m/>
    <m/>
    <m/>
    <n v="0"/>
    <n v="0"/>
    <n v="0"/>
    <n v="0"/>
    <n v="0"/>
    <n v="0"/>
    <n v="0"/>
    <n v="0"/>
    <n v="0"/>
    <n v="0"/>
    <n v="0"/>
    <n v="0"/>
    <n v="0"/>
    <n v="0"/>
    <n v="0"/>
    <s v="MMR012CMP084"/>
    <x v="0"/>
    <m/>
  </r>
  <r>
    <x v="78"/>
    <x v="2"/>
    <x v="78"/>
    <x v="6"/>
    <s v="RI"/>
    <x v="0"/>
    <x v="3"/>
    <s v="Kan Thar Htwat Wa"/>
    <n v="42"/>
    <m/>
    <m/>
    <m/>
    <m/>
    <m/>
    <m/>
    <m/>
    <m/>
    <m/>
    <m/>
    <m/>
    <m/>
    <m/>
    <m/>
    <n v="0"/>
    <n v="0"/>
    <n v="0"/>
    <n v="0"/>
    <n v="0"/>
    <n v="0"/>
    <n v="0"/>
    <n v="0"/>
    <n v="0"/>
    <n v="0"/>
    <n v="0"/>
    <n v="0"/>
    <n v="0"/>
    <n v="0"/>
    <n v="0"/>
    <s v="MMR012CMP013"/>
    <x v="1"/>
    <m/>
  </r>
  <r>
    <x v="78"/>
    <x v="2"/>
    <x v="78"/>
    <x v="6"/>
    <s v="RI"/>
    <x v="0"/>
    <x v="3"/>
    <s v="Taung Paw "/>
    <n v="682"/>
    <m/>
    <m/>
    <m/>
    <m/>
    <m/>
    <m/>
    <m/>
    <m/>
    <m/>
    <m/>
    <m/>
    <m/>
    <m/>
    <m/>
    <n v="0"/>
    <n v="0"/>
    <n v="0"/>
    <n v="0"/>
    <n v="0"/>
    <n v="0"/>
    <n v="0"/>
    <n v="0"/>
    <n v="0"/>
    <n v="0"/>
    <n v="0"/>
    <n v="0"/>
    <n v="0"/>
    <n v="0"/>
    <n v="0"/>
    <s v="MMR012CMP014"/>
    <x v="0"/>
    <m/>
  </r>
  <r>
    <x v="79"/>
    <x v="2"/>
    <x v="79"/>
    <x v="2"/>
    <s v="CDN"/>
    <x v="0"/>
    <x v="0"/>
    <s v="Sat Roe Kya 1"/>
    <n v="249"/>
    <m/>
    <m/>
    <m/>
    <m/>
    <m/>
    <m/>
    <m/>
    <m/>
    <m/>
    <m/>
    <m/>
    <m/>
    <m/>
    <m/>
    <n v="0"/>
    <n v="0"/>
    <n v="0"/>
    <n v="0"/>
    <n v="0"/>
    <n v="0"/>
    <n v="0"/>
    <n v="0"/>
    <n v="0"/>
    <n v="0"/>
    <n v="0"/>
    <n v="0"/>
    <n v="0"/>
    <n v="0"/>
    <n v="0"/>
    <s v="MMR012CMP111"/>
    <x v="1"/>
    <m/>
  </r>
  <r>
    <x v="80"/>
    <x v="2"/>
    <x v="80"/>
    <x v="6"/>
    <s v="RI"/>
    <x v="0"/>
    <x v="3"/>
    <s v="Kan Thar Htwat Wa"/>
    <n v="42"/>
    <m/>
    <m/>
    <m/>
    <m/>
    <m/>
    <m/>
    <m/>
    <m/>
    <m/>
    <m/>
    <m/>
    <m/>
    <m/>
    <m/>
    <n v="0"/>
    <n v="0"/>
    <n v="0"/>
    <n v="0"/>
    <n v="0"/>
    <n v="0"/>
    <n v="0"/>
    <n v="0"/>
    <n v="0"/>
    <n v="0"/>
    <n v="0"/>
    <n v="0"/>
    <n v="0"/>
    <n v="0"/>
    <n v="0"/>
    <s v="MMR012CMP013"/>
    <x v="1"/>
    <m/>
  </r>
  <r>
    <x v="80"/>
    <x v="2"/>
    <x v="80"/>
    <x v="6"/>
    <s v="RI"/>
    <x v="0"/>
    <x v="3"/>
    <s v="Taung Paw "/>
    <n v="682"/>
    <m/>
    <m/>
    <m/>
    <m/>
    <m/>
    <m/>
    <m/>
    <m/>
    <m/>
    <m/>
    <m/>
    <m/>
    <m/>
    <m/>
    <n v="0"/>
    <n v="0"/>
    <n v="0"/>
    <n v="0"/>
    <n v="0"/>
    <n v="0"/>
    <n v="0"/>
    <n v="0"/>
    <n v="0"/>
    <n v="0"/>
    <n v="0"/>
    <n v="0"/>
    <n v="0"/>
    <n v="0"/>
    <n v="0"/>
    <s v="MMR012CMP014"/>
    <x v="0"/>
    <m/>
  </r>
  <r>
    <x v="81"/>
    <x v="2"/>
    <x v="81"/>
    <x v="1"/>
    <s v="UNHCR"/>
    <x v="0"/>
    <x v="2"/>
    <s v="Kyein Ni Pyin"/>
    <m/>
    <n v="101"/>
    <m/>
    <n v="1888"/>
    <n v="944"/>
    <n v="1888"/>
    <n v="944"/>
    <m/>
    <n v="944"/>
    <n v="944"/>
    <n v="4720"/>
    <m/>
    <m/>
    <m/>
    <m/>
    <n v="0"/>
    <n v="0"/>
    <n v="0"/>
    <n v="0"/>
    <n v="0"/>
    <n v="0"/>
    <n v="0"/>
    <n v="0"/>
    <n v="0"/>
    <n v="0"/>
    <n v="0"/>
    <n v="0"/>
    <n v="0"/>
    <n v="0"/>
    <n v="0"/>
    <s v="MMR012CMP018"/>
    <x v="0"/>
    <m/>
  </r>
  <r>
    <x v="82"/>
    <x v="2"/>
    <x v="82"/>
    <x v="1"/>
    <s v="UNHCR"/>
    <x v="0"/>
    <x v="4"/>
    <s v="Chein Khar Li"/>
    <n v="0"/>
    <n v="0"/>
    <n v="0"/>
    <n v="0"/>
    <n v="0"/>
    <n v="700"/>
    <n v="0"/>
    <n v="0"/>
    <n v="350"/>
    <n v="0"/>
    <n v="1120"/>
    <m/>
    <m/>
    <m/>
    <m/>
    <n v="0"/>
    <n v="0"/>
    <n v="0"/>
    <n v="0"/>
    <n v="0"/>
    <n v="0"/>
    <n v="0"/>
    <n v="0"/>
    <n v="0"/>
    <n v="0"/>
    <n v="0"/>
    <n v="0"/>
    <n v="0"/>
    <n v="0"/>
    <n v="0"/>
    <s v="MMR012CMP033"/>
    <x v="0"/>
    <m/>
  </r>
  <r>
    <x v="82"/>
    <x v="2"/>
    <x v="82"/>
    <x v="1"/>
    <s v="UNHCR"/>
    <x v="0"/>
    <x v="4"/>
    <s v="Koe Tan Kauk"/>
    <n v="0"/>
    <n v="0"/>
    <n v="0"/>
    <n v="0"/>
    <n v="0"/>
    <n v="534"/>
    <n v="0"/>
    <n v="0"/>
    <n v="267"/>
    <m/>
    <n v="1010"/>
    <m/>
    <m/>
    <m/>
    <m/>
    <n v="0"/>
    <n v="0"/>
    <n v="0"/>
    <n v="0"/>
    <n v="0"/>
    <n v="0"/>
    <n v="0"/>
    <n v="0"/>
    <n v="0"/>
    <n v="0"/>
    <n v="0"/>
    <n v="0"/>
    <n v="0"/>
    <n v="0"/>
    <n v="0"/>
    <s v="MMR012CMP110"/>
    <x v="0"/>
    <m/>
  </r>
  <r>
    <x v="83"/>
    <x v="2"/>
    <x v="83"/>
    <x v="1"/>
    <s v="UNHCR"/>
    <x v="0"/>
    <x v="8"/>
    <s v="Sin Thay Pyin (Zay Di Pyin)"/>
    <n v="16"/>
    <n v="16"/>
    <n v="16"/>
    <n v="32"/>
    <n v="0"/>
    <n v="32"/>
    <n v="8"/>
    <n v="0"/>
    <n v="16"/>
    <n v="16"/>
    <n v="40"/>
    <m/>
    <m/>
    <m/>
    <m/>
    <n v="0"/>
    <n v="0"/>
    <n v="0"/>
    <n v="0"/>
    <n v="0"/>
    <n v="0"/>
    <n v="0"/>
    <n v="0"/>
    <n v="0"/>
    <n v="0"/>
    <n v="0"/>
    <n v="0"/>
    <n v="0"/>
    <n v="0"/>
    <n v="0"/>
    <s v="MMR012CMP094"/>
    <x v="0"/>
    <m/>
  </r>
  <r>
    <x v="83"/>
    <x v="2"/>
    <x v="83"/>
    <x v="1"/>
    <s v="UNHCR"/>
    <x v="0"/>
    <x v="8"/>
    <s v="Ywa thit Kay"/>
    <n v="36"/>
    <n v="36"/>
    <n v="36"/>
    <n v="72"/>
    <n v="0"/>
    <n v="72"/>
    <n v="19"/>
    <n v="0"/>
    <n v="36"/>
    <n v="36"/>
    <n v="95"/>
    <m/>
    <m/>
    <m/>
    <m/>
    <n v="0"/>
    <n v="0"/>
    <n v="0"/>
    <n v="0"/>
    <n v="0"/>
    <n v="0"/>
    <n v="0"/>
    <n v="0"/>
    <n v="0"/>
    <n v="0"/>
    <n v="0"/>
    <n v="0"/>
    <n v="0"/>
    <n v="0"/>
    <n v="0"/>
    <s v="MMR012CMP085"/>
    <x v="0"/>
    <m/>
  </r>
  <r>
    <x v="83"/>
    <x v="2"/>
    <x v="83"/>
    <x v="1"/>
    <s v="UNHCR"/>
    <x v="0"/>
    <x v="8"/>
    <s v="(Du) Chee Yar Tan (East)"/>
    <n v="39"/>
    <n v="39"/>
    <n v="39"/>
    <n v="78"/>
    <n v="0"/>
    <n v="78"/>
    <n v="28"/>
    <n v="0"/>
    <n v="39"/>
    <n v="39"/>
    <n v="40"/>
    <m/>
    <m/>
    <m/>
    <m/>
    <n v="0"/>
    <n v="0"/>
    <n v="0"/>
    <n v="0"/>
    <n v="0"/>
    <n v="0"/>
    <n v="0"/>
    <n v="0"/>
    <n v="0"/>
    <n v="0"/>
    <n v="0"/>
    <n v="0"/>
    <n v="0"/>
    <n v="0"/>
    <n v="0"/>
    <s v=""/>
    <x v="3"/>
    <m/>
  </r>
  <r>
    <x v="84"/>
    <x v="2"/>
    <x v="84"/>
    <x v="6"/>
    <s v="RI"/>
    <x v="0"/>
    <x v="3"/>
    <s v="Kan Thar Htwat Wa"/>
    <n v="42"/>
    <m/>
    <m/>
    <m/>
    <m/>
    <m/>
    <m/>
    <m/>
    <m/>
    <m/>
    <m/>
    <m/>
    <m/>
    <m/>
    <m/>
    <n v="0"/>
    <n v="0"/>
    <n v="0"/>
    <n v="0"/>
    <n v="0"/>
    <n v="0"/>
    <n v="0"/>
    <n v="0"/>
    <n v="0"/>
    <n v="0"/>
    <n v="0"/>
    <n v="0"/>
    <n v="0"/>
    <n v="0"/>
    <n v="0"/>
    <s v="MMR012CMP013"/>
    <x v="1"/>
    <m/>
  </r>
  <r>
    <x v="84"/>
    <x v="2"/>
    <x v="84"/>
    <x v="6"/>
    <s v="RI"/>
    <x v="0"/>
    <x v="3"/>
    <s v="Taung Paw "/>
    <n v="682"/>
    <m/>
    <m/>
    <m/>
    <m/>
    <m/>
    <m/>
    <m/>
    <m/>
    <m/>
    <m/>
    <m/>
    <m/>
    <m/>
    <m/>
    <n v="0"/>
    <n v="0"/>
    <n v="0"/>
    <n v="0"/>
    <n v="0"/>
    <n v="0"/>
    <n v="0"/>
    <n v="0"/>
    <n v="0"/>
    <n v="0"/>
    <n v="0"/>
    <n v="0"/>
    <n v="0"/>
    <n v="0"/>
    <n v="0"/>
    <s v="MMR012CMP014"/>
    <x v="0"/>
    <m/>
  </r>
  <r>
    <x v="85"/>
    <x v="3"/>
    <x v="85"/>
    <x v="1"/>
    <s v="UNHCR"/>
    <x v="0"/>
    <x v="8"/>
    <s v="Nyaung Pin Hla"/>
    <n v="27"/>
    <n v="27"/>
    <n v="27"/>
    <n v="54"/>
    <n v="0"/>
    <n v="54"/>
    <n v="17"/>
    <n v="0"/>
    <n v="27"/>
    <m/>
    <n v="85"/>
    <m/>
    <m/>
    <m/>
    <m/>
    <n v="0"/>
    <n v="0"/>
    <n v="0"/>
    <n v="0"/>
    <n v="0"/>
    <n v="0"/>
    <n v="0"/>
    <n v="0"/>
    <n v="0"/>
    <n v="0"/>
    <n v="0"/>
    <n v="0"/>
    <n v="0"/>
    <n v="0"/>
    <n v="0"/>
    <s v="MMR012CMP082"/>
    <x v="2"/>
    <m/>
  </r>
  <r>
    <x v="86"/>
    <x v="3"/>
    <x v="86"/>
    <x v="1"/>
    <s v="UNHCR"/>
    <x v="0"/>
    <x v="8"/>
    <s v="Thaung Paing Nyar"/>
    <n v="108"/>
    <n v="108"/>
    <n v="108"/>
    <n v="216"/>
    <n v="0"/>
    <n v="216"/>
    <n v="68"/>
    <n v="0"/>
    <n v="108"/>
    <m/>
    <n v="340"/>
    <m/>
    <m/>
    <m/>
    <m/>
    <n v="0"/>
    <n v="0"/>
    <n v="0"/>
    <n v="0"/>
    <n v="0"/>
    <n v="0"/>
    <n v="0"/>
    <n v="0"/>
    <n v="0"/>
    <n v="0"/>
    <n v="0"/>
    <n v="0"/>
    <n v="0"/>
    <n v="0"/>
    <n v="0"/>
    <s v="MMR012CMP086"/>
    <x v="0"/>
    <m/>
  </r>
  <r>
    <x v="86"/>
    <x v="3"/>
    <x v="86"/>
    <x v="1"/>
    <s v="UNHCR"/>
    <x v="0"/>
    <x v="8"/>
    <s v="Ward-6 (Lay Myaing)"/>
    <n v="164"/>
    <n v="164"/>
    <n v="164"/>
    <n v="328"/>
    <n v="0"/>
    <n v="328"/>
    <n v="92"/>
    <n v="0"/>
    <n v="164"/>
    <m/>
    <n v="460"/>
    <m/>
    <m/>
    <m/>
    <m/>
    <n v="0"/>
    <n v="0"/>
    <n v="0"/>
    <n v="0"/>
    <n v="0"/>
    <n v="0"/>
    <n v="0"/>
    <n v="0"/>
    <n v="0"/>
    <n v="0"/>
    <n v="0"/>
    <n v="0"/>
    <n v="0"/>
    <n v="0"/>
    <n v="0"/>
    <s v="MMR012CMP095"/>
    <x v="0"/>
    <m/>
  </r>
  <r>
    <x v="87"/>
    <x v="3"/>
    <x v="87"/>
    <x v="1"/>
    <s v="UNHCR"/>
    <x v="0"/>
    <x v="8"/>
    <s v="Myoma Myauk (Chitta Ywa)"/>
    <n v="315"/>
    <n v="315"/>
    <n v="315"/>
    <n v="630"/>
    <n v="0"/>
    <n v="630"/>
    <n v="186"/>
    <n v="0"/>
    <n v="315"/>
    <m/>
    <n v="930"/>
    <m/>
    <m/>
    <m/>
    <m/>
    <n v="0"/>
    <n v="0"/>
    <n v="0"/>
    <n v="0"/>
    <n v="0"/>
    <n v="0"/>
    <n v="0"/>
    <n v="0"/>
    <n v="0"/>
    <n v="0"/>
    <n v="0"/>
    <n v="0"/>
    <n v="0"/>
    <n v="0"/>
    <n v="0"/>
    <s v="MMR012CMP083"/>
    <x v="0"/>
    <m/>
  </r>
  <r>
    <x v="88"/>
    <x v="3"/>
    <x v="88"/>
    <x v="1"/>
    <s v="UNHCR"/>
    <x v="0"/>
    <x v="8"/>
    <s v="Honsara (Zaw Ma Tat)"/>
    <n v="170"/>
    <n v="170"/>
    <n v="170"/>
    <n v="338"/>
    <n v="0"/>
    <n v="338"/>
    <n v="110"/>
    <n v="0"/>
    <n v="170"/>
    <m/>
    <n v="550"/>
    <m/>
    <m/>
    <m/>
    <m/>
    <n v="0"/>
    <n v="0"/>
    <n v="0"/>
    <n v="0"/>
    <n v="0"/>
    <n v="0"/>
    <n v="0"/>
    <n v="0"/>
    <n v="0"/>
    <n v="0"/>
    <n v="0"/>
    <n v="0"/>
    <n v="0"/>
    <n v="0"/>
    <n v="0"/>
    <s v="MMR012CMP109"/>
    <x v="0"/>
    <m/>
  </r>
  <r>
    <x v="89"/>
    <x v="3"/>
    <x v="89"/>
    <x v="1"/>
    <s v="UNHCR"/>
    <x v="0"/>
    <x v="4"/>
    <s v="Ah Htet Nan Yar"/>
    <n v="349"/>
    <n v="349"/>
    <n v="349"/>
    <n v="698"/>
    <n v="250"/>
    <n v="698"/>
    <n v="250"/>
    <n v="0"/>
    <n v="349"/>
    <m/>
    <n v="1250"/>
    <m/>
    <m/>
    <m/>
    <m/>
    <n v="0"/>
    <n v="0"/>
    <n v="0"/>
    <n v="0"/>
    <n v="0"/>
    <n v="0"/>
    <n v="0"/>
    <n v="0"/>
    <n v="0"/>
    <n v="0"/>
    <n v="0"/>
    <n v="0"/>
    <n v="0"/>
    <n v="0"/>
    <n v="0"/>
    <s v="MMR012CMP034"/>
    <x v="0"/>
    <m/>
  </r>
  <r>
    <x v="90"/>
    <x v="3"/>
    <x v="90"/>
    <x v="1"/>
    <s v="UNHCR"/>
    <x v="0"/>
    <x v="4"/>
    <s v="Ah Nauk Pyin"/>
    <n v="86"/>
    <n v="86"/>
    <n v="86"/>
    <n v="170"/>
    <n v="66"/>
    <n v="170"/>
    <n v="66"/>
    <n v="0"/>
    <n v="86"/>
    <m/>
    <n v="330"/>
    <m/>
    <m/>
    <m/>
    <m/>
    <n v="0"/>
    <n v="0"/>
    <n v="0"/>
    <n v="0"/>
    <n v="0"/>
    <n v="0"/>
    <n v="0"/>
    <n v="0"/>
    <n v="0"/>
    <n v="0"/>
    <n v="0"/>
    <n v="0"/>
    <n v="0"/>
    <n v="0"/>
    <n v="0"/>
    <s v="MMR012CMP032"/>
    <x v="2"/>
    <m/>
  </r>
  <r>
    <x v="91"/>
    <x v="3"/>
    <x v="91"/>
    <x v="1"/>
    <s v="UNHCR"/>
    <x v="0"/>
    <x v="4"/>
    <s v="Nyaung Pin Gyi"/>
    <n v="102"/>
    <n v="102"/>
    <n v="102"/>
    <n v="206"/>
    <n v="66"/>
    <n v="206"/>
    <n v="66"/>
    <n v="0"/>
    <n v="102"/>
    <m/>
    <n v="330"/>
    <m/>
    <m/>
    <m/>
    <m/>
    <n v="0"/>
    <n v="0"/>
    <n v="0"/>
    <n v="0"/>
    <n v="0"/>
    <n v="0"/>
    <n v="0"/>
    <n v="0"/>
    <n v="0"/>
    <n v="0"/>
    <n v="0"/>
    <n v="0"/>
    <n v="0"/>
    <n v="0"/>
    <n v="0"/>
    <s v="MMR012CMP031"/>
    <x v="2"/>
    <m/>
  </r>
  <r>
    <x v="92"/>
    <x v="3"/>
    <x v="92"/>
    <x v="11"/>
    <s v="DRC"/>
    <x v="0"/>
    <x v="0"/>
    <s v="Baw Du Pha 2"/>
    <m/>
    <m/>
    <m/>
    <n v="2624"/>
    <n v="1312"/>
    <n v="2624"/>
    <n v="1312"/>
    <m/>
    <n v="1312"/>
    <m/>
    <n v="3936"/>
    <m/>
    <m/>
    <m/>
    <m/>
    <n v="0"/>
    <n v="0"/>
    <n v="0"/>
    <n v="0"/>
    <n v="0"/>
    <n v="0"/>
    <n v="0"/>
    <n v="0"/>
    <n v="0"/>
    <n v="0"/>
    <n v="0"/>
    <n v="0"/>
    <n v="0"/>
    <n v="0"/>
    <n v="0"/>
    <s v="MMR012CMP114"/>
    <x v="0"/>
    <m/>
  </r>
  <r>
    <x v="93"/>
    <x v="3"/>
    <x v="93"/>
    <x v="11"/>
    <s v="DRC"/>
    <x v="0"/>
    <x v="0"/>
    <s v="Baw Du Pha 1"/>
    <m/>
    <m/>
    <m/>
    <n v="2020"/>
    <n v="1010"/>
    <n v="2020"/>
    <n v="1010"/>
    <m/>
    <n v="1010"/>
    <m/>
    <n v="3030"/>
    <m/>
    <m/>
    <m/>
    <m/>
    <n v="0"/>
    <n v="0"/>
    <n v="0"/>
    <n v="0"/>
    <n v="0"/>
    <n v="0"/>
    <n v="0"/>
    <n v="0"/>
    <n v="0"/>
    <n v="0"/>
    <n v="0"/>
    <n v="0"/>
    <n v="0"/>
    <n v="0"/>
    <n v="0"/>
    <s v="MMR012CMP113"/>
    <x v="0"/>
    <m/>
  </r>
  <r>
    <x v="94"/>
    <x v="3"/>
    <x v="94"/>
    <x v="13"/>
    <s v="LWF"/>
    <x v="0"/>
    <x v="0"/>
    <s v="Set Yone Su"/>
    <m/>
    <m/>
    <m/>
    <n v="2"/>
    <n v="1"/>
    <n v="2"/>
    <n v="1"/>
    <m/>
    <n v="1"/>
    <m/>
    <n v="5"/>
    <m/>
    <m/>
    <m/>
    <m/>
    <n v="0"/>
    <n v="0"/>
    <n v="0"/>
    <n v="0"/>
    <n v="0"/>
    <n v="0"/>
    <n v="0"/>
    <n v="0"/>
    <n v="0"/>
    <n v="0"/>
    <n v="0"/>
    <n v="0"/>
    <n v="0"/>
    <n v="0"/>
    <n v="0"/>
    <s v="MMR012CMP056"/>
    <x v="1"/>
    <m/>
  </r>
  <r>
    <x v="94"/>
    <x v="3"/>
    <x v="94"/>
    <x v="13"/>
    <s v="LWF"/>
    <x v="0"/>
    <x v="0"/>
    <s v="Set Yone Su 3"/>
    <m/>
    <m/>
    <m/>
    <n v="2"/>
    <n v="1"/>
    <n v="2"/>
    <n v="1"/>
    <m/>
    <n v="1"/>
    <m/>
    <n v="5"/>
    <m/>
    <m/>
    <m/>
    <m/>
    <n v="0"/>
    <n v="0"/>
    <n v="0"/>
    <n v="0"/>
    <n v="0"/>
    <n v="0"/>
    <n v="0"/>
    <n v="0"/>
    <n v="0"/>
    <n v="0"/>
    <n v="0"/>
    <n v="0"/>
    <n v="0"/>
    <n v="0"/>
    <n v="0"/>
    <s v="MMR012CMP093"/>
    <x v="1"/>
    <m/>
  </r>
  <r>
    <x v="95"/>
    <x v="3"/>
    <x v="95"/>
    <x v="16"/>
    <s v="AGE"/>
    <x v="0"/>
    <x v="2"/>
    <s v="Ah Nauk Ywe"/>
    <m/>
    <m/>
    <m/>
    <m/>
    <m/>
    <m/>
    <m/>
    <n v="1128"/>
    <m/>
    <m/>
    <m/>
    <m/>
    <m/>
    <m/>
    <m/>
    <n v="0"/>
    <n v="0"/>
    <n v="0"/>
    <n v="0"/>
    <n v="0"/>
    <n v="0"/>
    <n v="0"/>
    <n v="0"/>
    <n v="0"/>
    <n v="0"/>
    <n v="0"/>
    <n v="0"/>
    <n v="0"/>
    <n v="0"/>
    <n v="0"/>
    <s v="MMR012CMP016"/>
    <x v="0"/>
    <m/>
  </r>
  <r>
    <x v="95"/>
    <x v="3"/>
    <x v="95"/>
    <x v="16"/>
    <s v="AGE"/>
    <x v="0"/>
    <x v="2"/>
    <s v="Kyein Ni Pyin"/>
    <m/>
    <m/>
    <m/>
    <m/>
    <m/>
    <m/>
    <m/>
    <n v="959"/>
    <m/>
    <m/>
    <m/>
    <m/>
    <m/>
    <m/>
    <m/>
    <n v="0"/>
    <n v="0"/>
    <n v="0"/>
    <n v="0"/>
    <n v="0"/>
    <n v="0"/>
    <n v="0"/>
    <n v="0"/>
    <n v="0"/>
    <n v="0"/>
    <n v="0"/>
    <n v="0"/>
    <n v="0"/>
    <n v="0"/>
    <n v="0"/>
    <s v="MMR012CMP018"/>
    <x v="0"/>
    <m/>
  </r>
  <r>
    <x v="95"/>
    <x v="3"/>
    <x v="95"/>
    <x v="16"/>
    <s v="AGE"/>
    <x v="0"/>
    <x v="2"/>
    <s v="Nget Chaung"/>
    <m/>
    <m/>
    <m/>
    <m/>
    <m/>
    <m/>
    <m/>
    <n v="1130"/>
    <m/>
    <m/>
    <m/>
    <m/>
    <m/>
    <m/>
    <m/>
    <n v="0"/>
    <n v="0"/>
    <n v="0"/>
    <n v="0"/>
    <n v="0"/>
    <n v="0"/>
    <n v="0"/>
    <n v="0"/>
    <n v="0"/>
    <n v="0"/>
    <n v="0"/>
    <n v="0"/>
    <n v="0"/>
    <n v="0"/>
    <n v="0"/>
    <s v=""/>
    <x v="3"/>
    <m/>
  </r>
  <r>
    <x v="95"/>
    <x v="3"/>
    <x v="95"/>
    <x v="16"/>
    <s v="AGE"/>
    <x v="0"/>
    <x v="2"/>
    <s v="Sin Tet Maw"/>
    <m/>
    <m/>
    <m/>
    <m/>
    <m/>
    <m/>
    <m/>
    <n v="681"/>
    <m/>
    <m/>
    <m/>
    <m/>
    <m/>
    <m/>
    <m/>
    <n v="0"/>
    <n v="0"/>
    <n v="0"/>
    <n v="0"/>
    <n v="0"/>
    <n v="0"/>
    <n v="0"/>
    <n v="0"/>
    <n v="0"/>
    <n v="0"/>
    <n v="0"/>
    <n v="0"/>
    <n v="0"/>
    <n v="0"/>
    <n v="0"/>
    <s v="MMR012CMP019"/>
    <x v="0"/>
    <m/>
  </r>
  <r>
    <x v="95"/>
    <x v="3"/>
    <x v="95"/>
    <x v="16"/>
    <s v="AGE"/>
    <x v="0"/>
    <x v="2"/>
    <s v="Ba Wan Chaung Wa Su"/>
    <m/>
    <m/>
    <m/>
    <m/>
    <m/>
    <m/>
    <m/>
    <n v="24"/>
    <m/>
    <m/>
    <m/>
    <m/>
    <m/>
    <m/>
    <m/>
    <n v="0"/>
    <n v="0"/>
    <n v="0"/>
    <n v="0"/>
    <n v="0"/>
    <n v="0"/>
    <n v="0"/>
    <n v="0"/>
    <n v="0"/>
    <n v="0"/>
    <n v="0"/>
    <n v="0"/>
    <n v="0"/>
    <n v="0"/>
    <n v="0"/>
    <s v="MMR012CMP015"/>
    <x v="1"/>
    <m/>
  </r>
  <r>
    <x v="95"/>
    <x v="3"/>
    <x v="95"/>
    <x v="16"/>
    <s v="AGE"/>
    <x v="0"/>
    <x v="8"/>
    <s v="Maw Ya Waddy"/>
    <m/>
    <m/>
    <m/>
    <m/>
    <m/>
    <m/>
    <m/>
    <n v="183"/>
    <m/>
    <m/>
    <m/>
    <m/>
    <m/>
    <m/>
    <m/>
    <n v="0"/>
    <n v="0"/>
    <n v="0"/>
    <n v="0"/>
    <n v="0"/>
    <n v="0"/>
    <n v="0"/>
    <n v="0"/>
    <n v="0"/>
    <n v="0"/>
    <n v="0"/>
    <n v="0"/>
    <n v="0"/>
    <n v="0"/>
    <n v="0"/>
    <s v="MMR012CMP076"/>
    <x v="4"/>
    <m/>
  </r>
  <r>
    <x v="95"/>
    <x v="3"/>
    <x v="95"/>
    <x v="16"/>
    <s v="AGE"/>
    <x v="0"/>
    <x v="8"/>
    <s v="Kyaing Gyi"/>
    <m/>
    <m/>
    <m/>
    <m/>
    <m/>
    <m/>
    <m/>
    <n v="162"/>
    <m/>
    <m/>
    <m/>
    <m/>
    <m/>
    <m/>
    <m/>
    <n v="0"/>
    <n v="0"/>
    <n v="0"/>
    <n v="0"/>
    <n v="0"/>
    <n v="0"/>
    <n v="0"/>
    <n v="0"/>
    <n v="0"/>
    <n v="0"/>
    <n v="0"/>
    <n v="0"/>
    <n v="0"/>
    <n v="0"/>
    <n v="0"/>
    <s v="MMR012CMP078"/>
    <x v="4"/>
    <m/>
  </r>
  <r>
    <x v="95"/>
    <x v="3"/>
    <x v="95"/>
    <x v="16"/>
    <s v="AGE"/>
    <x v="0"/>
    <x v="8"/>
    <s v="Tha Yay Kone Baung"/>
    <m/>
    <m/>
    <m/>
    <m/>
    <m/>
    <m/>
    <m/>
    <n v="192"/>
    <m/>
    <m/>
    <m/>
    <m/>
    <m/>
    <m/>
    <m/>
    <n v="0"/>
    <n v="0"/>
    <n v="0"/>
    <n v="0"/>
    <n v="0"/>
    <n v="0"/>
    <n v="0"/>
    <n v="0"/>
    <n v="0"/>
    <n v="0"/>
    <n v="0"/>
    <n v="0"/>
    <n v="0"/>
    <n v="0"/>
    <n v="0"/>
    <s v="MMR012CMP077"/>
    <x v="4"/>
    <m/>
  </r>
  <r>
    <x v="95"/>
    <x v="3"/>
    <x v="95"/>
    <x v="16"/>
    <s v="AGE"/>
    <x v="0"/>
    <x v="8"/>
    <s v="Kin Chaung"/>
    <m/>
    <m/>
    <m/>
    <m/>
    <m/>
    <m/>
    <m/>
    <n v="102"/>
    <m/>
    <m/>
    <m/>
    <m/>
    <m/>
    <m/>
    <m/>
    <n v="0"/>
    <n v="0"/>
    <n v="0"/>
    <n v="0"/>
    <n v="0"/>
    <n v="0"/>
    <n v="0"/>
    <n v="0"/>
    <n v="0"/>
    <n v="0"/>
    <n v="0"/>
    <n v="0"/>
    <n v="0"/>
    <n v="0"/>
    <n v="0"/>
    <s v="MMR012CMP080"/>
    <x v="4"/>
    <m/>
  </r>
  <r>
    <x v="95"/>
    <x v="3"/>
    <x v="95"/>
    <x v="16"/>
    <s v="AGE"/>
    <x v="0"/>
    <x v="8"/>
    <s v="Baw Di Gone"/>
    <m/>
    <m/>
    <m/>
    <m/>
    <m/>
    <m/>
    <m/>
    <n v="103"/>
    <m/>
    <m/>
    <m/>
    <m/>
    <m/>
    <m/>
    <m/>
    <n v="0"/>
    <n v="0"/>
    <n v="0"/>
    <n v="0"/>
    <n v="0"/>
    <n v="0"/>
    <n v="0"/>
    <n v="0"/>
    <n v="0"/>
    <n v="0"/>
    <n v="0"/>
    <n v="0"/>
    <n v="0"/>
    <n v="0"/>
    <n v="0"/>
    <s v="MMR012CMP079"/>
    <x v="4"/>
    <m/>
  </r>
  <r>
    <x v="95"/>
    <x v="3"/>
    <x v="95"/>
    <x v="16"/>
    <s v="AGE"/>
    <x v="0"/>
    <x v="8"/>
    <s v="Kan Thar Yar"/>
    <m/>
    <m/>
    <m/>
    <m/>
    <m/>
    <m/>
    <m/>
    <n v="175"/>
    <m/>
    <m/>
    <m/>
    <m/>
    <m/>
    <m/>
    <m/>
    <n v="0"/>
    <n v="0"/>
    <n v="0"/>
    <n v="0"/>
    <n v="0"/>
    <n v="0"/>
    <n v="0"/>
    <n v="0"/>
    <n v="0"/>
    <n v="0"/>
    <n v="0"/>
    <n v="0"/>
    <n v="0"/>
    <n v="0"/>
    <n v="0"/>
    <s v="MMR012CMP081"/>
    <x v="4"/>
    <m/>
  </r>
  <r>
    <x v="96"/>
    <x v="3"/>
    <x v="96"/>
    <x v="11"/>
    <s v="DRC"/>
    <x v="0"/>
    <x v="0"/>
    <s v="Dar Pai"/>
    <m/>
    <m/>
    <m/>
    <m/>
    <n v="304"/>
    <n v="608"/>
    <m/>
    <m/>
    <n v="304"/>
    <m/>
    <m/>
    <m/>
    <m/>
    <m/>
    <m/>
    <n v="0"/>
    <n v="0"/>
    <n v="0"/>
    <n v="0"/>
    <n v="0"/>
    <n v="0"/>
    <n v="0"/>
    <n v="0"/>
    <n v="0"/>
    <n v="0"/>
    <n v="0"/>
    <n v="0"/>
    <n v="0"/>
    <n v="0"/>
    <n v="0"/>
    <s v="MMR012CMP041"/>
    <x v="0"/>
    <m/>
  </r>
  <r>
    <x v="96"/>
    <x v="3"/>
    <x v="96"/>
    <x v="13"/>
    <s v="LWF"/>
    <x v="0"/>
    <x v="0"/>
    <s v="Set Yone Su"/>
    <m/>
    <n v="70"/>
    <m/>
    <m/>
    <m/>
    <m/>
    <m/>
    <m/>
    <m/>
    <m/>
    <m/>
    <m/>
    <m/>
    <m/>
    <m/>
    <n v="0"/>
    <n v="0"/>
    <n v="0"/>
    <n v="0"/>
    <n v="0"/>
    <n v="0"/>
    <n v="0"/>
    <n v="0"/>
    <n v="0"/>
    <n v="0"/>
    <n v="0"/>
    <n v="0"/>
    <n v="0"/>
    <n v="0"/>
    <n v="0"/>
    <s v="MMR012CMP056"/>
    <x v="1"/>
    <m/>
  </r>
  <r>
    <x v="96"/>
    <x v="3"/>
    <x v="96"/>
    <x v="13"/>
    <s v="LWF"/>
    <x v="0"/>
    <x v="0"/>
    <s v="Set Yone Su 3"/>
    <m/>
    <n v="151"/>
    <m/>
    <m/>
    <m/>
    <m/>
    <m/>
    <m/>
    <m/>
    <m/>
    <m/>
    <m/>
    <m/>
    <m/>
    <m/>
    <n v="0"/>
    <n v="0"/>
    <n v="0"/>
    <n v="0"/>
    <n v="0"/>
    <n v="0"/>
    <n v="0"/>
    <n v="0"/>
    <n v="0"/>
    <n v="0"/>
    <n v="0"/>
    <n v="0"/>
    <n v="0"/>
    <n v="0"/>
    <n v="0"/>
    <s v="MMR012CMP093"/>
    <x v="1"/>
    <m/>
  </r>
  <r>
    <x v="97"/>
    <x v="3"/>
    <x v="97"/>
    <x v="13"/>
    <s v="LWF"/>
    <x v="0"/>
    <x v="0"/>
    <s v="Khaung Doke Khar "/>
    <m/>
    <m/>
    <m/>
    <n v="2"/>
    <n v="1"/>
    <n v="2"/>
    <n v="1"/>
    <m/>
    <n v="1"/>
    <m/>
    <n v="5"/>
    <m/>
    <m/>
    <m/>
    <m/>
    <n v="0"/>
    <n v="0"/>
    <n v="0"/>
    <n v="0"/>
    <n v="0"/>
    <n v="0"/>
    <n v="0"/>
    <n v="0"/>
    <n v="0"/>
    <n v="0"/>
    <n v="0"/>
    <n v="0"/>
    <n v="0"/>
    <n v="0"/>
    <n v="0"/>
    <s v="MMR012CMP042"/>
    <x v="0"/>
    <m/>
  </r>
  <r>
    <x v="98"/>
    <x v="3"/>
    <x v="98"/>
    <x v="1"/>
    <s v="UNHCR"/>
    <x v="0"/>
    <x v="0"/>
    <s v="Thae Chaung (IDP in host families)"/>
    <m/>
    <n v="2404"/>
    <m/>
    <n v="4808"/>
    <n v="2404"/>
    <n v="4808"/>
    <n v="2404"/>
    <m/>
    <n v="2404"/>
    <m/>
    <n v="12020"/>
    <m/>
    <m/>
    <m/>
    <m/>
    <n v="0"/>
    <n v="0"/>
    <n v="0"/>
    <n v="0"/>
    <n v="0"/>
    <n v="0"/>
    <n v="0"/>
    <n v="0"/>
    <n v="0"/>
    <n v="0"/>
    <n v="0"/>
    <n v="0"/>
    <n v="0"/>
    <n v="0"/>
    <n v="0"/>
    <s v="MMR012CMP101"/>
    <x v="4"/>
    <m/>
  </r>
  <r>
    <x v="99"/>
    <x v="3"/>
    <x v="99"/>
    <x v="11"/>
    <s v="DRC"/>
    <x v="0"/>
    <x v="0"/>
    <s v="Say Tha Mar Gyi"/>
    <m/>
    <m/>
    <m/>
    <m/>
    <n v="2573"/>
    <m/>
    <m/>
    <m/>
    <m/>
    <m/>
    <m/>
    <m/>
    <m/>
    <m/>
    <m/>
    <n v="0"/>
    <n v="0"/>
    <n v="0"/>
    <n v="0"/>
    <n v="0"/>
    <n v="0"/>
    <n v="0"/>
    <n v="0"/>
    <n v="0"/>
    <n v="0"/>
    <n v="0"/>
    <n v="0"/>
    <n v="0"/>
    <n v="0"/>
    <n v="0"/>
    <s v="MMR012CMP045"/>
    <x v="0"/>
    <m/>
  </r>
  <r>
    <x v="100"/>
    <x v="3"/>
    <x v="100"/>
    <x v="11"/>
    <s v="DRC"/>
    <x v="0"/>
    <x v="0"/>
    <s v="Baw Du Pha 1"/>
    <m/>
    <m/>
    <m/>
    <m/>
    <n v="1000"/>
    <m/>
    <m/>
    <m/>
    <m/>
    <m/>
    <m/>
    <m/>
    <m/>
    <m/>
    <m/>
    <n v="0"/>
    <n v="0"/>
    <n v="0"/>
    <n v="0"/>
    <n v="0"/>
    <n v="0"/>
    <n v="0"/>
    <n v="0"/>
    <n v="0"/>
    <n v="0"/>
    <n v="0"/>
    <n v="0"/>
    <n v="0"/>
    <n v="0"/>
    <n v="0"/>
    <s v="MMR012CMP113"/>
    <x v="0"/>
    <m/>
  </r>
  <r>
    <x v="100"/>
    <x v="3"/>
    <x v="100"/>
    <x v="11"/>
    <s v="DRC"/>
    <x v="0"/>
    <x v="0"/>
    <s v="Baw Du Pha 2"/>
    <m/>
    <m/>
    <m/>
    <m/>
    <n v="1320"/>
    <m/>
    <m/>
    <m/>
    <m/>
    <m/>
    <m/>
    <m/>
    <m/>
    <m/>
    <m/>
    <n v="0"/>
    <n v="0"/>
    <n v="0"/>
    <n v="0"/>
    <n v="0"/>
    <n v="0"/>
    <n v="0"/>
    <n v="0"/>
    <n v="0"/>
    <n v="0"/>
    <n v="0"/>
    <n v="0"/>
    <n v="0"/>
    <n v="0"/>
    <n v="0"/>
    <s v="MMR012CMP114"/>
    <x v="0"/>
    <m/>
  </r>
  <r>
    <x v="100"/>
    <x v="3"/>
    <x v="100"/>
    <x v="11"/>
    <s v="DRC"/>
    <x v="0"/>
    <x v="0"/>
    <s v="Dar Pai (IDP in host families)"/>
    <m/>
    <m/>
    <m/>
    <m/>
    <n v="1400"/>
    <m/>
    <m/>
    <m/>
    <m/>
    <m/>
    <m/>
    <m/>
    <m/>
    <m/>
    <m/>
    <n v="0"/>
    <n v="0"/>
    <n v="0"/>
    <n v="0"/>
    <n v="0"/>
    <n v="0"/>
    <n v="0"/>
    <n v="0"/>
    <n v="0"/>
    <n v="0"/>
    <n v="0"/>
    <n v="0"/>
    <n v="0"/>
    <n v="0"/>
    <n v="0"/>
    <s v="MMR012CMP097"/>
    <x v="0"/>
    <m/>
  </r>
  <r>
    <x v="100"/>
    <x v="3"/>
    <x v="100"/>
    <x v="11"/>
    <s v="DRC"/>
    <x v="0"/>
    <x v="0"/>
    <s v="Ohn Taw Gyi (North)"/>
    <m/>
    <m/>
    <m/>
    <m/>
    <n v="2549"/>
    <m/>
    <m/>
    <m/>
    <m/>
    <m/>
    <m/>
    <m/>
    <m/>
    <m/>
    <m/>
    <n v="0"/>
    <n v="0"/>
    <n v="0"/>
    <n v="0"/>
    <n v="0"/>
    <n v="0"/>
    <n v="0"/>
    <n v="0"/>
    <n v="0"/>
    <n v="0"/>
    <n v="0"/>
    <n v="0"/>
    <n v="0"/>
    <n v="0"/>
    <n v="0"/>
    <s v="MMR012CMP115"/>
    <x v="0"/>
    <m/>
  </r>
  <r>
    <x v="101"/>
    <x v="3"/>
    <x v="101"/>
    <x v="1"/>
    <s v="UNHCR"/>
    <x v="0"/>
    <x v="1"/>
    <s v="Ah Pauk Wa "/>
    <m/>
    <m/>
    <m/>
    <n v="2"/>
    <m/>
    <n v="2"/>
    <n v="1"/>
    <n v="4"/>
    <n v="1"/>
    <m/>
    <n v="2"/>
    <m/>
    <m/>
    <m/>
    <m/>
    <n v="0"/>
    <n v="0"/>
    <n v="0"/>
    <n v="0"/>
    <n v="0"/>
    <n v="0"/>
    <n v="0"/>
    <n v="0"/>
    <n v="0"/>
    <n v="0"/>
    <n v="0"/>
    <n v="0"/>
    <n v="0"/>
    <n v="0"/>
    <n v="0"/>
    <s v="MMR012CMP024"/>
    <x v="2"/>
    <m/>
  </r>
  <r>
    <x v="102"/>
    <x v="3"/>
    <x v="102"/>
    <x v="1"/>
    <s v="UNHCR"/>
    <x v="0"/>
    <x v="2"/>
    <s v="Sin Tet Maw"/>
    <m/>
    <m/>
    <m/>
    <m/>
    <m/>
    <n v="20"/>
    <n v="700"/>
    <m/>
    <m/>
    <m/>
    <n v="120"/>
    <m/>
    <m/>
    <m/>
    <m/>
    <n v="0"/>
    <n v="0"/>
    <n v="0"/>
    <n v="0"/>
    <n v="0"/>
    <n v="0"/>
    <n v="0"/>
    <n v="0"/>
    <n v="0"/>
    <n v="0"/>
    <n v="0"/>
    <n v="0"/>
    <n v="0"/>
    <n v="0"/>
    <n v="0"/>
    <s v="MMR012CMP019"/>
    <x v="0"/>
    <m/>
  </r>
  <r>
    <x v="102"/>
    <x v="3"/>
    <x v="102"/>
    <x v="1"/>
    <s v="UNHCR"/>
    <x v="0"/>
    <x v="2"/>
    <s v="Sin Tet Maw"/>
    <m/>
    <m/>
    <m/>
    <n v="807"/>
    <m/>
    <m/>
    <m/>
    <n v="807"/>
    <m/>
    <m/>
    <m/>
    <m/>
    <m/>
    <m/>
    <m/>
    <n v="0"/>
    <n v="0"/>
    <n v="0"/>
    <n v="0"/>
    <n v="0"/>
    <n v="0"/>
    <n v="0"/>
    <n v="0"/>
    <n v="0"/>
    <n v="0"/>
    <n v="0"/>
    <n v="0"/>
    <n v="0"/>
    <n v="0"/>
    <n v="0"/>
    <s v="MMR012CMP019"/>
    <x v="0"/>
    <m/>
  </r>
  <r>
    <x v="103"/>
    <x v="3"/>
    <x v="103"/>
    <x v="1"/>
    <s v="UNHCR"/>
    <x v="0"/>
    <x v="2"/>
    <s v="Nget Chaung"/>
    <m/>
    <m/>
    <m/>
    <n v="588"/>
    <m/>
    <n v="588"/>
    <n v="294"/>
    <n v="1176"/>
    <n v="294"/>
    <m/>
    <n v="588"/>
    <m/>
    <m/>
    <m/>
    <m/>
    <n v="0"/>
    <n v="0"/>
    <n v="0"/>
    <n v="0"/>
    <n v="0"/>
    <n v="0"/>
    <n v="0"/>
    <n v="0"/>
    <n v="0"/>
    <n v="0"/>
    <n v="0"/>
    <n v="0"/>
    <n v="0"/>
    <n v="0"/>
    <n v="0"/>
    <s v=""/>
    <x v="3"/>
    <m/>
  </r>
  <r>
    <x v="103"/>
    <x v="3"/>
    <x v="103"/>
    <x v="1"/>
    <s v="UNHCR"/>
    <x v="0"/>
    <x v="2"/>
    <s v="Sin Tet Maw"/>
    <m/>
    <m/>
    <m/>
    <n v="1420"/>
    <m/>
    <n v="1400"/>
    <m/>
    <n v="2800"/>
    <n v="700"/>
    <m/>
    <n v="1400"/>
    <m/>
    <m/>
    <m/>
    <m/>
    <n v="0"/>
    <n v="0"/>
    <n v="0"/>
    <n v="0"/>
    <n v="0"/>
    <n v="0"/>
    <n v="0"/>
    <n v="0"/>
    <n v="0"/>
    <n v="0"/>
    <n v="0"/>
    <n v="0"/>
    <n v="0"/>
    <n v="0"/>
    <n v="0"/>
    <s v="MMR012CMP019"/>
    <x v="0"/>
    <m/>
  </r>
  <r>
    <x v="104"/>
    <x v="3"/>
    <x v="104"/>
    <x v="1"/>
    <s v="UNHCR"/>
    <x v="0"/>
    <x v="0"/>
    <s v="Ohn Taw Chay"/>
    <m/>
    <m/>
    <m/>
    <n v="10"/>
    <n v="5"/>
    <n v="15"/>
    <n v="5"/>
    <m/>
    <m/>
    <m/>
    <n v="10"/>
    <m/>
    <m/>
    <m/>
    <m/>
    <n v="0"/>
    <n v="0"/>
    <n v="0"/>
    <n v="0"/>
    <n v="0"/>
    <n v="0"/>
    <n v="0"/>
    <n v="0"/>
    <n v="0"/>
    <n v="0"/>
    <n v="0"/>
    <n v="0"/>
    <n v="0"/>
    <n v="0"/>
    <n v="0"/>
    <s v="MMR012CMP098"/>
    <x v="0"/>
    <m/>
  </r>
  <r>
    <x v="105"/>
    <x v="3"/>
    <x v="105"/>
    <x v="1"/>
    <s v="UNHCR"/>
    <x v="0"/>
    <x v="1"/>
    <s v="Ah Pauk Wa "/>
    <m/>
    <m/>
    <n v="1"/>
    <n v="2"/>
    <m/>
    <n v="2"/>
    <n v="1"/>
    <n v="1"/>
    <n v="1"/>
    <m/>
    <n v="2"/>
    <m/>
    <m/>
    <m/>
    <m/>
    <n v="0"/>
    <n v="0"/>
    <n v="0"/>
    <n v="0"/>
    <n v="0"/>
    <n v="0"/>
    <n v="0"/>
    <n v="0"/>
    <n v="0"/>
    <n v="0"/>
    <n v="0"/>
    <n v="0"/>
    <n v="0"/>
    <n v="0"/>
    <n v="0"/>
    <s v="MMR012CMP024"/>
    <x v="2"/>
    <m/>
  </r>
  <r>
    <x v="105"/>
    <x v="3"/>
    <x v="105"/>
    <x v="1"/>
    <s v="UNHCR"/>
    <x v="0"/>
    <x v="0"/>
    <s v="Ohn Taw Chay"/>
    <m/>
    <n v="30"/>
    <m/>
    <n v="50"/>
    <n v="25"/>
    <n v="75"/>
    <n v="25"/>
    <m/>
    <m/>
    <m/>
    <n v="50"/>
    <m/>
    <m/>
    <m/>
    <m/>
    <n v="0"/>
    <n v="0"/>
    <n v="0"/>
    <n v="0"/>
    <n v="0"/>
    <n v="0"/>
    <n v="0"/>
    <n v="0"/>
    <n v="0"/>
    <n v="0"/>
    <n v="0"/>
    <n v="0"/>
    <n v="0"/>
    <n v="0"/>
    <n v="0"/>
    <s v="MMR012CMP098"/>
    <x v="0"/>
    <m/>
  </r>
  <r>
    <x v="106"/>
    <x v="4"/>
    <x v="106"/>
    <x v="1"/>
    <s v="UNHCR"/>
    <x v="0"/>
    <x v="0"/>
    <s v="Ohn Taw Chay"/>
    <m/>
    <m/>
    <m/>
    <n v="800"/>
    <m/>
    <m/>
    <m/>
    <m/>
    <m/>
    <m/>
    <m/>
    <m/>
    <m/>
    <m/>
    <m/>
    <n v="0"/>
    <n v="0"/>
    <n v="0"/>
    <n v="0"/>
    <n v="0"/>
    <n v="0"/>
    <n v="0"/>
    <n v="0"/>
    <n v="0"/>
    <n v="0"/>
    <n v="0"/>
    <n v="0"/>
    <n v="0"/>
    <n v="0"/>
    <n v="0"/>
    <s v="MMR012CMP098"/>
    <x v="0"/>
    <m/>
  </r>
  <r>
    <x v="106"/>
    <x v="4"/>
    <x v="106"/>
    <x v="1"/>
    <s v="UNHCR"/>
    <x v="0"/>
    <x v="0"/>
    <s v="Ohn Taw Chay"/>
    <m/>
    <m/>
    <m/>
    <m/>
    <m/>
    <n v="800"/>
    <n v="400"/>
    <m/>
    <n v="400"/>
    <m/>
    <n v="800"/>
    <m/>
    <m/>
    <m/>
    <m/>
    <n v="0"/>
    <n v="0"/>
    <n v="0"/>
    <n v="0"/>
    <n v="0"/>
    <n v="0"/>
    <n v="0"/>
    <n v="0"/>
    <n v="0"/>
    <n v="0"/>
    <n v="0"/>
    <n v="0"/>
    <n v="0"/>
    <n v="0"/>
    <n v="0"/>
    <s v="MMR012CMP098"/>
    <x v="0"/>
    <m/>
  </r>
  <r>
    <x v="106"/>
    <x v="4"/>
    <x v="106"/>
    <x v="1"/>
    <s v="UNHCR"/>
    <x v="0"/>
    <x v="0"/>
    <s v="Ohn Taw Chay"/>
    <m/>
    <m/>
    <m/>
    <m/>
    <n v="309"/>
    <m/>
    <m/>
    <m/>
    <m/>
    <m/>
    <m/>
    <m/>
    <m/>
    <m/>
    <m/>
    <n v="0"/>
    <n v="0"/>
    <n v="0"/>
    <n v="0"/>
    <n v="0"/>
    <n v="0"/>
    <n v="0"/>
    <n v="0"/>
    <n v="0"/>
    <n v="0"/>
    <n v="0"/>
    <n v="0"/>
    <n v="0"/>
    <n v="0"/>
    <n v="0"/>
    <s v="MMR012CMP098"/>
    <x v="0"/>
    <m/>
  </r>
  <r>
    <x v="107"/>
    <x v="4"/>
    <x v="107"/>
    <x v="1"/>
    <s v="UNHCR"/>
    <x v="0"/>
    <x v="2"/>
    <s v="Nget Chaung"/>
    <m/>
    <m/>
    <m/>
    <n v="1966"/>
    <m/>
    <n v="1966"/>
    <n v="983"/>
    <n v="983"/>
    <n v="983"/>
    <m/>
    <n v="1966"/>
    <m/>
    <m/>
    <m/>
    <m/>
    <n v="0"/>
    <n v="0"/>
    <n v="0"/>
    <n v="0"/>
    <n v="0"/>
    <n v="0"/>
    <n v="0"/>
    <n v="0"/>
    <n v="0"/>
    <n v="0"/>
    <n v="0"/>
    <n v="0"/>
    <n v="0"/>
    <n v="0"/>
    <n v="0"/>
    <s v=""/>
    <x v="3"/>
    <m/>
  </r>
  <r>
    <x v="107"/>
    <x v="4"/>
    <x v="107"/>
    <x v="1"/>
    <s v="UNHCR"/>
    <x v="0"/>
    <x v="2"/>
    <s v="Sin Tet Maw"/>
    <m/>
    <m/>
    <m/>
    <n v="807"/>
    <n v="203"/>
    <m/>
    <m/>
    <n v="807"/>
    <m/>
    <m/>
    <m/>
    <m/>
    <m/>
    <m/>
    <m/>
    <n v="0"/>
    <n v="0"/>
    <n v="0"/>
    <n v="0"/>
    <n v="0"/>
    <n v="0"/>
    <n v="0"/>
    <n v="0"/>
    <n v="0"/>
    <n v="0"/>
    <n v="0"/>
    <n v="0"/>
    <n v="0"/>
    <n v="0"/>
    <n v="0"/>
    <s v="MMR012CMP019"/>
    <x v="0"/>
    <m/>
  </r>
  <r>
    <x v="108"/>
    <x v="4"/>
    <x v="108"/>
    <x v="6"/>
    <s v="RI"/>
    <x v="0"/>
    <x v="3"/>
    <s v="Taung Paw "/>
    <n v="743"/>
    <m/>
    <m/>
    <n v="743"/>
    <m/>
    <n v="743"/>
    <m/>
    <m/>
    <n v="743"/>
    <m/>
    <m/>
    <m/>
    <m/>
    <m/>
    <m/>
    <n v="0"/>
    <n v="0"/>
    <n v="0"/>
    <n v="0"/>
    <n v="0"/>
    <n v="0"/>
    <n v="0"/>
    <n v="0"/>
    <n v="0"/>
    <n v="0"/>
    <n v="0"/>
    <n v="0"/>
    <n v="0"/>
    <n v="0"/>
    <n v="0"/>
    <s v="MMR012CMP014"/>
    <x v="0"/>
    <m/>
  </r>
  <r>
    <x v="109"/>
    <x v="4"/>
    <x v="109"/>
    <x v="1"/>
    <s v="UNHCR"/>
    <x v="0"/>
    <x v="0"/>
    <s v="Ohn Taw Gyi (North)"/>
    <m/>
    <m/>
    <m/>
    <n v="2400"/>
    <m/>
    <n v="2400"/>
    <n v="1200"/>
    <m/>
    <n v="1200"/>
    <m/>
    <n v="6000"/>
    <m/>
    <m/>
    <m/>
    <m/>
    <n v="0"/>
    <n v="0"/>
    <n v="0"/>
    <n v="0"/>
    <n v="0"/>
    <n v="0"/>
    <n v="0"/>
    <n v="0"/>
    <n v="0"/>
    <n v="0"/>
    <n v="0"/>
    <n v="0"/>
    <n v="0"/>
    <n v="0"/>
    <n v="0"/>
    <s v="MMR012CMP115"/>
    <x v="0"/>
    <m/>
  </r>
  <r>
    <x v="109"/>
    <x v="4"/>
    <x v="109"/>
    <x v="1"/>
    <s v="UNHCR"/>
    <x v="0"/>
    <x v="0"/>
    <s v="Ohn Taw Gyi (North)"/>
    <m/>
    <m/>
    <m/>
    <m/>
    <n v="33"/>
    <m/>
    <m/>
    <m/>
    <m/>
    <m/>
    <m/>
    <m/>
    <m/>
    <m/>
    <m/>
    <n v="0"/>
    <n v="0"/>
    <n v="0"/>
    <n v="0"/>
    <n v="0"/>
    <n v="0"/>
    <n v="0"/>
    <n v="0"/>
    <n v="0"/>
    <n v="0"/>
    <n v="0"/>
    <n v="0"/>
    <n v="0"/>
    <n v="0"/>
    <n v="0"/>
    <s v="MMR012CMP115"/>
    <x v="0"/>
    <m/>
  </r>
  <r>
    <x v="110"/>
    <x v="4"/>
    <x v="110"/>
    <x v="13"/>
    <s v="LWF"/>
    <x v="0"/>
    <x v="0"/>
    <s v="Ohn Taw Gyi (South)"/>
    <m/>
    <n v="731"/>
    <m/>
    <m/>
    <m/>
    <m/>
    <m/>
    <m/>
    <m/>
    <m/>
    <m/>
    <m/>
    <m/>
    <m/>
    <m/>
    <n v="0"/>
    <n v="0"/>
    <n v="0"/>
    <n v="0"/>
    <n v="0"/>
    <n v="0"/>
    <n v="0"/>
    <n v="0"/>
    <n v="0"/>
    <n v="0"/>
    <n v="0"/>
    <n v="0"/>
    <n v="0"/>
    <n v="0"/>
    <n v="0"/>
    <s v="MMR012CMP116"/>
    <x v="0"/>
    <m/>
  </r>
  <r>
    <x v="111"/>
    <x v="4"/>
    <x v="111"/>
    <x v="13"/>
    <s v="LWF"/>
    <x v="0"/>
    <x v="0"/>
    <s v="Ohn Taw Gyi (South)"/>
    <m/>
    <n v="264"/>
    <m/>
    <m/>
    <m/>
    <m/>
    <m/>
    <m/>
    <m/>
    <m/>
    <m/>
    <m/>
    <m/>
    <m/>
    <m/>
    <n v="0"/>
    <n v="0"/>
    <n v="0"/>
    <n v="0"/>
    <n v="0"/>
    <n v="0"/>
    <n v="0"/>
    <n v="0"/>
    <n v="0"/>
    <n v="0"/>
    <n v="0"/>
    <n v="0"/>
    <n v="0"/>
    <n v="0"/>
    <n v="0"/>
    <s v="MMR012CMP116"/>
    <x v="0"/>
    <m/>
  </r>
  <r>
    <x v="112"/>
    <x v="4"/>
    <x v="112"/>
    <x v="1"/>
    <s v="UNHCR"/>
    <x v="0"/>
    <x v="1"/>
    <s v="Let Saung Kauk"/>
    <n v="48"/>
    <m/>
    <m/>
    <m/>
    <m/>
    <m/>
    <m/>
    <m/>
    <m/>
    <m/>
    <m/>
    <m/>
    <m/>
    <m/>
    <m/>
    <n v="0"/>
    <n v="0"/>
    <n v="0"/>
    <n v="0"/>
    <n v="0"/>
    <n v="0"/>
    <n v="0"/>
    <n v="0"/>
    <n v="0"/>
    <n v="0"/>
    <n v="0"/>
    <n v="0"/>
    <n v="0"/>
    <n v="0"/>
    <n v="0"/>
    <s v="MMR012CMP020"/>
    <x v="2"/>
    <m/>
  </r>
  <r>
    <x v="112"/>
    <x v="4"/>
    <x v="112"/>
    <x v="1"/>
    <s v="UNHCR"/>
    <x v="0"/>
    <x v="1"/>
    <s v="Nidin"/>
    <n v="187"/>
    <m/>
    <m/>
    <m/>
    <m/>
    <m/>
    <m/>
    <m/>
    <m/>
    <m/>
    <m/>
    <m/>
    <m/>
    <m/>
    <m/>
    <n v="0"/>
    <n v="0"/>
    <n v="0"/>
    <n v="0"/>
    <n v="0"/>
    <n v="0"/>
    <n v="0"/>
    <n v="0"/>
    <n v="0"/>
    <n v="0"/>
    <n v="0"/>
    <n v="0"/>
    <n v="0"/>
    <n v="0"/>
    <n v="0"/>
    <s v="MMR012CMP023"/>
    <x v="0"/>
    <m/>
  </r>
  <r>
    <x v="112"/>
    <x v="4"/>
    <x v="112"/>
    <x v="13"/>
    <s v="LWF"/>
    <x v="0"/>
    <x v="0"/>
    <s v="Ohn Taw Gyi (South)"/>
    <m/>
    <n v="200"/>
    <m/>
    <m/>
    <m/>
    <m/>
    <m/>
    <m/>
    <m/>
    <m/>
    <m/>
    <m/>
    <m/>
    <m/>
    <m/>
    <n v="0"/>
    <n v="0"/>
    <n v="0"/>
    <n v="0"/>
    <n v="0"/>
    <n v="0"/>
    <n v="0"/>
    <n v="0"/>
    <n v="0"/>
    <n v="0"/>
    <n v="0"/>
    <n v="0"/>
    <n v="0"/>
    <n v="0"/>
    <n v="0"/>
    <s v="MMR012CMP116"/>
    <x v="0"/>
    <m/>
  </r>
  <r>
    <x v="112"/>
    <x v="4"/>
    <x v="112"/>
    <x v="13"/>
    <s v="LWF"/>
    <x v="0"/>
    <x v="0"/>
    <s v="Ohn Taw Gyi (South)"/>
    <m/>
    <n v="103"/>
    <m/>
    <m/>
    <m/>
    <m/>
    <m/>
    <m/>
    <m/>
    <m/>
    <m/>
    <m/>
    <m/>
    <m/>
    <m/>
    <n v="0"/>
    <n v="0"/>
    <n v="0"/>
    <n v="0"/>
    <n v="0"/>
    <n v="0"/>
    <n v="0"/>
    <n v="0"/>
    <n v="0"/>
    <n v="0"/>
    <n v="0"/>
    <n v="0"/>
    <n v="0"/>
    <n v="0"/>
    <n v="0"/>
    <s v="MMR012CMP116"/>
    <x v="0"/>
    <m/>
  </r>
  <r>
    <x v="112"/>
    <x v="4"/>
    <x v="112"/>
    <x v="1"/>
    <s v="UNHCR"/>
    <x v="0"/>
    <x v="1"/>
    <s v="Shwe Hlaing"/>
    <n v="340"/>
    <m/>
    <m/>
    <m/>
    <m/>
    <m/>
    <m/>
    <m/>
    <m/>
    <m/>
    <m/>
    <m/>
    <m/>
    <m/>
    <m/>
    <n v="0"/>
    <n v="0"/>
    <n v="0"/>
    <n v="0"/>
    <n v="0"/>
    <n v="0"/>
    <n v="0"/>
    <n v="0"/>
    <n v="0"/>
    <n v="0"/>
    <n v="0"/>
    <n v="0"/>
    <n v="0"/>
    <n v="0"/>
    <n v="0"/>
    <s v="MMR012CMP029"/>
    <x v="2"/>
    <m/>
  </r>
  <r>
    <x v="113"/>
    <x v="4"/>
    <x v="113"/>
    <x v="1"/>
    <s v="UNHCR"/>
    <x v="0"/>
    <x v="1"/>
    <s v="Ah Lel Kyun"/>
    <n v="36"/>
    <m/>
    <m/>
    <n v="28"/>
    <n v="83"/>
    <n v="28"/>
    <n v="14"/>
    <n v="14"/>
    <n v="14"/>
    <m/>
    <n v="28"/>
    <m/>
    <m/>
    <m/>
    <m/>
    <n v="0"/>
    <n v="0"/>
    <n v="0"/>
    <n v="0"/>
    <n v="0"/>
    <n v="0"/>
    <n v="0"/>
    <n v="0"/>
    <n v="0"/>
    <n v="0"/>
    <n v="0"/>
    <n v="0"/>
    <n v="0"/>
    <n v="0"/>
    <n v="0"/>
    <s v="MMR012CMP025"/>
    <x v="2"/>
    <m/>
  </r>
  <r>
    <x v="113"/>
    <x v="4"/>
    <x v="113"/>
    <x v="13"/>
    <s v="LWF"/>
    <x v="0"/>
    <x v="0"/>
    <s v="Basare"/>
    <m/>
    <n v="395"/>
    <m/>
    <m/>
    <m/>
    <m/>
    <m/>
    <m/>
    <m/>
    <m/>
    <m/>
    <m/>
    <m/>
    <m/>
    <m/>
    <n v="0"/>
    <n v="0"/>
    <n v="0"/>
    <n v="0"/>
    <n v="0"/>
    <n v="0"/>
    <n v="0"/>
    <n v="0"/>
    <n v="0"/>
    <n v="0"/>
    <n v="0"/>
    <n v="0"/>
    <n v="0"/>
    <n v="0"/>
    <n v="0"/>
    <s v="MMR012CMP039"/>
    <x v="0"/>
    <m/>
  </r>
  <r>
    <x v="113"/>
    <x v="4"/>
    <x v="113"/>
    <x v="1"/>
    <s v="UNHCR"/>
    <x v="0"/>
    <x v="1"/>
    <s v="Khaung Htoke"/>
    <n v="220"/>
    <m/>
    <m/>
    <m/>
    <m/>
    <m/>
    <m/>
    <m/>
    <m/>
    <m/>
    <m/>
    <m/>
    <m/>
    <m/>
    <m/>
    <n v="0"/>
    <n v="0"/>
    <n v="0"/>
    <n v="0"/>
    <n v="0"/>
    <n v="0"/>
    <n v="0"/>
    <n v="0"/>
    <n v="0"/>
    <n v="0"/>
    <n v="0"/>
    <n v="0"/>
    <n v="0"/>
    <n v="0"/>
    <n v="0"/>
    <s v="MMR012CMP030"/>
    <x v="1"/>
    <m/>
  </r>
  <r>
    <x v="113"/>
    <x v="4"/>
    <x v="113"/>
    <x v="1"/>
    <s v="UNHCR"/>
    <x v="0"/>
    <x v="1"/>
    <s v="Taung Bwe"/>
    <n v="250"/>
    <m/>
    <m/>
    <m/>
    <m/>
    <m/>
    <m/>
    <m/>
    <m/>
    <m/>
    <m/>
    <m/>
    <m/>
    <m/>
    <m/>
    <n v="0"/>
    <n v="0"/>
    <n v="0"/>
    <n v="0"/>
    <n v="0"/>
    <n v="0"/>
    <n v="0"/>
    <n v="0"/>
    <n v="0"/>
    <n v="0"/>
    <n v="0"/>
    <n v="0"/>
    <n v="0"/>
    <n v="0"/>
    <n v="0"/>
    <s v="MMR012CMP021"/>
    <x v="2"/>
    <m/>
  </r>
  <r>
    <x v="114"/>
    <x v="4"/>
    <x v="114"/>
    <x v="1"/>
    <s v="UNHCR"/>
    <x v="0"/>
    <x v="1"/>
    <s v="Goke Pi Htaunt"/>
    <n v="280"/>
    <m/>
    <m/>
    <m/>
    <m/>
    <m/>
    <m/>
    <m/>
    <m/>
    <m/>
    <m/>
    <m/>
    <m/>
    <m/>
    <m/>
    <n v="0"/>
    <n v="0"/>
    <n v="0"/>
    <n v="0"/>
    <n v="0"/>
    <n v="0"/>
    <n v="0"/>
    <n v="0"/>
    <n v="0"/>
    <n v="0"/>
    <n v="0"/>
    <n v="0"/>
    <n v="0"/>
    <n v="0"/>
    <n v="0"/>
    <s v="MMR012CMP027"/>
    <x v="2"/>
    <m/>
  </r>
  <r>
    <x v="114"/>
    <x v="4"/>
    <x v="114"/>
    <x v="1"/>
    <s v="UNHCR"/>
    <x v="0"/>
    <x v="1"/>
    <s v="In Bar Yi"/>
    <n v="380"/>
    <m/>
    <m/>
    <m/>
    <m/>
    <m/>
    <m/>
    <m/>
    <m/>
    <m/>
    <m/>
    <m/>
    <m/>
    <m/>
    <m/>
    <n v="0"/>
    <n v="0"/>
    <n v="0"/>
    <n v="0"/>
    <n v="0"/>
    <n v="0"/>
    <n v="0"/>
    <n v="0"/>
    <n v="0"/>
    <n v="0"/>
    <n v="0"/>
    <n v="0"/>
    <n v="0"/>
    <n v="0"/>
    <n v="0"/>
    <s v="MMR012CMP026"/>
    <x v="2"/>
    <m/>
  </r>
  <r>
    <x v="115"/>
    <x v="4"/>
    <x v="115"/>
    <x v="1"/>
    <s v="UNHCR"/>
    <x v="0"/>
    <x v="1"/>
    <s v="Ah Pauk Wa "/>
    <n v="230"/>
    <m/>
    <m/>
    <m/>
    <m/>
    <m/>
    <m/>
    <m/>
    <m/>
    <m/>
    <m/>
    <m/>
    <m/>
    <m/>
    <m/>
    <n v="0"/>
    <n v="0"/>
    <n v="0"/>
    <n v="0"/>
    <n v="0"/>
    <n v="0"/>
    <n v="0"/>
    <n v="0"/>
    <n v="0"/>
    <n v="0"/>
    <n v="0"/>
    <n v="0"/>
    <n v="0"/>
    <n v="0"/>
    <n v="0"/>
    <s v="MMR012CMP024"/>
    <x v="2"/>
    <m/>
  </r>
  <r>
    <x v="115"/>
    <x v="4"/>
    <x v="115"/>
    <x v="1"/>
    <s v="UNHCR"/>
    <x v="0"/>
    <x v="1"/>
    <s v="Yun Nyar"/>
    <n v="300"/>
    <m/>
    <m/>
    <m/>
    <m/>
    <m/>
    <m/>
    <m/>
    <m/>
    <m/>
    <m/>
    <m/>
    <m/>
    <m/>
    <m/>
    <n v="0"/>
    <n v="0"/>
    <n v="0"/>
    <n v="0"/>
    <n v="0"/>
    <n v="0"/>
    <n v="0"/>
    <n v="0"/>
    <n v="0"/>
    <n v="0"/>
    <n v="0"/>
    <n v="0"/>
    <n v="0"/>
    <n v="0"/>
    <n v="0"/>
    <s v="MMR012CMP028"/>
    <x v="2"/>
    <m/>
  </r>
  <r>
    <x v="116"/>
    <x v="4"/>
    <x v="116"/>
    <x v="1"/>
    <s v="UNHCR"/>
    <x v="0"/>
    <x v="0"/>
    <s v="Set Yone Su"/>
    <m/>
    <m/>
    <m/>
    <m/>
    <m/>
    <m/>
    <m/>
    <n v="250"/>
    <m/>
    <m/>
    <m/>
    <m/>
    <m/>
    <m/>
    <m/>
    <n v="0"/>
    <n v="0"/>
    <n v="0"/>
    <n v="0"/>
    <n v="0"/>
    <n v="0"/>
    <n v="0"/>
    <n v="0"/>
    <n v="0"/>
    <n v="0"/>
    <n v="0"/>
    <n v="0"/>
    <n v="0"/>
    <n v="0"/>
    <n v="0"/>
    <s v="MMR012CMP056"/>
    <x v="1"/>
    <m/>
  </r>
  <r>
    <x v="117"/>
    <x v="4"/>
    <x v="117"/>
    <x v="13"/>
    <s v="LWF"/>
    <x v="0"/>
    <x v="0"/>
    <s v="Ohn Taw Gyi (South)"/>
    <m/>
    <n v="948"/>
    <m/>
    <m/>
    <m/>
    <m/>
    <m/>
    <m/>
    <m/>
    <m/>
    <m/>
    <m/>
    <m/>
    <m/>
    <m/>
    <n v="0"/>
    <n v="0"/>
    <n v="0"/>
    <n v="0"/>
    <n v="0"/>
    <n v="0"/>
    <n v="0"/>
    <n v="0"/>
    <n v="0"/>
    <n v="0"/>
    <n v="0"/>
    <n v="0"/>
    <n v="0"/>
    <n v="0"/>
    <n v="0"/>
    <s v="MMR012CMP116"/>
    <x v="0"/>
    <m/>
  </r>
  <r>
    <x v="118"/>
    <x v="4"/>
    <x v="118"/>
    <x v="1"/>
    <s v="UNHCR"/>
    <x v="0"/>
    <x v="0"/>
    <s v="Sat Roe Kya 1"/>
    <m/>
    <m/>
    <m/>
    <m/>
    <m/>
    <m/>
    <m/>
    <n v="631"/>
    <m/>
    <m/>
    <m/>
    <m/>
    <m/>
    <m/>
    <m/>
    <n v="0"/>
    <n v="0"/>
    <n v="0"/>
    <n v="0"/>
    <n v="0"/>
    <n v="0"/>
    <n v="0"/>
    <n v="0"/>
    <n v="0"/>
    <n v="0"/>
    <n v="0"/>
    <n v="0"/>
    <n v="0"/>
    <n v="0"/>
    <n v="0"/>
    <s v="MMR012CMP111"/>
    <x v="1"/>
    <m/>
  </r>
  <r>
    <x v="119"/>
    <x v="4"/>
    <x v="119"/>
    <x v="1"/>
    <s v="UNHCR"/>
    <x v="0"/>
    <x v="2"/>
    <s v="Ba Wan Chaung Wa Su"/>
    <m/>
    <m/>
    <m/>
    <n v="42"/>
    <m/>
    <n v="42"/>
    <n v="21"/>
    <n v="21"/>
    <n v="21"/>
    <m/>
    <n v="42"/>
    <m/>
    <m/>
    <m/>
    <m/>
    <n v="0"/>
    <n v="0"/>
    <n v="0"/>
    <n v="0"/>
    <n v="0"/>
    <n v="0"/>
    <n v="0"/>
    <n v="0"/>
    <n v="0"/>
    <n v="0"/>
    <n v="0"/>
    <n v="0"/>
    <n v="0"/>
    <n v="0"/>
    <n v="0"/>
    <s v="MMR012CMP015"/>
    <x v="1"/>
    <m/>
  </r>
  <r>
    <x v="120"/>
    <x v="4"/>
    <x v="120"/>
    <x v="1"/>
    <s v="UNHCR"/>
    <x v="0"/>
    <x v="2"/>
    <s v="Kyein Ni Pyin"/>
    <m/>
    <m/>
    <m/>
    <n v="2658"/>
    <n v="940"/>
    <n v="1880"/>
    <n v="940"/>
    <n v="1718"/>
    <n v="940"/>
    <m/>
    <n v="1880"/>
    <m/>
    <m/>
    <m/>
    <m/>
    <n v="0"/>
    <n v="0"/>
    <n v="0"/>
    <n v="0"/>
    <n v="0"/>
    <n v="0"/>
    <n v="0"/>
    <n v="0"/>
    <n v="0"/>
    <n v="0"/>
    <n v="0"/>
    <n v="0"/>
    <n v="0"/>
    <n v="0"/>
    <n v="0"/>
    <s v="MMR012CMP018"/>
    <x v="0"/>
    <m/>
  </r>
  <r>
    <x v="121"/>
    <x v="4"/>
    <x v="121"/>
    <x v="1"/>
    <s v="UNHCR"/>
    <x v="0"/>
    <x v="7"/>
    <s v="Thi Kyar"/>
    <m/>
    <m/>
    <m/>
    <n v="62"/>
    <m/>
    <n v="62"/>
    <n v="31"/>
    <n v="31"/>
    <n v="31"/>
    <m/>
    <n v="62"/>
    <m/>
    <m/>
    <m/>
    <m/>
    <n v="0"/>
    <n v="0"/>
    <n v="0"/>
    <n v="0"/>
    <n v="0"/>
    <n v="0"/>
    <n v="0"/>
    <n v="0"/>
    <n v="0"/>
    <n v="0"/>
    <n v="0"/>
    <n v="0"/>
    <n v="0"/>
    <n v="0"/>
    <n v="0"/>
    <s v="MMR012CMP117"/>
    <x v="1"/>
    <m/>
  </r>
  <r>
    <x v="122"/>
    <x v="4"/>
    <x v="122"/>
    <x v="1"/>
    <s v="UNHCR"/>
    <x v="0"/>
    <x v="2"/>
    <s v="Ah Nauk Ywe"/>
    <m/>
    <m/>
    <m/>
    <n v="1652"/>
    <n v="99"/>
    <n v="1652"/>
    <n v="826"/>
    <n v="826"/>
    <n v="826"/>
    <m/>
    <n v="1652"/>
    <m/>
    <m/>
    <m/>
    <m/>
    <n v="0"/>
    <n v="0"/>
    <n v="0"/>
    <n v="0"/>
    <n v="0"/>
    <n v="0"/>
    <n v="0"/>
    <n v="0"/>
    <n v="0"/>
    <n v="0"/>
    <n v="0"/>
    <n v="0"/>
    <n v="0"/>
    <n v="0"/>
    <n v="0"/>
    <s v="MMR012CMP016"/>
    <x v="0"/>
    <m/>
  </r>
  <r>
    <x v="123"/>
    <x v="4"/>
    <x v="123"/>
    <x v="1"/>
    <s v="UNHCR"/>
    <x v="0"/>
    <x v="2"/>
    <s v="Nget Chaung"/>
    <m/>
    <m/>
    <m/>
    <n v="0"/>
    <n v="203"/>
    <n v="0"/>
    <m/>
    <m/>
    <m/>
    <m/>
    <n v="448"/>
    <m/>
    <m/>
    <m/>
    <m/>
    <n v="0"/>
    <n v="0"/>
    <n v="0"/>
    <n v="0"/>
    <n v="0"/>
    <n v="0"/>
    <n v="0"/>
    <n v="0"/>
    <n v="0"/>
    <n v="0"/>
    <n v="0"/>
    <n v="0"/>
    <n v="0"/>
    <n v="0"/>
    <n v="0"/>
    <s v=""/>
    <x v="3"/>
    <m/>
  </r>
  <r>
    <x v="124"/>
    <x v="4"/>
    <x v="124"/>
    <x v="1"/>
    <s v="UNHCR"/>
    <x v="0"/>
    <x v="3"/>
    <s v="Kan Thar Htwat Wa"/>
    <m/>
    <n v="44"/>
    <m/>
    <n v="88"/>
    <n v="44"/>
    <n v="88"/>
    <n v="44"/>
    <n v="44"/>
    <n v="44"/>
    <m/>
    <n v="88"/>
    <m/>
    <m/>
    <m/>
    <m/>
    <n v="0"/>
    <n v="0"/>
    <n v="0"/>
    <n v="0"/>
    <n v="0"/>
    <n v="0"/>
    <n v="0"/>
    <n v="0"/>
    <n v="0"/>
    <n v="0"/>
    <n v="0"/>
    <n v="0"/>
    <n v="0"/>
    <n v="0"/>
    <n v="0"/>
    <s v="MMR012CMP013"/>
    <x v="1"/>
    <m/>
  </r>
  <r>
    <x v="124"/>
    <x v="4"/>
    <x v="124"/>
    <x v="1"/>
    <s v="UNHCR"/>
    <x v="0"/>
    <x v="3"/>
    <s v="Taung Paw "/>
    <m/>
    <n v="755"/>
    <m/>
    <n v="1510"/>
    <n v="755"/>
    <n v="1510"/>
    <n v="755"/>
    <n v="755"/>
    <n v="755"/>
    <m/>
    <n v="1510"/>
    <m/>
    <m/>
    <m/>
    <m/>
    <n v="0"/>
    <n v="0"/>
    <n v="0"/>
    <n v="0"/>
    <n v="0"/>
    <n v="0"/>
    <n v="0"/>
    <n v="0"/>
    <n v="0"/>
    <n v="0"/>
    <n v="0"/>
    <n v="0"/>
    <n v="0"/>
    <n v="0"/>
    <n v="0"/>
    <s v="MMR012CMP014"/>
    <x v="0"/>
    <m/>
  </r>
  <r>
    <x v="125"/>
    <x v="4"/>
    <x v="125"/>
    <x v="1"/>
    <s v="UNHCR"/>
    <x v="0"/>
    <x v="6"/>
    <s v="San Htoe Tan"/>
    <m/>
    <m/>
    <m/>
    <n v="240"/>
    <m/>
    <n v="240"/>
    <n v="120"/>
    <n v="120"/>
    <n v="120"/>
    <m/>
    <n v="240"/>
    <m/>
    <m/>
    <m/>
    <m/>
    <n v="0"/>
    <n v="0"/>
    <n v="0"/>
    <n v="0"/>
    <n v="0"/>
    <n v="0"/>
    <n v="0"/>
    <n v="0"/>
    <n v="0"/>
    <n v="0"/>
    <n v="0"/>
    <n v="0"/>
    <n v="0"/>
    <n v="0"/>
    <n v="0"/>
    <s v="MMR012CMP003"/>
    <x v="2"/>
    <m/>
  </r>
  <r>
    <x v="125"/>
    <x v="4"/>
    <x v="125"/>
    <x v="1"/>
    <s v="UNHCR"/>
    <x v="0"/>
    <x v="6"/>
    <s v="Tha Dar"/>
    <m/>
    <m/>
    <m/>
    <n v="428"/>
    <m/>
    <n v="428"/>
    <n v="214"/>
    <n v="214"/>
    <n v="214"/>
    <m/>
    <n v="428"/>
    <m/>
    <m/>
    <m/>
    <m/>
    <n v="0"/>
    <n v="0"/>
    <n v="0"/>
    <n v="0"/>
    <n v="0"/>
    <n v="0"/>
    <n v="0"/>
    <n v="0"/>
    <n v="0"/>
    <n v="0"/>
    <n v="0"/>
    <n v="0"/>
    <n v="0"/>
    <n v="0"/>
    <n v="0"/>
    <s v="MMR012CMP002"/>
    <x v="2"/>
    <m/>
  </r>
  <r>
    <x v="126"/>
    <x v="4"/>
    <x v="126"/>
    <x v="1"/>
    <s v="UNHCR"/>
    <x v="0"/>
    <x v="6"/>
    <s v="Aung Taing"/>
    <m/>
    <m/>
    <m/>
    <n v="290"/>
    <n v="1312"/>
    <n v="290"/>
    <n v="145"/>
    <n v="145"/>
    <n v="145"/>
    <m/>
    <n v="290"/>
    <m/>
    <m/>
    <m/>
    <m/>
    <n v="0"/>
    <n v="0"/>
    <n v="0"/>
    <n v="0"/>
    <n v="0"/>
    <n v="0"/>
    <n v="0"/>
    <n v="0"/>
    <n v="0"/>
    <n v="0"/>
    <n v="0"/>
    <n v="0"/>
    <n v="0"/>
    <n v="0"/>
    <n v="0"/>
    <s v="MMR012CMP006"/>
    <x v="2"/>
    <m/>
  </r>
  <r>
    <x v="126"/>
    <x v="4"/>
    <x v="126"/>
    <x v="1"/>
    <s v="UNHCR"/>
    <x v="0"/>
    <x v="6"/>
    <s v="Paik Thay"/>
    <m/>
    <m/>
    <m/>
    <n v="130"/>
    <n v="108"/>
    <n v="130"/>
    <n v="65"/>
    <n v="65"/>
    <n v="65"/>
    <m/>
    <n v="130"/>
    <m/>
    <m/>
    <m/>
    <m/>
    <n v="0"/>
    <n v="0"/>
    <n v="0"/>
    <n v="0"/>
    <n v="0"/>
    <n v="0"/>
    <n v="0"/>
    <n v="0"/>
    <n v="0"/>
    <n v="0"/>
    <n v="0"/>
    <n v="0"/>
    <n v="0"/>
    <n v="0"/>
    <n v="0"/>
    <s v="MMR012CMP001"/>
    <x v="2"/>
    <m/>
  </r>
  <r>
    <x v="126"/>
    <x v="4"/>
    <x v="126"/>
    <x v="1"/>
    <s v="UNHCR"/>
    <x v="0"/>
    <x v="6"/>
    <s v="Sam Ba Le"/>
    <m/>
    <m/>
    <m/>
    <n v="490"/>
    <m/>
    <n v="490"/>
    <n v="245"/>
    <n v="245"/>
    <n v="245"/>
    <m/>
    <n v="490"/>
    <m/>
    <m/>
    <m/>
    <m/>
    <n v="0"/>
    <n v="0"/>
    <n v="0"/>
    <n v="0"/>
    <n v="0"/>
    <n v="0"/>
    <n v="0"/>
    <n v="0"/>
    <n v="0"/>
    <n v="0"/>
    <n v="0"/>
    <n v="0"/>
    <n v="0"/>
    <n v="0"/>
    <n v="0"/>
    <s v="MMR012CMP008"/>
    <x v="2"/>
    <m/>
  </r>
  <r>
    <x v="126"/>
    <x v="4"/>
    <x v="126"/>
    <x v="1"/>
    <s v="UNHCR"/>
    <x v="0"/>
    <x v="6"/>
    <s v="Thay Kan"/>
    <m/>
    <n v="33"/>
    <m/>
    <n v="66"/>
    <n v="33"/>
    <n v="66"/>
    <n v="33"/>
    <n v="33"/>
    <n v="33"/>
    <m/>
    <n v="66"/>
    <m/>
    <m/>
    <m/>
    <m/>
    <n v="0"/>
    <n v="0"/>
    <n v="0"/>
    <n v="0"/>
    <n v="0"/>
    <n v="0"/>
    <n v="0"/>
    <n v="0"/>
    <n v="0"/>
    <n v="0"/>
    <n v="0"/>
    <n v="0"/>
    <n v="0"/>
    <n v="0"/>
    <n v="0"/>
    <s v="MMR012CMP007"/>
    <x v="4"/>
    <m/>
  </r>
  <r>
    <x v="126"/>
    <x v="4"/>
    <x v="126"/>
    <x v="1"/>
    <s v="UNHCR"/>
    <x v="0"/>
    <x v="6"/>
    <s v="Thay Kan"/>
    <m/>
    <m/>
    <m/>
    <m/>
    <m/>
    <m/>
    <m/>
    <m/>
    <m/>
    <m/>
    <m/>
    <m/>
    <m/>
    <m/>
    <m/>
    <n v="0"/>
    <n v="0"/>
    <n v="0"/>
    <n v="0"/>
    <n v="0"/>
    <n v="0"/>
    <n v="0"/>
    <n v="0"/>
    <n v="0"/>
    <n v="0"/>
    <n v="0"/>
    <n v="0"/>
    <n v="0"/>
    <n v="0"/>
    <n v="0"/>
    <s v="MMR012CMP007"/>
    <x v="4"/>
    <m/>
  </r>
  <r>
    <x v="127"/>
    <x v="4"/>
    <x v="127"/>
    <x v="1"/>
    <s v="UNHCR"/>
    <x v="0"/>
    <x v="7"/>
    <s v="Pa Rein"/>
    <m/>
    <m/>
    <m/>
    <n v="600"/>
    <n v="5"/>
    <n v="600"/>
    <n v="300"/>
    <n v="300"/>
    <n v="300"/>
    <m/>
    <n v="600"/>
    <m/>
    <m/>
    <m/>
    <m/>
    <n v="0"/>
    <n v="0"/>
    <n v="0"/>
    <n v="0"/>
    <n v="0"/>
    <n v="0"/>
    <n v="0"/>
    <n v="0"/>
    <n v="0"/>
    <n v="0"/>
    <n v="0"/>
    <n v="0"/>
    <n v="0"/>
    <n v="0"/>
    <n v="0"/>
    <s v="MMR012CMP009"/>
    <x v="2"/>
    <m/>
  </r>
  <r>
    <x v="127"/>
    <x v="4"/>
    <x v="127"/>
    <x v="1"/>
    <s v="UNHCR"/>
    <x v="0"/>
    <x v="6"/>
    <s v="Tha Yet Oak"/>
    <m/>
    <m/>
    <m/>
    <n v="458"/>
    <m/>
    <n v="458"/>
    <n v="229"/>
    <n v="229"/>
    <n v="229"/>
    <m/>
    <n v="458"/>
    <m/>
    <m/>
    <m/>
    <m/>
    <n v="0"/>
    <n v="0"/>
    <n v="0"/>
    <n v="0"/>
    <n v="0"/>
    <n v="0"/>
    <n v="0"/>
    <n v="0"/>
    <n v="0"/>
    <n v="0"/>
    <n v="0"/>
    <n v="0"/>
    <n v="0"/>
    <n v="0"/>
    <n v="0"/>
    <s v="MMR012CMP005"/>
    <x v="2"/>
    <m/>
  </r>
  <r>
    <x v="127"/>
    <x v="4"/>
    <x v="127"/>
    <x v="1"/>
    <s v="UNHCR"/>
    <x v="0"/>
    <x v="7"/>
    <s v="Yai Thei-Muslim"/>
    <m/>
    <m/>
    <m/>
    <n v="730"/>
    <m/>
    <n v="730"/>
    <n v="365"/>
    <n v="365"/>
    <n v="365"/>
    <m/>
    <n v="730"/>
    <m/>
    <m/>
    <m/>
    <m/>
    <n v="0"/>
    <n v="0"/>
    <n v="0"/>
    <n v="0"/>
    <n v="0"/>
    <n v="0"/>
    <n v="0"/>
    <n v="0"/>
    <n v="0"/>
    <n v="0"/>
    <n v="0"/>
    <n v="0"/>
    <n v="0"/>
    <n v="0"/>
    <n v="0"/>
    <s v="MMR012CMP010"/>
    <x v="2"/>
    <m/>
  </r>
  <r>
    <x v="128"/>
    <x v="4"/>
    <x v="128"/>
    <x v="1"/>
    <s v="UNHCR"/>
    <x v="0"/>
    <x v="1"/>
    <s v="Ah Pauk Wa "/>
    <m/>
    <m/>
    <m/>
    <n v="224"/>
    <n v="400"/>
    <n v="224"/>
    <n v="112"/>
    <n v="112"/>
    <n v="112"/>
    <m/>
    <n v="224"/>
    <m/>
    <m/>
    <m/>
    <m/>
    <n v="0"/>
    <n v="0"/>
    <n v="0"/>
    <n v="0"/>
    <n v="0"/>
    <n v="0"/>
    <n v="0"/>
    <n v="0"/>
    <n v="0"/>
    <n v="0"/>
    <n v="0"/>
    <n v="0"/>
    <n v="0"/>
    <n v="0"/>
    <n v="0"/>
    <s v="MMR012CMP024"/>
    <x v="2"/>
    <m/>
  </r>
  <r>
    <x v="128"/>
    <x v="4"/>
    <x v="128"/>
    <x v="1"/>
    <s v="UNHCR"/>
    <x v="0"/>
    <x v="1"/>
    <s v="Goke Pi Htaunt"/>
    <m/>
    <m/>
    <m/>
    <n v="232"/>
    <n v="220"/>
    <n v="232"/>
    <n v="116"/>
    <n v="116"/>
    <n v="116"/>
    <m/>
    <n v="232"/>
    <m/>
    <m/>
    <m/>
    <m/>
    <n v="0"/>
    <n v="0"/>
    <n v="0"/>
    <n v="0"/>
    <n v="0"/>
    <n v="0"/>
    <n v="0"/>
    <n v="0"/>
    <n v="0"/>
    <n v="0"/>
    <n v="0"/>
    <n v="0"/>
    <n v="0"/>
    <n v="0"/>
    <n v="0"/>
    <s v="MMR012CMP027"/>
    <x v="2"/>
    <m/>
  </r>
  <r>
    <x v="128"/>
    <x v="4"/>
    <x v="128"/>
    <x v="1"/>
    <s v="UNHCR"/>
    <x v="0"/>
    <x v="1"/>
    <s v="In Bar Yi"/>
    <m/>
    <m/>
    <m/>
    <n v="460"/>
    <n v="145"/>
    <n v="460"/>
    <n v="230"/>
    <n v="230"/>
    <n v="230"/>
    <m/>
    <n v="460"/>
    <m/>
    <m/>
    <m/>
    <m/>
    <n v="0"/>
    <n v="0"/>
    <n v="0"/>
    <n v="0"/>
    <n v="0"/>
    <n v="0"/>
    <n v="0"/>
    <n v="0"/>
    <n v="0"/>
    <n v="0"/>
    <n v="0"/>
    <n v="0"/>
    <n v="0"/>
    <n v="0"/>
    <n v="0"/>
    <s v="MMR012CMP026"/>
    <x v="2"/>
    <m/>
  </r>
  <r>
    <x v="128"/>
    <x v="4"/>
    <x v="128"/>
    <x v="1"/>
    <s v="UNHCR"/>
    <x v="0"/>
    <x v="1"/>
    <s v="Khaung Htoke"/>
    <m/>
    <m/>
    <m/>
    <n v="318"/>
    <n v="4"/>
    <n v="318"/>
    <n v="159"/>
    <n v="159"/>
    <n v="159"/>
    <m/>
    <n v="318"/>
    <m/>
    <m/>
    <m/>
    <m/>
    <n v="0"/>
    <n v="0"/>
    <n v="0"/>
    <n v="0"/>
    <n v="0"/>
    <n v="0"/>
    <n v="0"/>
    <n v="0"/>
    <n v="0"/>
    <n v="0"/>
    <n v="0"/>
    <n v="0"/>
    <n v="0"/>
    <n v="0"/>
    <n v="0"/>
    <s v="MMR012CMP030"/>
    <x v="1"/>
    <m/>
  </r>
  <r>
    <x v="128"/>
    <x v="4"/>
    <x v="128"/>
    <x v="17"/>
    <s v="UNHCR"/>
    <x v="0"/>
    <x v="1"/>
    <s v="Let Saung Kauk"/>
    <m/>
    <m/>
    <n v="60"/>
    <m/>
    <m/>
    <m/>
    <m/>
    <m/>
    <m/>
    <m/>
    <m/>
    <m/>
    <m/>
    <m/>
    <m/>
    <n v="0"/>
    <n v="0"/>
    <n v="0"/>
    <n v="0"/>
    <n v="0"/>
    <n v="0"/>
    <n v="0"/>
    <n v="0"/>
    <n v="0"/>
    <n v="0"/>
    <n v="0"/>
    <n v="0"/>
    <n v="0"/>
    <n v="0"/>
    <n v="0"/>
    <s v="MMR012CMP020"/>
    <x v="2"/>
    <m/>
  </r>
  <r>
    <x v="128"/>
    <x v="4"/>
    <x v="128"/>
    <x v="1"/>
    <s v="UNHCR"/>
    <x v="0"/>
    <x v="1"/>
    <s v="Let Saung Kauk"/>
    <m/>
    <m/>
    <m/>
    <n v="166"/>
    <n v="81"/>
    <n v="166"/>
    <n v="83"/>
    <n v="83"/>
    <n v="83"/>
    <m/>
    <n v="166"/>
    <m/>
    <m/>
    <m/>
    <m/>
    <n v="0"/>
    <n v="0"/>
    <n v="0"/>
    <n v="0"/>
    <n v="0"/>
    <n v="0"/>
    <n v="0"/>
    <n v="0"/>
    <n v="0"/>
    <n v="0"/>
    <n v="0"/>
    <n v="0"/>
    <n v="0"/>
    <n v="0"/>
    <n v="0"/>
    <s v="MMR012CMP020"/>
    <x v="2"/>
    <m/>
  </r>
  <r>
    <x v="128"/>
    <x v="4"/>
    <x v="128"/>
    <x v="1"/>
    <s v="UNHCR"/>
    <x v="0"/>
    <x v="1"/>
    <s v="Nidin"/>
    <m/>
    <m/>
    <m/>
    <n v="326"/>
    <n v="326"/>
    <n v="326"/>
    <n v="163"/>
    <n v="163"/>
    <n v="163"/>
    <m/>
    <n v="326"/>
    <m/>
    <m/>
    <m/>
    <m/>
    <n v="0"/>
    <n v="0"/>
    <n v="0"/>
    <n v="0"/>
    <n v="0"/>
    <n v="0"/>
    <n v="0"/>
    <n v="0"/>
    <n v="0"/>
    <n v="0"/>
    <n v="0"/>
    <n v="0"/>
    <n v="0"/>
    <n v="0"/>
    <n v="0"/>
    <s v="MMR012CMP023"/>
    <x v="0"/>
    <m/>
  </r>
  <r>
    <x v="128"/>
    <x v="4"/>
    <x v="128"/>
    <x v="1"/>
    <s v="UNHCR"/>
    <x v="0"/>
    <x v="1"/>
    <s v="Shwe Hlaing"/>
    <m/>
    <m/>
    <m/>
    <n v="290"/>
    <m/>
    <n v="290"/>
    <n v="145"/>
    <n v="145"/>
    <n v="145"/>
    <m/>
    <n v="290"/>
    <m/>
    <m/>
    <m/>
    <m/>
    <n v="0"/>
    <n v="0"/>
    <n v="0"/>
    <n v="0"/>
    <n v="0"/>
    <n v="0"/>
    <n v="0"/>
    <n v="0"/>
    <n v="0"/>
    <n v="0"/>
    <n v="0"/>
    <n v="0"/>
    <n v="0"/>
    <n v="0"/>
    <n v="0"/>
    <s v="MMR012CMP029"/>
    <x v="2"/>
    <m/>
  </r>
  <r>
    <x v="128"/>
    <x v="4"/>
    <x v="128"/>
    <x v="1"/>
    <s v="UNHCR"/>
    <x v="0"/>
    <x v="1"/>
    <s v="Taung Bwe"/>
    <m/>
    <m/>
    <m/>
    <n v="190"/>
    <m/>
    <n v="190"/>
    <n v="95"/>
    <n v="95"/>
    <n v="95"/>
    <m/>
    <n v="190"/>
    <m/>
    <m/>
    <m/>
    <m/>
    <n v="0"/>
    <n v="0"/>
    <n v="0"/>
    <n v="0"/>
    <n v="0"/>
    <n v="0"/>
    <n v="0"/>
    <n v="0"/>
    <n v="0"/>
    <n v="0"/>
    <n v="0"/>
    <n v="0"/>
    <n v="0"/>
    <n v="0"/>
    <n v="0"/>
    <s v="MMR012CMP021"/>
    <x v="2"/>
    <m/>
  </r>
  <r>
    <x v="128"/>
    <x v="4"/>
    <x v="128"/>
    <x v="1"/>
    <s v="UNHCR"/>
    <x v="0"/>
    <x v="1"/>
    <s v="Yun Nyar"/>
    <m/>
    <m/>
    <m/>
    <n v="216"/>
    <m/>
    <n v="216"/>
    <n v="108"/>
    <n v="108"/>
    <n v="108"/>
    <m/>
    <n v="216"/>
    <m/>
    <m/>
    <m/>
    <m/>
    <n v="0"/>
    <n v="0"/>
    <n v="0"/>
    <n v="0"/>
    <n v="0"/>
    <n v="0"/>
    <n v="0"/>
    <n v="0"/>
    <n v="0"/>
    <n v="0"/>
    <n v="0"/>
    <n v="0"/>
    <n v="0"/>
    <n v="0"/>
    <n v="0"/>
    <s v="MMR012CMP028"/>
    <x v="2"/>
    <m/>
  </r>
  <r>
    <x v="128"/>
    <x v="4"/>
    <x v="128"/>
    <x v="1"/>
    <s v="UNHCR"/>
    <x v="0"/>
    <x v="1"/>
    <s v="Yun Nyar"/>
    <m/>
    <m/>
    <m/>
    <m/>
    <m/>
    <m/>
    <m/>
    <m/>
    <m/>
    <m/>
    <m/>
    <m/>
    <m/>
    <m/>
    <m/>
    <n v="0"/>
    <n v="0"/>
    <n v="0"/>
    <n v="0"/>
    <n v="0"/>
    <n v="0"/>
    <n v="0"/>
    <n v="0"/>
    <n v="0"/>
    <n v="0"/>
    <n v="0"/>
    <n v="0"/>
    <n v="0"/>
    <n v="0"/>
    <n v="0"/>
    <s v="MMR012CMP028"/>
    <x v="2"/>
    <m/>
  </r>
  <r>
    <x v="129"/>
    <x v="4"/>
    <x v="129"/>
    <x v="18"/>
    <s v="Muslim Aid"/>
    <x v="0"/>
    <x v="0"/>
    <s v="Ohn Taw Gyi 1"/>
    <m/>
    <m/>
    <m/>
    <n v="273"/>
    <n v="273"/>
    <n v="273"/>
    <m/>
    <m/>
    <n v="273"/>
    <m/>
    <n v="273"/>
    <m/>
    <m/>
    <m/>
    <m/>
    <n v="0"/>
    <n v="0"/>
    <n v="0"/>
    <n v="0"/>
    <n v="0"/>
    <n v="0"/>
    <n v="0"/>
    <n v="0"/>
    <n v="0"/>
    <n v="0"/>
    <n v="0"/>
    <n v="0"/>
    <n v="0"/>
    <n v="0"/>
    <n v="0"/>
    <s v="MMR012CMP043"/>
    <x v="4"/>
    <m/>
  </r>
  <r>
    <x v="129"/>
    <x v="4"/>
    <x v="129"/>
    <x v="18"/>
    <s v="Muslim Aid"/>
    <x v="0"/>
    <x v="0"/>
    <s v="Set Yone Su"/>
    <m/>
    <m/>
    <m/>
    <n v="20"/>
    <n v="20"/>
    <n v="20"/>
    <m/>
    <m/>
    <n v="20"/>
    <m/>
    <n v="20"/>
    <m/>
    <m/>
    <m/>
    <m/>
    <n v="0"/>
    <n v="0"/>
    <n v="0"/>
    <n v="0"/>
    <n v="0"/>
    <n v="0"/>
    <n v="0"/>
    <n v="0"/>
    <n v="0"/>
    <n v="0"/>
    <n v="0"/>
    <n v="0"/>
    <n v="0"/>
    <n v="0"/>
    <n v="0"/>
    <s v="MMR012CMP056"/>
    <x v="1"/>
    <m/>
  </r>
  <r>
    <x v="129"/>
    <x v="4"/>
    <x v="129"/>
    <x v="18"/>
    <s v="Muslim Aid"/>
    <x v="0"/>
    <x v="0"/>
    <s v="Thae Chaung"/>
    <m/>
    <m/>
    <m/>
    <n v="2797"/>
    <n v="2797"/>
    <n v="2797"/>
    <m/>
    <m/>
    <n v="2797"/>
    <m/>
    <n v="2797"/>
    <m/>
    <m/>
    <m/>
    <m/>
    <n v="0"/>
    <n v="0"/>
    <n v="0"/>
    <n v="0"/>
    <n v="0"/>
    <n v="0"/>
    <n v="0"/>
    <n v="0"/>
    <n v="0"/>
    <n v="0"/>
    <n v="0"/>
    <n v="0"/>
    <n v="0"/>
    <n v="0"/>
    <n v="0"/>
    <s v="MMR012CMP046"/>
    <x v="0"/>
    <m/>
  </r>
  <r>
    <x v="130"/>
    <x v="4"/>
    <x v="130"/>
    <x v="15"/>
    <s v="Save the Children"/>
    <x v="0"/>
    <x v="2"/>
    <s v="Ah Nauk Ywe"/>
    <n v="773"/>
    <m/>
    <m/>
    <m/>
    <m/>
    <m/>
    <m/>
    <m/>
    <m/>
    <m/>
    <m/>
    <m/>
    <m/>
    <m/>
    <m/>
    <n v="0"/>
    <n v="0"/>
    <n v="0"/>
    <n v="0"/>
    <n v="0"/>
    <n v="0"/>
    <n v="0"/>
    <n v="0"/>
    <n v="0"/>
    <n v="0"/>
    <n v="0"/>
    <n v="0"/>
    <n v="0"/>
    <n v="0"/>
    <n v="0"/>
    <s v="MMR012CMP016"/>
    <x v="0"/>
    <m/>
  </r>
  <r>
    <x v="130"/>
    <x v="4"/>
    <x v="130"/>
    <x v="15"/>
    <s v="Save the Children"/>
    <x v="0"/>
    <x v="0"/>
    <s v="Bu May Ohn Taw"/>
    <n v="502"/>
    <m/>
    <m/>
    <m/>
    <m/>
    <m/>
    <m/>
    <m/>
    <m/>
    <m/>
    <m/>
    <m/>
    <m/>
    <m/>
    <m/>
    <n v="0"/>
    <n v="0"/>
    <n v="0"/>
    <n v="0"/>
    <n v="0"/>
    <n v="0"/>
    <n v="0"/>
    <n v="0"/>
    <n v="0"/>
    <n v="0"/>
    <n v="0"/>
    <n v="0"/>
    <n v="0"/>
    <n v="0"/>
    <n v="0"/>
    <s v="MMR012CMP051"/>
    <x v="4"/>
    <m/>
  </r>
  <r>
    <x v="130"/>
    <x v="4"/>
    <x v="130"/>
    <x v="15"/>
    <s v="Save the Children"/>
    <x v="0"/>
    <x v="0"/>
    <s v="Hmanzi Junction"/>
    <n v="203"/>
    <m/>
    <m/>
    <m/>
    <m/>
    <m/>
    <m/>
    <m/>
    <m/>
    <m/>
    <m/>
    <m/>
    <m/>
    <m/>
    <m/>
    <n v="0"/>
    <n v="0"/>
    <n v="0"/>
    <n v="0"/>
    <n v="0"/>
    <n v="0"/>
    <n v="0"/>
    <n v="0"/>
    <n v="0"/>
    <n v="0"/>
    <n v="0"/>
    <n v="0"/>
    <n v="0"/>
    <n v="0"/>
    <n v="0"/>
    <s v="MMR012CMP049"/>
    <x v="4"/>
    <m/>
  </r>
  <r>
    <x v="130"/>
    <x v="4"/>
    <x v="130"/>
    <x v="15"/>
    <s v="Save the Children"/>
    <x v="0"/>
    <x v="2"/>
    <s v="Nget Chaung"/>
    <n v="173"/>
    <m/>
    <m/>
    <m/>
    <m/>
    <m/>
    <m/>
    <m/>
    <m/>
    <m/>
    <m/>
    <m/>
    <m/>
    <m/>
    <m/>
    <n v="0"/>
    <n v="0"/>
    <n v="0"/>
    <n v="0"/>
    <n v="0"/>
    <n v="0"/>
    <n v="0"/>
    <n v="0"/>
    <n v="0"/>
    <n v="0"/>
    <n v="0"/>
    <n v="0"/>
    <n v="0"/>
    <n v="0"/>
    <n v="0"/>
    <s v=""/>
    <x v="3"/>
    <m/>
  </r>
  <r>
    <x v="130"/>
    <x v="4"/>
    <x v="130"/>
    <x v="1"/>
    <m/>
    <x v="0"/>
    <x v="7"/>
    <s v="Raw Ma Ni Sin Oe"/>
    <n v="0"/>
    <m/>
    <m/>
    <n v="82"/>
    <m/>
    <n v="82"/>
    <n v="41"/>
    <n v="41"/>
    <n v="10"/>
    <m/>
    <n v="20"/>
    <m/>
    <m/>
    <m/>
    <m/>
    <n v="0"/>
    <n v="0"/>
    <n v="0"/>
    <n v="0"/>
    <n v="0"/>
    <n v="0"/>
    <n v="0"/>
    <n v="0"/>
    <n v="0"/>
    <n v="0"/>
    <n v="0"/>
    <n v="0"/>
    <n v="0"/>
    <n v="0"/>
    <n v="0"/>
    <s v="MMR012CMP012"/>
    <x v="1"/>
    <m/>
  </r>
  <r>
    <x v="130"/>
    <x v="4"/>
    <x v="130"/>
    <x v="1"/>
    <s v="Solidarities International"/>
    <x v="0"/>
    <x v="0"/>
    <m/>
    <m/>
    <m/>
    <m/>
    <m/>
    <n v="1520"/>
    <m/>
    <m/>
    <m/>
    <m/>
    <m/>
    <m/>
    <m/>
    <m/>
    <m/>
    <m/>
    <n v="0"/>
    <n v="0"/>
    <n v="0"/>
    <n v="0"/>
    <n v="0"/>
    <n v="0"/>
    <n v="0"/>
    <n v="0"/>
    <n v="0"/>
    <n v="0"/>
    <n v="0"/>
    <n v="0"/>
    <n v="0"/>
    <n v="0"/>
    <n v="0"/>
    <s v=""/>
    <x v="3"/>
    <m/>
  </r>
  <r>
    <x v="131"/>
    <x v="4"/>
    <x v="131"/>
    <x v="1"/>
    <m/>
    <x v="0"/>
    <x v="0"/>
    <s v="Bu May Ohn Taw"/>
    <m/>
    <m/>
    <m/>
    <m/>
    <n v="1315"/>
    <m/>
    <m/>
    <m/>
    <m/>
    <m/>
    <m/>
    <m/>
    <m/>
    <m/>
    <m/>
    <n v="0"/>
    <n v="0"/>
    <n v="0"/>
    <n v="0"/>
    <n v="0"/>
    <n v="0"/>
    <n v="0"/>
    <n v="0"/>
    <n v="0"/>
    <n v="0"/>
    <n v="0"/>
    <n v="0"/>
    <n v="0"/>
    <n v="0"/>
    <n v="0"/>
    <s v="MMR012CMP051"/>
    <x v="4"/>
    <m/>
  </r>
  <r>
    <x v="131"/>
    <x v="4"/>
    <x v="131"/>
    <x v="1"/>
    <s v="UNHCR"/>
    <x v="0"/>
    <x v="0"/>
    <s v="Mingan"/>
    <m/>
    <m/>
    <m/>
    <m/>
    <n v="358"/>
    <m/>
    <m/>
    <m/>
    <m/>
    <m/>
    <m/>
    <m/>
    <m/>
    <m/>
    <m/>
    <n v="0"/>
    <n v="0"/>
    <n v="0"/>
    <n v="0"/>
    <n v="0"/>
    <n v="0"/>
    <n v="0"/>
    <n v="0"/>
    <n v="0"/>
    <n v="0"/>
    <n v="0"/>
    <n v="0"/>
    <n v="0"/>
    <n v="0"/>
    <n v="0"/>
    <s v="MMR012CMP054"/>
    <x v="4"/>
    <m/>
  </r>
  <r>
    <x v="132"/>
    <x v="4"/>
    <x v="132"/>
    <x v="1"/>
    <s v="UNHCR"/>
    <x v="0"/>
    <x v="0"/>
    <s v="Hmanzi Junction"/>
    <m/>
    <m/>
    <m/>
    <m/>
    <n v="246"/>
    <m/>
    <m/>
    <m/>
    <m/>
    <m/>
    <m/>
    <m/>
    <m/>
    <m/>
    <m/>
    <n v="0"/>
    <n v="0"/>
    <n v="0"/>
    <n v="0"/>
    <n v="0"/>
    <n v="0"/>
    <n v="0"/>
    <n v="0"/>
    <n v="0"/>
    <n v="0"/>
    <n v="0"/>
    <n v="0"/>
    <n v="0"/>
    <n v="0"/>
    <n v="0"/>
    <s v="MMR012CMP049"/>
    <x v="4"/>
    <m/>
  </r>
  <r>
    <x v="132"/>
    <x v="4"/>
    <x v="132"/>
    <x v="1"/>
    <m/>
    <x v="0"/>
    <x v="0"/>
    <s v="Khaung Doke Khar "/>
    <m/>
    <m/>
    <m/>
    <m/>
    <n v="86"/>
    <m/>
    <m/>
    <m/>
    <m/>
    <m/>
    <m/>
    <m/>
    <m/>
    <m/>
    <m/>
    <n v="0"/>
    <n v="0"/>
    <n v="0"/>
    <n v="0"/>
    <n v="0"/>
    <n v="0"/>
    <n v="0"/>
    <n v="0"/>
    <n v="0"/>
    <n v="0"/>
    <n v="0"/>
    <n v="0"/>
    <n v="0"/>
    <n v="0"/>
    <n v="0"/>
    <s v="MMR012CMP042"/>
    <x v="0"/>
    <m/>
  </r>
  <r>
    <x v="133"/>
    <x v="4"/>
    <x v="133"/>
    <x v="15"/>
    <s v="Save the Children"/>
    <x v="0"/>
    <x v="0"/>
    <s v="Thet Kae Pyin "/>
    <n v="4795"/>
    <m/>
    <m/>
    <m/>
    <m/>
    <m/>
    <m/>
    <m/>
    <m/>
    <m/>
    <m/>
    <m/>
    <m/>
    <m/>
    <m/>
    <n v="0"/>
    <n v="0"/>
    <n v="0"/>
    <n v="0"/>
    <n v="0"/>
    <n v="0"/>
    <n v="0"/>
    <n v="0"/>
    <n v="0"/>
    <n v="0"/>
    <n v="0"/>
    <n v="0"/>
    <n v="0"/>
    <n v="0"/>
    <n v="0"/>
    <s v="MMR012CMP048"/>
    <x v="0"/>
    <m/>
  </r>
  <r>
    <x v="134"/>
    <x v="4"/>
    <x v="134"/>
    <x v="15"/>
    <s v="Save the Children"/>
    <x v="0"/>
    <x v="2"/>
    <s v="Kyein Ni Pyin"/>
    <n v="903"/>
    <m/>
    <m/>
    <m/>
    <m/>
    <m/>
    <m/>
    <m/>
    <m/>
    <m/>
    <m/>
    <m/>
    <m/>
    <m/>
    <m/>
    <n v="0"/>
    <n v="0"/>
    <n v="0"/>
    <n v="0"/>
    <n v="0"/>
    <n v="0"/>
    <n v="0"/>
    <n v="0"/>
    <n v="0"/>
    <n v="0"/>
    <n v="0"/>
    <n v="0"/>
    <n v="0"/>
    <n v="0"/>
    <n v="0"/>
    <s v="MMR012CMP018"/>
    <x v="0"/>
    <m/>
  </r>
  <r>
    <x v="135"/>
    <x v="4"/>
    <x v="135"/>
    <x v="1"/>
    <m/>
    <x v="0"/>
    <x v="2"/>
    <m/>
    <m/>
    <m/>
    <m/>
    <m/>
    <m/>
    <n v="1"/>
    <m/>
    <m/>
    <m/>
    <m/>
    <m/>
    <m/>
    <m/>
    <m/>
    <m/>
    <n v="0"/>
    <n v="0"/>
    <n v="0"/>
    <n v="0"/>
    <n v="0"/>
    <n v="0"/>
    <n v="0"/>
    <n v="0"/>
    <n v="0"/>
    <n v="0"/>
    <n v="0"/>
    <n v="0"/>
    <n v="0"/>
    <n v="0"/>
    <n v="0"/>
    <s v=""/>
    <x v="3"/>
    <m/>
  </r>
  <r>
    <x v="136"/>
    <x v="4"/>
    <x v="136"/>
    <x v="1"/>
    <m/>
    <x v="0"/>
    <x v="4"/>
    <s v="Nyaung Pin Gyi"/>
    <n v="0"/>
    <n v="64"/>
    <m/>
    <n v="128"/>
    <n v="64"/>
    <n v="128"/>
    <n v="64"/>
    <n v="64"/>
    <n v="64"/>
    <m/>
    <n v="128"/>
    <m/>
    <m/>
    <m/>
    <m/>
    <n v="0"/>
    <n v="0"/>
    <n v="0"/>
    <n v="0"/>
    <n v="0"/>
    <n v="0"/>
    <n v="0"/>
    <n v="0"/>
    <n v="0"/>
    <n v="0"/>
    <n v="0"/>
    <n v="0"/>
    <n v="0"/>
    <n v="0"/>
    <n v="0"/>
    <s v="MMR012CMP031"/>
    <x v="2"/>
    <m/>
  </r>
  <r>
    <x v="136"/>
    <x v="4"/>
    <x v="136"/>
    <x v="1"/>
    <m/>
    <x v="0"/>
    <x v="4"/>
    <s v="Nyaung Pin Gyi"/>
    <n v="0"/>
    <m/>
    <n v="128"/>
    <n v="128"/>
    <n v="64"/>
    <n v="0"/>
    <m/>
    <m/>
    <m/>
    <m/>
    <m/>
    <m/>
    <m/>
    <m/>
    <m/>
    <n v="0"/>
    <n v="0"/>
    <n v="0"/>
    <n v="0"/>
    <n v="0"/>
    <n v="0"/>
    <n v="0"/>
    <n v="0"/>
    <n v="0"/>
    <n v="0"/>
    <n v="0"/>
    <n v="0"/>
    <n v="0"/>
    <n v="0"/>
    <n v="0"/>
    <s v="MMR012CMP031"/>
    <x v="2"/>
    <m/>
  </r>
  <r>
    <x v="137"/>
    <x v="4"/>
    <x v="137"/>
    <x v="15"/>
    <s v="Save the Children"/>
    <x v="0"/>
    <x v="2"/>
    <s v="Kyein Ni Pyin"/>
    <n v="1028"/>
    <m/>
    <m/>
    <m/>
    <m/>
    <m/>
    <m/>
    <m/>
    <m/>
    <m/>
    <m/>
    <m/>
    <m/>
    <m/>
    <m/>
    <n v="0"/>
    <n v="0"/>
    <n v="0"/>
    <n v="0"/>
    <n v="0"/>
    <n v="0"/>
    <n v="0"/>
    <n v="0"/>
    <n v="0"/>
    <n v="0"/>
    <n v="0"/>
    <n v="0"/>
    <n v="0"/>
    <n v="0"/>
    <n v="0"/>
    <s v="MMR012CMP018"/>
    <x v="0"/>
    <m/>
  </r>
  <r>
    <x v="138"/>
    <x v="4"/>
    <x v="138"/>
    <x v="15"/>
    <s v="Save the Children"/>
    <x v="0"/>
    <x v="2"/>
    <s v="Nget Chaung"/>
    <n v="1338"/>
    <m/>
    <m/>
    <m/>
    <m/>
    <m/>
    <m/>
    <m/>
    <m/>
    <m/>
    <m/>
    <m/>
    <m/>
    <m/>
    <m/>
    <n v="0"/>
    <n v="0"/>
    <n v="0"/>
    <n v="0"/>
    <n v="0"/>
    <n v="0"/>
    <n v="0"/>
    <n v="0"/>
    <n v="0"/>
    <n v="0"/>
    <n v="0"/>
    <n v="0"/>
    <n v="0"/>
    <n v="0"/>
    <n v="0"/>
    <s v=""/>
    <x v="3"/>
    <m/>
  </r>
  <r>
    <x v="139"/>
    <x v="4"/>
    <x v="139"/>
    <x v="1"/>
    <m/>
    <x v="0"/>
    <x v="0"/>
    <s v="Bu May Ohn Taw"/>
    <m/>
    <m/>
    <m/>
    <m/>
    <m/>
    <n v="54"/>
    <m/>
    <m/>
    <m/>
    <m/>
    <m/>
    <m/>
    <m/>
    <m/>
    <m/>
    <n v="0"/>
    <n v="0"/>
    <n v="0"/>
    <n v="0"/>
    <n v="0"/>
    <n v="0"/>
    <n v="0"/>
    <n v="0"/>
    <n v="0"/>
    <n v="0"/>
    <n v="0"/>
    <n v="0"/>
    <n v="0"/>
    <n v="0"/>
    <n v="0"/>
    <s v="MMR012CMP051"/>
    <x v="4"/>
    <m/>
  </r>
  <r>
    <x v="140"/>
    <x v="4"/>
    <x v="140"/>
    <x v="1"/>
    <m/>
    <x v="0"/>
    <x v="0"/>
    <s v="Bu May Ohn Taw"/>
    <m/>
    <m/>
    <m/>
    <m/>
    <m/>
    <n v="90"/>
    <m/>
    <m/>
    <m/>
    <m/>
    <m/>
    <m/>
    <m/>
    <m/>
    <m/>
    <n v="0"/>
    <n v="0"/>
    <n v="0"/>
    <n v="0"/>
    <n v="0"/>
    <n v="0"/>
    <n v="0"/>
    <n v="0"/>
    <n v="0"/>
    <n v="0"/>
    <n v="0"/>
    <n v="0"/>
    <n v="0"/>
    <n v="0"/>
    <n v="0"/>
    <s v="MMR012CMP051"/>
    <x v="4"/>
    <m/>
  </r>
  <r>
    <x v="141"/>
    <x v="4"/>
    <x v="141"/>
    <x v="1"/>
    <m/>
    <x v="0"/>
    <x v="0"/>
    <s v="Bu May Ohn Taw"/>
    <m/>
    <m/>
    <m/>
    <m/>
    <m/>
    <n v="90"/>
    <m/>
    <m/>
    <m/>
    <m/>
    <m/>
    <m/>
    <m/>
    <m/>
    <m/>
    <n v="0"/>
    <n v="0"/>
    <n v="0"/>
    <n v="0"/>
    <n v="0"/>
    <n v="0"/>
    <n v="0"/>
    <n v="0"/>
    <n v="0"/>
    <n v="0"/>
    <n v="0"/>
    <n v="0"/>
    <n v="0"/>
    <n v="0"/>
    <n v="0"/>
    <s v="MMR012CMP051"/>
    <x v="4"/>
    <m/>
  </r>
  <r>
    <x v="141"/>
    <x v="4"/>
    <x v="141"/>
    <x v="0"/>
    <s v="Solidarities International"/>
    <x v="0"/>
    <x v="0"/>
    <s v="Dar Pai"/>
    <n v="186"/>
    <m/>
    <m/>
    <m/>
    <m/>
    <m/>
    <m/>
    <m/>
    <m/>
    <m/>
    <m/>
    <m/>
    <m/>
    <m/>
    <m/>
    <n v="0"/>
    <n v="0"/>
    <n v="0"/>
    <n v="0"/>
    <n v="0"/>
    <n v="0"/>
    <n v="0"/>
    <n v="0"/>
    <n v="0"/>
    <n v="0"/>
    <n v="0"/>
    <n v="0"/>
    <n v="0"/>
    <n v="0"/>
    <n v="0"/>
    <s v="MMR012CMP041"/>
    <x v="0"/>
    <m/>
  </r>
  <r>
    <x v="142"/>
    <x v="4"/>
    <x v="142"/>
    <x v="1"/>
    <m/>
    <x v="0"/>
    <x v="0"/>
    <s v="Bu May Ohn Taw"/>
    <m/>
    <m/>
    <m/>
    <m/>
    <m/>
    <n v="90"/>
    <m/>
    <m/>
    <m/>
    <m/>
    <m/>
    <m/>
    <m/>
    <m/>
    <m/>
    <n v="0"/>
    <n v="0"/>
    <n v="0"/>
    <n v="0"/>
    <n v="0"/>
    <n v="0"/>
    <n v="0"/>
    <n v="0"/>
    <n v="0"/>
    <n v="0"/>
    <n v="0"/>
    <n v="0"/>
    <n v="0"/>
    <n v="0"/>
    <n v="0"/>
    <s v="MMR012CMP051"/>
    <x v="4"/>
    <m/>
  </r>
  <r>
    <x v="143"/>
    <x v="4"/>
    <x v="143"/>
    <x v="1"/>
    <m/>
    <x v="0"/>
    <x v="0"/>
    <s v="Bu May Ohn Taw"/>
    <m/>
    <m/>
    <m/>
    <m/>
    <m/>
    <n v="45"/>
    <m/>
    <m/>
    <m/>
    <m/>
    <m/>
    <m/>
    <m/>
    <m/>
    <m/>
    <n v="0"/>
    <n v="0"/>
    <n v="0"/>
    <n v="0"/>
    <n v="0"/>
    <n v="0"/>
    <n v="0"/>
    <n v="0"/>
    <n v="0"/>
    <n v="0"/>
    <n v="0"/>
    <n v="0"/>
    <n v="0"/>
    <n v="0"/>
    <n v="0"/>
    <s v="MMR012CMP051"/>
    <x v="4"/>
    <m/>
  </r>
  <r>
    <x v="144"/>
    <x v="4"/>
    <x v="144"/>
    <x v="1"/>
    <m/>
    <x v="0"/>
    <x v="0"/>
    <s v="Bu May Ohn Taw"/>
    <m/>
    <m/>
    <m/>
    <m/>
    <m/>
    <n v="45"/>
    <m/>
    <m/>
    <m/>
    <m/>
    <m/>
    <m/>
    <m/>
    <m/>
    <m/>
    <n v="0"/>
    <n v="0"/>
    <n v="0"/>
    <n v="0"/>
    <n v="0"/>
    <n v="0"/>
    <n v="0"/>
    <n v="0"/>
    <n v="0"/>
    <n v="0"/>
    <n v="0"/>
    <n v="0"/>
    <n v="0"/>
    <n v="0"/>
    <n v="0"/>
    <s v="MMR012CMP051"/>
    <x v="4"/>
    <m/>
  </r>
  <r>
    <x v="145"/>
    <x v="4"/>
    <x v="145"/>
    <x v="15"/>
    <s v="Save the Children"/>
    <x v="0"/>
    <x v="0"/>
    <s v="Thet Kae Pyin "/>
    <n v="3100"/>
    <m/>
    <m/>
    <m/>
    <m/>
    <m/>
    <m/>
    <m/>
    <m/>
    <m/>
    <m/>
    <m/>
    <m/>
    <m/>
    <m/>
    <n v="0"/>
    <n v="0"/>
    <n v="0"/>
    <n v="0"/>
    <n v="0"/>
    <n v="0"/>
    <n v="0"/>
    <n v="0"/>
    <n v="0"/>
    <n v="0"/>
    <n v="0"/>
    <n v="0"/>
    <n v="0"/>
    <n v="0"/>
    <n v="0"/>
    <s v="MMR012CMP048"/>
    <x v="0"/>
    <m/>
  </r>
  <r>
    <x v="146"/>
    <x v="4"/>
    <x v="146"/>
    <x v="1"/>
    <m/>
    <x v="0"/>
    <x v="4"/>
    <s v="Ah Nauk Pyin"/>
    <n v="0"/>
    <n v="68"/>
    <m/>
    <n v="136"/>
    <n v="68"/>
    <n v="136"/>
    <n v="68"/>
    <n v="68"/>
    <n v="68"/>
    <m/>
    <n v="136"/>
    <m/>
    <m/>
    <m/>
    <m/>
    <n v="0"/>
    <n v="0"/>
    <n v="0"/>
    <n v="0"/>
    <n v="0"/>
    <n v="0"/>
    <n v="0"/>
    <n v="0"/>
    <n v="0"/>
    <n v="0"/>
    <n v="0"/>
    <n v="0"/>
    <n v="0"/>
    <n v="0"/>
    <n v="0"/>
    <s v="MMR012CMP032"/>
    <x v="2"/>
    <m/>
  </r>
  <r>
    <x v="146"/>
    <x v="4"/>
    <x v="146"/>
    <x v="1"/>
    <m/>
    <x v="0"/>
    <x v="4"/>
    <s v="Ah Nauk Pyin"/>
    <n v="0"/>
    <m/>
    <n v="136"/>
    <n v="136"/>
    <n v="68"/>
    <n v="0"/>
    <m/>
    <m/>
    <m/>
    <m/>
    <m/>
    <m/>
    <m/>
    <m/>
    <m/>
    <n v="0"/>
    <n v="0"/>
    <n v="0"/>
    <n v="0"/>
    <n v="0"/>
    <n v="0"/>
    <n v="0"/>
    <n v="0"/>
    <n v="0"/>
    <n v="0"/>
    <n v="0"/>
    <n v="0"/>
    <n v="0"/>
    <n v="0"/>
    <n v="0"/>
    <s v="MMR012CMP032"/>
    <x v="2"/>
    <m/>
  </r>
  <r>
    <x v="146"/>
    <x v="4"/>
    <x v="146"/>
    <x v="1"/>
    <m/>
    <x v="0"/>
    <x v="8"/>
    <s v="Bomu Ywa"/>
    <n v="0"/>
    <n v="79"/>
    <m/>
    <n v="158"/>
    <n v="79"/>
    <n v="158"/>
    <n v="79"/>
    <n v="79"/>
    <n v="79"/>
    <m/>
    <n v="158"/>
    <m/>
    <m/>
    <m/>
    <m/>
    <n v="0"/>
    <n v="0"/>
    <n v="0"/>
    <n v="0"/>
    <n v="0"/>
    <n v="0"/>
    <n v="0"/>
    <n v="0"/>
    <n v="0"/>
    <n v="0"/>
    <n v="0"/>
    <n v="0"/>
    <n v="0"/>
    <n v="0"/>
    <n v="0"/>
    <s v="MMR012CMP084"/>
    <x v="0"/>
    <m/>
  </r>
  <r>
    <x v="146"/>
    <x v="4"/>
    <x v="146"/>
    <x v="1"/>
    <m/>
    <x v="0"/>
    <x v="8"/>
    <s v="Bomu Ywa"/>
    <n v="0"/>
    <m/>
    <n v="158"/>
    <n v="292"/>
    <n v="79"/>
    <n v="0"/>
    <m/>
    <m/>
    <m/>
    <m/>
    <m/>
    <m/>
    <m/>
    <m/>
    <m/>
    <n v="0"/>
    <n v="0"/>
    <n v="0"/>
    <n v="0"/>
    <n v="0"/>
    <n v="0"/>
    <n v="0"/>
    <n v="0"/>
    <n v="0"/>
    <n v="0"/>
    <n v="0"/>
    <n v="0"/>
    <n v="0"/>
    <n v="0"/>
    <n v="0"/>
    <s v="MMR012CMP084"/>
    <x v="0"/>
    <m/>
  </r>
  <r>
    <x v="146"/>
    <x v="4"/>
    <x v="146"/>
    <x v="11"/>
    <s v="DRC"/>
    <x v="0"/>
    <x v="0"/>
    <s v="Say Tha Mar Gyi"/>
    <n v="2907"/>
    <m/>
    <m/>
    <m/>
    <m/>
    <m/>
    <m/>
    <m/>
    <m/>
    <m/>
    <m/>
    <m/>
    <m/>
    <m/>
    <m/>
    <n v="0"/>
    <n v="0"/>
    <n v="0"/>
    <n v="0"/>
    <n v="0"/>
    <n v="0"/>
    <n v="0"/>
    <n v="0"/>
    <n v="0"/>
    <n v="0"/>
    <n v="0"/>
    <n v="0"/>
    <n v="0"/>
    <n v="0"/>
    <n v="0"/>
    <s v="MMR012CMP045"/>
    <x v="0"/>
    <m/>
  </r>
  <r>
    <x v="147"/>
    <x v="4"/>
    <x v="147"/>
    <x v="1"/>
    <m/>
    <x v="0"/>
    <x v="8"/>
    <s v="Myoma Myauk"/>
    <n v="0"/>
    <n v="0"/>
    <n v="0"/>
    <n v="34"/>
    <n v="0"/>
    <n v="0"/>
    <m/>
    <m/>
    <m/>
    <m/>
    <m/>
    <m/>
    <m/>
    <m/>
    <m/>
    <n v="0"/>
    <n v="0"/>
    <n v="0"/>
    <n v="0"/>
    <n v="0"/>
    <n v="0"/>
    <n v="0"/>
    <n v="0"/>
    <n v="0"/>
    <n v="0"/>
    <n v="0"/>
    <n v="0"/>
    <n v="0"/>
    <n v="0"/>
    <n v="0"/>
    <s v=""/>
    <x v="3"/>
    <m/>
  </r>
  <r>
    <x v="148"/>
    <x v="4"/>
    <x v="148"/>
    <x v="1"/>
    <m/>
    <x v="0"/>
    <x v="6"/>
    <s v="Thay Kan"/>
    <m/>
    <m/>
    <m/>
    <m/>
    <m/>
    <n v="33"/>
    <m/>
    <m/>
    <m/>
    <m/>
    <m/>
    <m/>
    <m/>
    <m/>
    <m/>
    <n v="0"/>
    <n v="0"/>
    <n v="0"/>
    <n v="0"/>
    <n v="0"/>
    <n v="0"/>
    <n v="0"/>
    <n v="0"/>
    <n v="0"/>
    <n v="0"/>
    <n v="0"/>
    <n v="0"/>
    <n v="0"/>
    <n v="0"/>
    <n v="0"/>
    <s v="MMR012CMP007"/>
    <x v="4"/>
    <m/>
  </r>
  <r>
    <x v="149"/>
    <x v="4"/>
    <x v="149"/>
    <x v="1"/>
    <m/>
    <x v="0"/>
    <x v="8"/>
    <s v="Thaung Paing Nyar"/>
    <n v="0"/>
    <n v="51"/>
    <m/>
    <n v="102"/>
    <n v="51"/>
    <n v="102"/>
    <n v="51"/>
    <n v="51"/>
    <n v="51"/>
    <m/>
    <n v="102"/>
    <m/>
    <m/>
    <m/>
    <m/>
    <n v="0"/>
    <n v="0"/>
    <n v="0"/>
    <n v="0"/>
    <n v="0"/>
    <n v="0"/>
    <n v="0"/>
    <n v="0"/>
    <n v="0"/>
    <n v="0"/>
    <n v="0"/>
    <n v="0"/>
    <n v="0"/>
    <n v="0"/>
    <n v="0"/>
    <s v="MMR012CMP086"/>
    <x v="0"/>
    <m/>
  </r>
  <r>
    <x v="149"/>
    <x v="4"/>
    <x v="149"/>
    <x v="1"/>
    <m/>
    <x v="0"/>
    <x v="8"/>
    <s v="Thaung Paing Nyar"/>
    <n v="0"/>
    <m/>
    <n v="102"/>
    <n v="156"/>
    <n v="51"/>
    <n v="0"/>
    <m/>
    <m/>
    <m/>
    <m/>
    <m/>
    <m/>
    <m/>
    <m/>
    <m/>
    <n v="0"/>
    <n v="0"/>
    <n v="0"/>
    <n v="0"/>
    <n v="0"/>
    <n v="0"/>
    <n v="0"/>
    <n v="0"/>
    <n v="0"/>
    <n v="0"/>
    <n v="0"/>
    <n v="0"/>
    <n v="0"/>
    <n v="0"/>
    <n v="0"/>
    <s v="MMR012CMP086"/>
    <x v="0"/>
    <m/>
  </r>
  <r>
    <x v="150"/>
    <x v="4"/>
    <x v="150"/>
    <x v="1"/>
    <m/>
    <x v="0"/>
    <x v="8"/>
    <s v="Bomu Ywa"/>
    <n v="0"/>
    <n v="50"/>
    <m/>
    <n v="100"/>
    <n v="50"/>
    <n v="100"/>
    <n v="50"/>
    <n v="50"/>
    <n v="50"/>
    <m/>
    <n v="100"/>
    <m/>
    <m/>
    <m/>
    <m/>
    <n v="0"/>
    <n v="0"/>
    <n v="0"/>
    <n v="0"/>
    <n v="0"/>
    <n v="0"/>
    <n v="0"/>
    <n v="0"/>
    <n v="0"/>
    <n v="0"/>
    <n v="0"/>
    <n v="0"/>
    <n v="0"/>
    <n v="0"/>
    <n v="0"/>
    <s v="MMR012CMP084"/>
    <x v="0"/>
    <m/>
  </r>
  <r>
    <x v="150"/>
    <x v="4"/>
    <x v="150"/>
    <x v="1"/>
    <m/>
    <x v="0"/>
    <x v="8"/>
    <s v="Bomu Ywa"/>
    <n v="0"/>
    <m/>
    <n v="100"/>
    <n v="171"/>
    <n v="50"/>
    <n v="0"/>
    <m/>
    <m/>
    <m/>
    <m/>
    <m/>
    <m/>
    <m/>
    <m/>
    <m/>
    <n v="0"/>
    <n v="0"/>
    <n v="0"/>
    <n v="0"/>
    <n v="0"/>
    <n v="0"/>
    <n v="0"/>
    <n v="0"/>
    <n v="0"/>
    <n v="0"/>
    <n v="0"/>
    <n v="0"/>
    <n v="0"/>
    <n v="0"/>
    <n v="0"/>
    <s v="MMR012CMP084"/>
    <x v="0"/>
    <m/>
  </r>
  <r>
    <x v="150"/>
    <x v="4"/>
    <x v="150"/>
    <x v="18"/>
    <m/>
    <x v="0"/>
    <x v="0"/>
    <s v="Ohn Taw Gyi 1"/>
    <n v="0"/>
    <n v="800"/>
    <m/>
    <n v="1600"/>
    <n v="800"/>
    <n v="1600"/>
    <n v="800"/>
    <n v="800"/>
    <n v="800"/>
    <m/>
    <n v="1600"/>
    <m/>
    <m/>
    <m/>
    <m/>
    <n v="0"/>
    <n v="0"/>
    <n v="0"/>
    <n v="0"/>
    <n v="0"/>
    <n v="0"/>
    <n v="0"/>
    <n v="0"/>
    <n v="0"/>
    <n v="0"/>
    <n v="0"/>
    <n v="0"/>
    <n v="0"/>
    <n v="0"/>
    <n v="0"/>
    <s v="MMR012CMP043"/>
    <x v="4"/>
    <m/>
  </r>
  <r>
    <x v="150"/>
    <x v="4"/>
    <x v="150"/>
    <x v="18"/>
    <m/>
    <x v="0"/>
    <x v="0"/>
    <s v="Ohn Taw Gyi 1"/>
    <n v="0"/>
    <m/>
    <m/>
    <m/>
    <m/>
    <m/>
    <m/>
    <m/>
    <m/>
    <m/>
    <m/>
    <m/>
    <m/>
    <m/>
    <m/>
    <n v="0"/>
    <n v="0"/>
    <n v="0"/>
    <n v="0"/>
    <n v="0"/>
    <n v="0"/>
    <n v="0"/>
    <n v="0"/>
    <n v="0"/>
    <n v="0"/>
    <n v="0"/>
    <n v="0"/>
    <n v="0"/>
    <n v="0"/>
    <n v="0"/>
    <s v="MMR012CMP043"/>
    <x v="4"/>
    <m/>
  </r>
  <r>
    <x v="150"/>
    <x v="4"/>
    <x v="150"/>
    <x v="18"/>
    <m/>
    <x v="0"/>
    <x v="0"/>
    <s v="Set Yone Su"/>
    <n v="0"/>
    <n v="200"/>
    <m/>
    <n v="400"/>
    <n v="200"/>
    <n v="400"/>
    <n v="200"/>
    <n v="200"/>
    <n v="200"/>
    <m/>
    <n v="400"/>
    <m/>
    <m/>
    <m/>
    <m/>
    <n v="0"/>
    <n v="0"/>
    <n v="0"/>
    <n v="0"/>
    <n v="0"/>
    <n v="0"/>
    <n v="0"/>
    <n v="0"/>
    <n v="0"/>
    <n v="0"/>
    <n v="0"/>
    <n v="0"/>
    <n v="0"/>
    <n v="0"/>
    <n v="0"/>
    <s v="MMR012CMP056"/>
    <x v="1"/>
    <m/>
  </r>
  <r>
    <x v="150"/>
    <x v="4"/>
    <x v="150"/>
    <x v="18"/>
    <m/>
    <x v="0"/>
    <x v="0"/>
    <s v="Set Yone Su"/>
    <n v="0"/>
    <m/>
    <m/>
    <m/>
    <m/>
    <m/>
    <m/>
    <m/>
    <m/>
    <m/>
    <m/>
    <m/>
    <m/>
    <m/>
    <m/>
    <n v="0"/>
    <n v="0"/>
    <n v="0"/>
    <n v="0"/>
    <n v="0"/>
    <n v="0"/>
    <n v="0"/>
    <n v="0"/>
    <n v="0"/>
    <n v="0"/>
    <n v="0"/>
    <n v="0"/>
    <n v="0"/>
    <n v="0"/>
    <n v="0"/>
    <s v="MMR012CMP056"/>
    <x v="1"/>
    <m/>
  </r>
  <r>
    <x v="151"/>
    <x v="4"/>
    <x v="151"/>
    <x v="19"/>
    <m/>
    <x v="0"/>
    <x v="2"/>
    <s v="Ba Wan Chaung Wa Su"/>
    <n v="23"/>
    <n v="0"/>
    <m/>
    <m/>
    <m/>
    <m/>
    <m/>
    <m/>
    <m/>
    <m/>
    <m/>
    <m/>
    <m/>
    <m/>
    <m/>
    <n v="0"/>
    <n v="0"/>
    <n v="0"/>
    <n v="0"/>
    <n v="0"/>
    <n v="0"/>
    <n v="0"/>
    <n v="0"/>
    <n v="0"/>
    <n v="0"/>
    <n v="0"/>
    <n v="0"/>
    <n v="0"/>
    <n v="0"/>
    <n v="0"/>
    <s v="MMR012CMP015"/>
    <x v="1"/>
    <m/>
  </r>
  <r>
    <x v="151"/>
    <x v="4"/>
    <x v="151"/>
    <x v="19"/>
    <m/>
    <x v="0"/>
    <x v="2"/>
    <s v="Nget Chaung"/>
    <n v="1306"/>
    <n v="0"/>
    <m/>
    <m/>
    <m/>
    <m/>
    <m/>
    <m/>
    <m/>
    <m/>
    <m/>
    <m/>
    <m/>
    <m/>
    <m/>
    <n v="0"/>
    <n v="0"/>
    <n v="0"/>
    <n v="0"/>
    <n v="0"/>
    <n v="0"/>
    <n v="0"/>
    <n v="0"/>
    <n v="0"/>
    <n v="0"/>
    <n v="0"/>
    <n v="0"/>
    <n v="0"/>
    <n v="0"/>
    <n v="0"/>
    <s v=""/>
    <x v="3"/>
    <m/>
  </r>
  <r>
    <x v="151"/>
    <x v="4"/>
    <x v="151"/>
    <x v="1"/>
    <m/>
    <x v="0"/>
    <x v="8"/>
    <s v="Nyaung Pin Hla"/>
    <n v="0"/>
    <n v="15"/>
    <m/>
    <n v="30"/>
    <n v="15"/>
    <n v="30"/>
    <n v="15"/>
    <n v="15"/>
    <n v="15"/>
    <m/>
    <n v="30"/>
    <m/>
    <m/>
    <m/>
    <m/>
    <n v="0"/>
    <n v="0"/>
    <n v="0"/>
    <n v="0"/>
    <n v="0"/>
    <n v="0"/>
    <n v="0"/>
    <n v="0"/>
    <n v="0"/>
    <n v="0"/>
    <n v="0"/>
    <n v="0"/>
    <n v="0"/>
    <n v="0"/>
    <n v="0"/>
    <s v="MMR012CMP082"/>
    <x v="2"/>
    <m/>
  </r>
  <r>
    <x v="151"/>
    <x v="4"/>
    <x v="151"/>
    <x v="1"/>
    <m/>
    <x v="0"/>
    <x v="8"/>
    <s v="Nyaung Pin Hla"/>
    <n v="0"/>
    <m/>
    <n v="30"/>
    <n v="52"/>
    <n v="15"/>
    <n v="0"/>
    <m/>
    <m/>
    <m/>
    <m/>
    <m/>
    <m/>
    <m/>
    <m/>
    <m/>
    <n v="0"/>
    <n v="0"/>
    <n v="0"/>
    <n v="0"/>
    <n v="0"/>
    <n v="0"/>
    <n v="0"/>
    <n v="0"/>
    <n v="0"/>
    <n v="0"/>
    <n v="0"/>
    <n v="0"/>
    <n v="0"/>
    <n v="0"/>
    <n v="0"/>
    <s v="MMR012CMP082"/>
    <x v="2"/>
    <m/>
  </r>
  <r>
    <x v="152"/>
    <x v="4"/>
    <x v="152"/>
    <x v="0"/>
    <s v="Solidarities International"/>
    <x v="0"/>
    <x v="0"/>
    <s v="Thae Chaung"/>
    <n v="1542"/>
    <m/>
    <m/>
    <m/>
    <m/>
    <m/>
    <m/>
    <m/>
    <m/>
    <m/>
    <m/>
    <m/>
    <m/>
    <m/>
    <m/>
    <n v="0"/>
    <n v="0"/>
    <n v="0"/>
    <n v="0"/>
    <n v="0"/>
    <n v="0"/>
    <n v="0"/>
    <n v="0"/>
    <n v="0"/>
    <n v="0"/>
    <n v="0"/>
    <n v="0"/>
    <n v="0"/>
    <n v="0"/>
    <n v="0"/>
    <s v="MMR012CMP046"/>
    <x v="0"/>
    <m/>
  </r>
  <r>
    <x v="153"/>
    <x v="4"/>
    <x v="153"/>
    <x v="19"/>
    <m/>
    <x v="0"/>
    <x v="6"/>
    <s v="Aung Taing"/>
    <n v="90"/>
    <m/>
    <m/>
    <m/>
    <m/>
    <m/>
    <m/>
    <m/>
    <m/>
    <m/>
    <m/>
    <m/>
    <m/>
    <m/>
    <m/>
    <n v="0"/>
    <n v="0"/>
    <n v="0"/>
    <n v="0"/>
    <n v="0"/>
    <n v="0"/>
    <n v="0"/>
    <n v="0"/>
    <n v="0"/>
    <n v="0"/>
    <n v="0"/>
    <n v="0"/>
    <n v="0"/>
    <n v="0"/>
    <n v="0"/>
    <s v="MMR012CMP006"/>
    <x v="2"/>
    <m/>
  </r>
  <r>
    <x v="153"/>
    <x v="4"/>
    <x v="153"/>
    <x v="19"/>
    <m/>
    <x v="0"/>
    <x v="7"/>
    <s v="Myat Buddha Mandine Monastery"/>
    <n v="35"/>
    <m/>
    <m/>
    <m/>
    <m/>
    <m/>
    <m/>
    <m/>
    <m/>
    <m/>
    <m/>
    <m/>
    <m/>
    <m/>
    <m/>
    <n v="0"/>
    <n v="0"/>
    <n v="0"/>
    <n v="0"/>
    <n v="0"/>
    <n v="0"/>
    <n v="0"/>
    <n v="0"/>
    <n v="0"/>
    <n v="0"/>
    <n v="0"/>
    <n v="0"/>
    <n v="0"/>
    <n v="0"/>
    <n v="0"/>
    <s v="MMR012CMP011"/>
    <x v="4"/>
    <m/>
  </r>
  <r>
    <x v="153"/>
    <x v="4"/>
    <x v="153"/>
    <x v="19"/>
    <m/>
    <x v="0"/>
    <x v="6"/>
    <s v="Nagara Pauktaw"/>
    <n v="230"/>
    <m/>
    <m/>
    <m/>
    <m/>
    <m/>
    <m/>
    <m/>
    <m/>
    <m/>
    <m/>
    <m/>
    <m/>
    <m/>
    <m/>
    <n v="0"/>
    <n v="0"/>
    <n v="0"/>
    <n v="0"/>
    <n v="0"/>
    <n v="0"/>
    <n v="0"/>
    <n v="0"/>
    <n v="0"/>
    <n v="0"/>
    <n v="0"/>
    <n v="0"/>
    <n v="0"/>
    <n v="0"/>
    <n v="0"/>
    <s v="MMR012CMP004"/>
    <x v="4"/>
    <m/>
  </r>
  <r>
    <x v="153"/>
    <x v="4"/>
    <x v="153"/>
    <x v="19"/>
    <m/>
    <x v="0"/>
    <x v="7"/>
    <s v="Pa Rein"/>
    <n v="245"/>
    <m/>
    <m/>
    <m/>
    <m/>
    <m/>
    <m/>
    <m/>
    <m/>
    <m/>
    <m/>
    <m/>
    <m/>
    <m/>
    <m/>
    <n v="0"/>
    <n v="0"/>
    <n v="0"/>
    <n v="0"/>
    <n v="0"/>
    <n v="0"/>
    <n v="0"/>
    <n v="0"/>
    <n v="0"/>
    <n v="0"/>
    <n v="0"/>
    <n v="0"/>
    <n v="0"/>
    <n v="0"/>
    <n v="0"/>
    <s v="MMR012CMP009"/>
    <x v="2"/>
    <m/>
  </r>
  <r>
    <x v="153"/>
    <x v="4"/>
    <x v="153"/>
    <x v="19"/>
    <m/>
    <x v="0"/>
    <x v="6"/>
    <s v="Paik Thay"/>
    <n v="20"/>
    <m/>
    <m/>
    <m/>
    <m/>
    <m/>
    <m/>
    <m/>
    <m/>
    <m/>
    <m/>
    <m/>
    <m/>
    <m/>
    <m/>
    <n v="0"/>
    <n v="0"/>
    <n v="0"/>
    <n v="0"/>
    <n v="0"/>
    <n v="0"/>
    <n v="0"/>
    <n v="0"/>
    <n v="0"/>
    <n v="0"/>
    <n v="0"/>
    <n v="0"/>
    <n v="0"/>
    <n v="0"/>
    <n v="0"/>
    <s v="MMR012CMP001"/>
    <x v="2"/>
    <m/>
  </r>
  <r>
    <x v="153"/>
    <x v="4"/>
    <x v="153"/>
    <x v="19"/>
    <m/>
    <x v="0"/>
    <x v="6"/>
    <s v="Sam Ba Le"/>
    <n v="230"/>
    <m/>
    <m/>
    <m/>
    <m/>
    <m/>
    <m/>
    <m/>
    <m/>
    <m/>
    <m/>
    <m/>
    <m/>
    <m/>
    <m/>
    <n v="0"/>
    <n v="0"/>
    <n v="0"/>
    <n v="0"/>
    <n v="0"/>
    <n v="0"/>
    <n v="0"/>
    <n v="0"/>
    <n v="0"/>
    <n v="0"/>
    <n v="0"/>
    <n v="0"/>
    <n v="0"/>
    <n v="0"/>
    <n v="0"/>
    <s v="MMR012CMP008"/>
    <x v="2"/>
    <m/>
  </r>
  <r>
    <x v="153"/>
    <x v="4"/>
    <x v="153"/>
    <x v="19"/>
    <m/>
    <x v="0"/>
    <x v="6"/>
    <s v="San Htoe Tan"/>
    <n v="90"/>
    <m/>
    <m/>
    <m/>
    <m/>
    <m/>
    <m/>
    <m/>
    <m/>
    <m/>
    <m/>
    <m/>
    <m/>
    <m/>
    <m/>
    <n v="0"/>
    <n v="0"/>
    <n v="0"/>
    <n v="0"/>
    <n v="0"/>
    <n v="0"/>
    <n v="0"/>
    <n v="0"/>
    <n v="0"/>
    <n v="0"/>
    <n v="0"/>
    <n v="0"/>
    <n v="0"/>
    <n v="0"/>
    <n v="0"/>
    <s v="MMR012CMP003"/>
    <x v="2"/>
    <m/>
  </r>
  <r>
    <x v="153"/>
    <x v="4"/>
    <x v="153"/>
    <x v="19"/>
    <m/>
    <x v="0"/>
    <x v="6"/>
    <s v="Tha Dar"/>
    <n v="205"/>
    <m/>
    <m/>
    <m/>
    <m/>
    <m/>
    <m/>
    <m/>
    <m/>
    <m/>
    <m/>
    <m/>
    <m/>
    <m/>
    <m/>
    <n v="0"/>
    <n v="0"/>
    <n v="0"/>
    <n v="0"/>
    <n v="0"/>
    <n v="0"/>
    <n v="0"/>
    <n v="0"/>
    <n v="0"/>
    <n v="0"/>
    <n v="0"/>
    <n v="0"/>
    <n v="0"/>
    <n v="0"/>
    <n v="0"/>
    <s v="MMR012CMP002"/>
    <x v="2"/>
    <m/>
  </r>
  <r>
    <x v="153"/>
    <x v="4"/>
    <x v="153"/>
    <x v="19"/>
    <m/>
    <x v="0"/>
    <x v="6"/>
    <s v="Thay Kan"/>
    <n v="35"/>
    <m/>
    <m/>
    <m/>
    <m/>
    <m/>
    <m/>
    <m/>
    <m/>
    <m/>
    <m/>
    <m/>
    <m/>
    <m/>
    <m/>
    <n v="0"/>
    <n v="0"/>
    <n v="0"/>
    <n v="0"/>
    <n v="0"/>
    <n v="0"/>
    <n v="0"/>
    <n v="0"/>
    <n v="0"/>
    <n v="0"/>
    <n v="0"/>
    <n v="0"/>
    <n v="0"/>
    <n v="0"/>
    <n v="0"/>
    <s v="MMR012CMP007"/>
    <x v="4"/>
    <m/>
  </r>
  <r>
    <x v="153"/>
    <x v="4"/>
    <x v="153"/>
    <x v="19"/>
    <m/>
    <x v="0"/>
    <x v="7"/>
    <s v="Yai Thei-Muslim"/>
    <n v="360"/>
    <m/>
    <m/>
    <m/>
    <m/>
    <m/>
    <m/>
    <m/>
    <m/>
    <m/>
    <m/>
    <m/>
    <m/>
    <m/>
    <m/>
    <n v="0"/>
    <n v="0"/>
    <n v="0"/>
    <n v="0"/>
    <n v="0"/>
    <n v="0"/>
    <n v="0"/>
    <n v="0"/>
    <n v="0"/>
    <n v="0"/>
    <n v="0"/>
    <n v="0"/>
    <n v="0"/>
    <n v="0"/>
    <n v="0"/>
    <s v="MMR012CMP010"/>
    <x v="2"/>
    <m/>
  </r>
  <r>
    <x v="154"/>
    <x v="4"/>
    <x v="154"/>
    <x v="1"/>
    <m/>
    <x v="0"/>
    <x v="8"/>
    <s v="Ywa thit Kay"/>
    <m/>
    <n v="20"/>
    <m/>
    <n v="40"/>
    <n v="20"/>
    <n v="40"/>
    <n v="20"/>
    <n v="20"/>
    <n v="20"/>
    <m/>
    <n v="40"/>
    <m/>
    <m/>
    <m/>
    <m/>
    <n v="0"/>
    <n v="0"/>
    <n v="0"/>
    <n v="0"/>
    <n v="0"/>
    <n v="0"/>
    <n v="0"/>
    <n v="0"/>
    <n v="0"/>
    <n v="0"/>
    <n v="0"/>
    <n v="0"/>
    <n v="0"/>
    <n v="0"/>
    <n v="0"/>
    <s v="MMR012CMP085"/>
    <x v="0"/>
    <m/>
  </r>
  <r>
    <x v="154"/>
    <x v="4"/>
    <x v="154"/>
    <x v="1"/>
    <m/>
    <x v="0"/>
    <x v="8"/>
    <s v="Ywa thit Kay"/>
    <m/>
    <m/>
    <n v="40"/>
    <n v="81"/>
    <n v="20"/>
    <m/>
    <m/>
    <m/>
    <m/>
    <m/>
    <m/>
    <m/>
    <m/>
    <m/>
    <m/>
    <n v="0"/>
    <n v="0"/>
    <n v="0"/>
    <n v="0"/>
    <n v="0"/>
    <n v="0"/>
    <n v="0"/>
    <n v="0"/>
    <n v="0"/>
    <n v="0"/>
    <n v="0"/>
    <n v="0"/>
    <n v="0"/>
    <n v="0"/>
    <n v="0"/>
    <s v="MMR012CMP085"/>
    <x v="0"/>
    <m/>
  </r>
  <r>
    <x v="155"/>
    <x v="4"/>
    <x v="155"/>
    <x v="19"/>
    <m/>
    <x v="0"/>
    <x v="5"/>
    <s v="Ka Nyin Taw"/>
    <n v="71"/>
    <m/>
    <m/>
    <m/>
    <m/>
    <m/>
    <m/>
    <m/>
    <m/>
    <m/>
    <m/>
    <m/>
    <m/>
    <m/>
    <m/>
    <n v="0"/>
    <n v="0"/>
    <n v="0"/>
    <n v="0"/>
    <n v="0"/>
    <n v="0"/>
    <n v="0"/>
    <n v="0"/>
    <n v="0"/>
    <n v="0"/>
    <n v="0"/>
    <n v="0"/>
    <n v="0"/>
    <n v="0"/>
    <n v="0"/>
    <s v="MMR012CMP036"/>
    <x v="0"/>
    <m/>
  </r>
  <r>
    <x v="155"/>
    <x v="4"/>
    <x v="155"/>
    <x v="19"/>
    <m/>
    <x v="0"/>
    <x v="3"/>
    <s v="Kan Thar Htwat Wa"/>
    <n v="45"/>
    <m/>
    <m/>
    <m/>
    <m/>
    <m/>
    <m/>
    <m/>
    <m/>
    <m/>
    <m/>
    <m/>
    <m/>
    <m/>
    <m/>
    <n v="0"/>
    <n v="0"/>
    <n v="0"/>
    <n v="0"/>
    <n v="0"/>
    <n v="0"/>
    <n v="0"/>
    <n v="0"/>
    <n v="0"/>
    <n v="0"/>
    <n v="0"/>
    <n v="0"/>
    <n v="0"/>
    <n v="0"/>
    <n v="0"/>
    <s v="MMR012CMP013"/>
    <x v="1"/>
    <m/>
  </r>
  <r>
    <x v="155"/>
    <x v="4"/>
    <x v="155"/>
    <x v="19"/>
    <m/>
    <x v="0"/>
    <x v="5"/>
    <s v="Kyauk Ta Lone"/>
    <n v="418"/>
    <m/>
    <m/>
    <m/>
    <m/>
    <m/>
    <m/>
    <m/>
    <m/>
    <m/>
    <m/>
    <m/>
    <m/>
    <m/>
    <m/>
    <n v="0"/>
    <n v="0"/>
    <n v="0"/>
    <n v="0"/>
    <n v="0"/>
    <n v="0"/>
    <n v="0"/>
    <n v="0"/>
    <n v="0"/>
    <n v="0"/>
    <n v="0"/>
    <n v="0"/>
    <n v="0"/>
    <n v="0"/>
    <n v="0"/>
    <s v="MMR012CMP035"/>
    <x v="0"/>
    <m/>
  </r>
  <r>
    <x v="155"/>
    <x v="4"/>
    <x v="155"/>
    <x v="19"/>
    <m/>
    <x v="0"/>
    <x v="9"/>
    <s v="Ramree Town"/>
    <n v="24"/>
    <m/>
    <m/>
    <m/>
    <m/>
    <m/>
    <m/>
    <m/>
    <m/>
    <m/>
    <m/>
    <m/>
    <m/>
    <m/>
    <m/>
    <n v="0"/>
    <n v="0"/>
    <n v="0"/>
    <n v="0"/>
    <n v="0"/>
    <n v="0"/>
    <n v="0"/>
    <n v="0"/>
    <n v="0"/>
    <n v="0"/>
    <n v="0"/>
    <n v="0"/>
    <n v="0"/>
    <n v="0"/>
    <n v="0"/>
    <s v="MMR012CMP038"/>
    <x v="0"/>
    <m/>
  </r>
  <r>
    <x v="155"/>
    <x v="4"/>
    <x v="155"/>
    <x v="19"/>
    <m/>
    <x v="0"/>
    <x v="9"/>
    <s v="Ramree Ward 6"/>
    <n v="97"/>
    <m/>
    <m/>
    <m/>
    <m/>
    <m/>
    <m/>
    <m/>
    <m/>
    <m/>
    <m/>
    <m/>
    <m/>
    <m/>
    <m/>
    <n v="0"/>
    <n v="0"/>
    <n v="0"/>
    <n v="0"/>
    <n v="0"/>
    <n v="0"/>
    <n v="0"/>
    <n v="0"/>
    <n v="0"/>
    <n v="0"/>
    <n v="0"/>
    <n v="0"/>
    <n v="0"/>
    <n v="0"/>
    <n v="0"/>
    <s v="MMR012CMP037"/>
    <x v="0"/>
    <m/>
  </r>
  <r>
    <x v="155"/>
    <x v="4"/>
    <x v="155"/>
    <x v="19"/>
    <m/>
    <x v="0"/>
    <x v="3"/>
    <s v="Taung Paw "/>
    <n v="705"/>
    <m/>
    <m/>
    <m/>
    <m/>
    <m/>
    <m/>
    <m/>
    <m/>
    <m/>
    <m/>
    <m/>
    <m/>
    <m/>
    <m/>
    <n v="0"/>
    <n v="0"/>
    <n v="0"/>
    <n v="0"/>
    <n v="0"/>
    <n v="0"/>
    <n v="0"/>
    <n v="0"/>
    <n v="0"/>
    <n v="0"/>
    <n v="0"/>
    <n v="0"/>
    <n v="0"/>
    <n v="0"/>
    <n v="0"/>
    <s v="MMR012CMP014"/>
    <x v="0"/>
    <m/>
  </r>
  <r>
    <x v="156"/>
    <x v="4"/>
    <x v="156"/>
    <x v="15"/>
    <s v="Save the Children"/>
    <x v="0"/>
    <x v="2"/>
    <s v="Ah Nauk Ywe"/>
    <n v="803"/>
    <m/>
    <m/>
    <m/>
    <m/>
    <m/>
    <m/>
    <m/>
    <m/>
    <m/>
    <m/>
    <m/>
    <m/>
    <m/>
    <m/>
    <n v="0"/>
    <n v="0"/>
    <n v="0"/>
    <n v="0"/>
    <n v="0"/>
    <n v="0"/>
    <n v="0"/>
    <n v="0"/>
    <n v="0"/>
    <n v="0"/>
    <n v="0"/>
    <n v="0"/>
    <n v="0"/>
    <n v="0"/>
    <n v="0"/>
    <s v="MMR012CMP016"/>
    <x v="0"/>
    <m/>
  </r>
  <r>
    <x v="156"/>
    <x v="4"/>
    <x v="156"/>
    <x v="15"/>
    <s v="Save the Children"/>
    <x v="0"/>
    <x v="2"/>
    <s v="Kyein Ni Pyin"/>
    <n v="858"/>
    <m/>
    <m/>
    <m/>
    <m/>
    <m/>
    <m/>
    <m/>
    <m/>
    <m/>
    <m/>
    <m/>
    <m/>
    <m/>
    <m/>
    <n v="0"/>
    <n v="0"/>
    <n v="0"/>
    <n v="0"/>
    <n v="0"/>
    <n v="0"/>
    <n v="0"/>
    <n v="0"/>
    <n v="0"/>
    <n v="0"/>
    <n v="0"/>
    <n v="0"/>
    <n v="0"/>
    <n v="0"/>
    <n v="0"/>
    <s v="MMR012CMP018"/>
    <x v="0"/>
    <m/>
  </r>
  <r>
    <x v="157"/>
    <x v="4"/>
    <x v="157"/>
    <x v="15"/>
    <s v="Save the Children"/>
    <x v="0"/>
    <x v="2"/>
    <s v="Sin Tet Maw"/>
    <n v="810"/>
    <m/>
    <m/>
    <m/>
    <m/>
    <m/>
    <m/>
    <m/>
    <m/>
    <m/>
    <m/>
    <m/>
    <m/>
    <m/>
    <m/>
    <n v="0"/>
    <n v="0"/>
    <n v="0"/>
    <n v="0"/>
    <n v="0"/>
    <n v="0"/>
    <n v="0"/>
    <n v="0"/>
    <n v="0"/>
    <n v="0"/>
    <n v="0"/>
    <n v="0"/>
    <n v="0"/>
    <n v="0"/>
    <n v="0"/>
    <s v="MMR012CMP019"/>
    <x v="0"/>
    <m/>
  </r>
  <r>
    <x v="158"/>
    <x v="4"/>
    <x v="158"/>
    <x v="15"/>
    <s v="Save the Children"/>
    <x v="0"/>
    <x v="0"/>
    <s v="Thet Kae Pyin "/>
    <n v="3100"/>
    <m/>
    <m/>
    <m/>
    <m/>
    <m/>
    <m/>
    <m/>
    <m/>
    <m/>
    <m/>
    <m/>
    <m/>
    <m/>
    <m/>
    <n v="0"/>
    <n v="0"/>
    <n v="0"/>
    <n v="0"/>
    <n v="0"/>
    <n v="0"/>
    <n v="0"/>
    <n v="0"/>
    <n v="0"/>
    <n v="0"/>
    <n v="0"/>
    <n v="0"/>
    <n v="0"/>
    <n v="0"/>
    <n v="0"/>
    <s v="MMR012CMP048"/>
    <x v="0"/>
    <m/>
  </r>
  <r>
    <x v="159"/>
    <x v="4"/>
    <x v="159"/>
    <x v="20"/>
    <s v="UNHCR"/>
    <x v="0"/>
    <x v="0"/>
    <s v="Ohn Taw Gyi 3"/>
    <m/>
    <m/>
    <m/>
    <m/>
    <m/>
    <n v="38"/>
    <m/>
    <m/>
    <m/>
    <m/>
    <m/>
    <m/>
    <m/>
    <m/>
    <m/>
    <n v="0"/>
    <n v="0"/>
    <n v="0"/>
    <n v="0"/>
    <n v="0"/>
    <n v="0"/>
    <n v="0"/>
    <n v="0"/>
    <n v="0"/>
    <n v="0"/>
    <n v="0"/>
    <n v="0"/>
    <n v="0"/>
    <n v="0"/>
    <n v="0"/>
    <s v="MMR012CMP090"/>
    <x v="4"/>
    <m/>
  </r>
  <r>
    <x v="160"/>
    <x v="4"/>
    <x v="160"/>
    <x v="1"/>
    <m/>
    <x v="0"/>
    <x v="8"/>
    <s v="Du Than Dar"/>
    <m/>
    <n v="63"/>
    <m/>
    <n v="126"/>
    <n v="63"/>
    <n v="126"/>
    <n v="63"/>
    <n v="63"/>
    <n v="63"/>
    <m/>
    <n v="126"/>
    <m/>
    <m/>
    <m/>
    <m/>
    <n v="0"/>
    <n v="0"/>
    <n v="0"/>
    <n v="0"/>
    <n v="0"/>
    <n v="0"/>
    <n v="0"/>
    <n v="0"/>
    <n v="0"/>
    <n v="0"/>
    <n v="0"/>
    <n v="0"/>
    <n v="0"/>
    <n v="0"/>
    <n v="0"/>
    <s v="MMR012CMP088"/>
    <x v="0"/>
    <m/>
  </r>
  <r>
    <x v="160"/>
    <x v="4"/>
    <x v="160"/>
    <x v="1"/>
    <m/>
    <x v="0"/>
    <x v="8"/>
    <s v="Du Than Dar"/>
    <m/>
    <m/>
    <n v="63"/>
    <n v="126"/>
    <n v="63"/>
    <n v="0"/>
    <m/>
    <m/>
    <m/>
    <m/>
    <m/>
    <m/>
    <m/>
    <m/>
    <m/>
    <n v="0"/>
    <n v="0"/>
    <n v="0"/>
    <n v="0"/>
    <n v="0"/>
    <n v="0"/>
    <n v="0"/>
    <n v="0"/>
    <n v="0"/>
    <n v="0"/>
    <n v="0"/>
    <n v="0"/>
    <n v="0"/>
    <n v="0"/>
    <n v="0"/>
    <s v="MMR012CMP088"/>
    <x v="0"/>
    <m/>
  </r>
  <r>
    <x v="160"/>
    <x v="4"/>
    <x v="160"/>
    <x v="20"/>
    <s v="UNHCR"/>
    <x v="0"/>
    <x v="0"/>
    <s v="Ohn Taw Gyi 3"/>
    <m/>
    <m/>
    <m/>
    <m/>
    <m/>
    <n v="50"/>
    <m/>
    <m/>
    <m/>
    <m/>
    <m/>
    <m/>
    <m/>
    <m/>
    <m/>
    <n v="0"/>
    <n v="0"/>
    <n v="0"/>
    <n v="0"/>
    <n v="0"/>
    <n v="0"/>
    <n v="0"/>
    <n v="0"/>
    <n v="0"/>
    <n v="0"/>
    <n v="0"/>
    <n v="0"/>
    <n v="0"/>
    <n v="0"/>
    <n v="0"/>
    <s v="MMR012CMP090"/>
    <x v="4"/>
    <m/>
  </r>
  <r>
    <x v="161"/>
    <x v="4"/>
    <x v="161"/>
    <x v="20"/>
    <s v="UNHCR"/>
    <x v="0"/>
    <x v="0"/>
    <s v="Ohn Taw Gyi 3"/>
    <m/>
    <m/>
    <m/>
    <m/>
    <m/>
    <n v="50"/>
    <m/>
    <m/>
    <m/>
    <m/>
    <m/>
    <m/>
    <m/>
    <m/>
    <m/>
    <n v="0"/>
    <n v="0"/>
    <n v="0"/>
    <n v="0"/>
    <n v="0"/>
    <n v="0"/>
    <n v="0"/>
    <n v="0"/>
    <n v="0"/>
    <n v="0"/>
    <n v="0"/>
    <n v="0"/>
    <n v="0"/>
    <n v="0"/>
    <n v="0"/>
    <s v="MMR012CMP090"/>
    <x v="4"/>
    <m/>
  </r>
  <r>
    <x v="162"/>
    <x v="4"/>
    <x v="162"/>
    <x v="1"/>
    <m/>
    <x v="0"/>
    <x v="8"/>
    <s v="Lamber Gone Nah"/>
    <m/>
    <n v="56"/>
    <m/>
    <n v="112"/>
    <n v="56"/>
    <n v="112"/>
    <n v="56"/>
    <n v="56"/>
    <n v="56"/>
    <m/>
    <n v="112"/>
    <m/>
    <m/>
    <m/>
    <m/>
    <n v="0"/>
    <n v="0"/>
    <n v="0"/>
    <n v="0"/>
    <n v="0"/>
    <n v="0"/>
    <n v="0"/>
    <n v="0"/>
    <n v="0"/>
    <n v="0"/>
    <n v="0"/>
    <n v="0"/>
    <n v="0"/>
    <n v="0"/>
    <n v="0"/>
    <s v="MMR012CMP087"/>
    <x v="4"/>
    <m/>
  </r>
  <r>
    <x v="162"/>
    <x v="4"/>
    <x v="162"/>
    <x v="1"/>
    <m/>
    <x v="0"/>
    <x v="8"/>
    <s v="Lamber Gone Nah"/>
    <m/>
    <m/>
    <n v="112"/>
    <n v="112"/>
    <n v="56"/>
    <n v="0"/>
    <m/>
    <m/>
    <m/>
    <m/>
    <m/>
    <m/>
    <m/>
    <m/>
    <m/>
    <n v="0"/>
    <n v="0"/>
    <n v="0"/>
    <n v="0"/>
    <n v="0"/>
    <n v="0"/>
    <n v="0"/>
    <n v="0"/>
    <n v="0"/>
    <n v="0"/>
    <n v="0"/>
    <n v="0"/>
    <n v="0"/>
    <n v="0"/>
    <n v="0"/>
    <s v="MMR012CMP087"/>
    <x v="4"/>
    <m/>
  </r>
  <r>
    <x v="162"/>
    <x v="4"/>
    <x v="162"/>
    <x v="20"/>
    <s v="UNHCR"/>
    <x v="0"/>
    <x v="0"/>
    <s v="Ohn Taw Gyi 3"/>
    <m/>
    <m/>
    <m/>
    <m/>
    <m/>
    <n v="45"/>
    <m/>
    <m/>
    <m/>
    <m/>
    <m/>
    <m/>
    <m/>
    <m/>
    <m/>
    <n v="0"/>
    <n v="0"/>
    <n v="0"/>
    <n v="0"/>
    <n v="0"/>
    <n v="0"/>
    <n v="0"/>
    <n v="0"/>
    <n v="0"/>
    <n v="0"/>
    <n v="0"/>
    <n v="0"/>
    <n v="0"/>
    <n v="0"/>
    <n v="0"/>
    <s v="MMR012CMP090"/>
    <x v="4"/>
    <m/>
  </r>
  <r>
    <x v="163"/>
    <x v="4"/>
    <x v="163"/>
    <x v="20"/>
    <s v="UNHCR"/>
    <x v="0"/>
    <x v="0"/>
    <s v="Ohn Taw Gyi 3"/>
    <m/>
    <m/>
    <m/>
    <m/>
    <m/>
    <n v="50"/>
    <m/>
    <m/>
    <m/>
    <m/>
    <m/>
    <m/>
    <m/>
    <m/>
    <m/>
    <n v="0"/>
    <n v="0"/>
    <n v="0"/>
    <n v="0"/>
    <n v="0"/>
    <n v="0"/>
    <n v="0"/>
    <n v="0"/>
    <n v="0"/>
    <n v="0"/>
    <n v="0"/>
    <n v="0"/>
    <n v="0"/>
    <n v="0"/>
    <n v="0"/>
    <s v="MMR012CMP090"/>
    <x v="4"/>
    <m/>
  </r>
  <r>
    <x v="164"/>
    <x v="4"/>
    <x v="164"/>
    <x v="1"/>
    <m/>
    <x v="0"/>
    <x v="4"/>
    <s v="Ah Htet Nan Yar"/>
    <m/>
    <n v="228"/>
    <m/>
    <n v="456"/>
    <n v="228"/>
    <n v="456"/>
    <n v="228"/>
    <n v="228"/>
    <n v="228"/>
    <m/>
    <n v="456"/>
    <m/>
    <m/>
    <m/>
    <m/>
    <n v="0"/>
    <n v="0"/>
    <n v="0"/>
    <n v="0"/>
    <n v="0"/>
    <n v="0"/>
    <n v="0"/>
    <n v="0"/>
    <n v="0"/>
    <n v="0"/>
    <n v="0"/>
    <n v="0"/>
    <n v="0"/>
    <n v="0"/>
    <n v="0"/>
    <s v="MMR012CMP034"/>
    <x v="0"/>
    <m/>
  </r>
  <r>
    <x v="164"/>
    <x v="4"/>
    <x v="164"/>
    <x v="1"/>
    <m/>
    <x v="0"/>
    <x v="4"/>
    <s v="Ah Htet Nan Yar"/>
    <m/>
    <m/>
    <n v="228"/>
    <n v="443"/>
    <n v="228"/>
    <n v="0"/>
    <m/>
    <m/>
    <m/>
    <m/>
    <m/>
    <m/>
    <m/>
    <m/>
    <m/>
    <n v="0"/>
    <n v="0"/>
    <n v="0"/>
    <n v="0"/>
    <n v="0"/>
    <n v="0"/>
    <n v="0"/>
    <n v="0"/>
    <n v="0"/>
    <n v="0"/>
    <n v="0"/>
    <n v="0"/>
    <n v="0"/>
    <n v="0"/>
    <n v="0"/>
    <s v="MMR012CMP034"/>
    <x v="0"/>
    <m/>
  </r>
  <r>
    <x v="164"/>
    <x v="4"/>
    <x v="164"/>
    <x v="1"/>
    <m/>
    <x v="0"/>
    <x v="8"/>
    <s v="Myoma Myauk"/>
    <m/>
    <n v="93"/>
    <m/>
    <n v="186"/>
    <n v="93"/>
    <n v="186"/>
    <n v="93"/>
    <n v="93"/>
    <n v="93"/>
    <m/>
    <n v="186"/>
    <m/>
    <m/>
    <m/>
    <m/>
    <n v="0"/>
    <n v="0"/>
    <n v="0"/>
    <n v="0"/>
    <n v="0"/>
    <n v="0"/>
    <n v="0"/>
    <n v="0"/>
    <n v="0"/>
    <n v="0"/>
    <n v="0"/>
    <n v="0"/>
    <n v="0"/>
    <n v="0"/>
    <n v="0"/>
    <s v=""/>
    <x v="3"/>
    <m/>
  </r>
  <r>
    <x v="164"/>
    <x v="4"/>
    <x v="164"/>
    <x v="1"/>
    <m/>
    <x v="0"/>
    <x v="8"/>
    <s v="Myoma Myauk"/>
    <m/>
    <m/>
    <n v="186"/>
    <n v="186"/>
    <n v="93"/>
    <n v="0"/>
    <m/>
    <m/>
    <m/>
    <m/>
    <m/>
    <m/>
    <m/>
    <m/>
    <m/>
    <n v="0"/>
    <n v="0"/>
    <n v="0"/>
    <n v="0"/>
    <n v="0"/>
    <n v="0"/>
    <n v="0"/>
    <n v="0"/>
    <n v="0"/>
    <n v="0"/>
    <n v="0"/>
    <n v="0"/>
    <n v="0"/>
    <n v="0"/>
    <n v="0"/>
    <s v=""/>
    <x v="3"/>
    <m/>
  </r>
  <r>
    <x v="165"/>
    <x v="4"/>
    <x v="165"/>
    <x v="2"/>
    <s v="CDN"/>
    <x v="0"/>
    <x v="0"/>
    <s v="Basare"/>
    <n v="20"/>
    <m/>
    <m/>
    <m/>
    <m/>
    <m/>
    <m/>
    <m/>
    <m/>
    <m/>
    <m/>
    <m/>
    <m/>
    <m/>
    <m/>
    <n v="0"/>
    <n v="0"/>
    <n v="0"/>
    <n v="0"/>
    <n v="0"/>
    <n v="0"/>
    <n v="0"/>
    <n v="0"/>
    <n v="0"/>
    <n v="0"/>
    <n v="0"/>
    <n v="0"/>
    <n v="0"/>
    <n v="0"/>
    <n v="0"/>
    <s v="MMR012CMP039"/>
    <x v="0"/>
    <m/>
  </r>
  <r>
    <x v="165"/>
    <x v="4"/>
    <x v="165"/>
    <x v="0"/>
    <s v="Solidarities International"/>
    <x v="0"/>
    <x v="0"/>
    <s v="Baw Du Pha"/>
    <n v="4390"/>
    <m/>
    <m/>
    <m/>
    <m/>
    <m/>
    <m/>
    <m/>
    <m/>
    <m/>
    <m/>
    <m/>
    <m/>
    <m/>
    <m/>
    <n v="0"/>
    <n v="0"/>
    <n v="0"/>
    <n v="0"/>
    <n v="0"/>
    <n v="0"/>
    <n v="0"/>
    <n v="0"/>
    <n v="0"/>
    <n v="0"/>
    <n v="0"/>
    <n v="0"/>
    <n v="0"/>
    <n v="0"/>
    <n v="0"/>
    <s v="MMR012CMP040"/>
    <x v="4"/>
    <m/>
  </r>
  <r>
    <x v="165"/>
    <x v="4"/>
    <x v="165"/>
    <x v="0"/>
    <s v="Solidarities International"/>
    <x v="0"/>
    <x v="0"/>
    <s v="Dar Pai"/>
    <n v="3758"/>
    <m/>
    <m/>
    <m/>
    <m/>
    <m/>
    <m/>
    <m/>
    <m/>
    <m/>
    <m/>
    <m/>
    <m/>
    <m/>
    <m/>
    <n v="0"/>
    <n v="0"/>
    <n v="0"/>
    <n v="0"/>
    <n v="0"/>
    <n v="0"/>
    <n v="0"/>
    <n v="0"/>
    <n v="0"/>
    <n v="0"/>
    <n v="0"/>
    <n v="0"/>
    <n v="0"/>
    <n v="0"/>
    <n v="0"/>
    <s v="MMR012CMP041"/>
    <x v="0"/>
    <m/>
  </r>
  <r>
    <x v="165"/>
    <x v="4"/>
    <x v="165"/>
    <x v="2"/>
    <s v="CDN"/>
    <x v="0"/>
    <x v="0"/>
    <s v="Khaung Doke Khar "/>
    <n v="722"/>
    <m/>
    <m/>
    <m/>
    <m/>
    <m/>
    <m/>
    <m/>
    <m/>
    <m/>
    <m/>
    <m/>
    <m/>
    <m/>
    <m/>
    <n v="0"/>
    <n v="0"/>
    <n v="0"/>
    <n v="0"/>
    <n v="0"/>
    <n v="0"/>
    <n v="0"/>
    <n v="0"/>
    <n v="0"/>
    <n v="0"/>
    <n v="0"/>
    <n v="0"/>
    <n v="0"/>
    <n v="0"/>
    <n v="0"/>
    <s v="MMR012CMP042"/>
    <x v="0"/>
    <m/>
  </r>
  <r>
    <x v="165"/>
    <x v="4"/>
    <x v="165"/>
    <x v="21"/>
    <s v="ABCD"/>
    <x v="0"/>
    <x v="0"/>
    <s v="Mingan"/>
    <n v="80"/>
    <m/>
    <m/>
    <m/>
    <m/>
    <m/>
    <m/>
    <m/>
    <m/>
    <m/>
    <m/>
    <m/>
    <m/>
    <m/>
    <m/>
    <n v="0"/>
    <n v="0"/>
    <n v="0"/>
    <n v="0"/>
    <n v="0"/>
    <n v="0"/>
    <n v="0"/>
    <n v="0"/>
    <n v="0"/>
    <n v="0"/>
    <n v="0"/>
    <n v="0"/>
    <n v="0"/>
    <n v="0"/>
    <n v="0"/>
    <s v="MMR012CMP054"/>
    <x v="4"/>
    <m/>
  </r>
  <r>
    <x v="165"/>
    <x v="4"/>
    <x v="165"/>
    <x v="21"/>
    <s v="ABCD"/>
    <x v="0"/>
    <x v="6"/>
    <s v="Myat Buddha Mandine Monastery"/>
    <n v="50"/>
    <m/>
    <m/>
    <m/>
    <m/>
    <m/>
    <m/>
    <m/>
    <m/>
    <m/>
    <m/>
    <m/>
    <m/>
    <m/>
    <m/>
    <n v="0"/>
    <n v="0"/>
    <n v="0"/>
    <n v="0"/>
    <n v="0"/>
    <n v="0"/>
    <n v="0"/>
    <n v="0"/>
    <n v="0"/>
    <n v="0"/>
    <n v="0"/>
    <n v="0"/>
    <n v="0"/>
    <n v="0"/>
    <n v="0"/>
    <s v="MMR012CMP011"/>
    <x v="4"/>
    <m/>
  </r>
  <r>
    <x v="165"/>
    <x v="4"/>
    <x v="165"/>
    <x v="21"/>
    <s v="ABCD"/>
    <x v="0"/>
    <x v="0"/>
    <s v="Set Yone Su"/>
    <n v="220"/>
    <m/>
    <m/>
    <m/>
    <m/>
    <m/>
    <m/>
    <m/>
    <m/>
    <m/>
    <m/>
    <m/>
    <m/>
    <m/>
    <m/>
    <n v="0"/>
    <n v="0"/>
    <n v="0"/>
    <n v="0"/>
    <n v="0"/>
    <n v="0"/>
    <n v="0"/>
    <n v="0"/>
    <n v="0"/>
    <n v="0"/>
    <n v="0"/>
    <n v="0"/>
    <n v="0"/>
    <n v="0"/>
    <n v="0"/>
    <s v="MMR012CMP056"/>
    <x v="1"/>
    <m/>
  </r>
  <r>
    <x v="165"/>
    <x v="4"/>
    <x v="165"/>
    <x v="0"/>
    <s v="Solidarities International"/>
    <x v="0"/>
    <x v="0"/>
    <s v="Set Yone Su"/>
    <n v="220"/>
    <m/>
    <m/>
    <m/>
    <m/>
    <m/>
    <m/>
    <m/>
    <m/>
    <m/>
    <m/>
    <m/>
    <m/>
    <m/>
    <m/>
    <n v="0"/>
    <n v="0"/>
    <n v="0"/>
    <n v="0"/>
    <n v="0"/>
    <n v="0"/>
    <n v="0"/>
    <n v="0"/>
    <n v="0"/>
    <n v="0"/>
    <n v="0"/>
    <n v="0"/>
    <n v="0"/>
    <n v="0"/>
    <n v="0"/>
    <s v="MMR012CMP056"/>
    <x v="1"/>
    <m/>
  </r>
  <r>
    <x v="165"/>
    <x v="4"/>
    <x v="165"/>
    <x v="0"/>
    <s v="Solidarities International"/>
    <x v="0"/>
    <x v="0"/>
    <s v="Thae Chaung"/>
    <n v="2939"/>
    <m/>
    <m/>
    <m/>
    <m/>
    <m/>
    <m/>
    <m/>
    <m/>
    <m/>
    <m/>
    <m/>
    <m/>
    <m/>
    <m/>
    <n v="0"/>
    <n v="0"/>
    <n v="0"/>
    <n v="0"/>
    <n v="0"/>
    <n v="0"/>
    <n v="0"/>
    <n v="0"/>
    <n v="0"/>
    <n v="0"/>
    <n v="0"/>
    <n v="0"/>
    <n v="0"/>
    <n v="0"/>
    <n v="0"/>
    <s v="MMR012CMP046"/>
    <x v="0"/>
    <m/>
  </r>
  <r>
    <x v="166"/>
    <x v="5"/>
    <x v="166"/>
    <x v="1"/>
    <m/>
    <x v="0"/>
    <x v="2"/>
    <s v="Ah Nauk Ywe"/>
    <m/>
    <m/>
    <m/>
    <m/>
    <n v="758"/>
    <m/>
    <m/>
    <m/>
    <m/>
    <m/>
    <m/>
    <m/>
    <m/>
    <m/>
    <m/>
    <n v="0"/>
    <n v="0"/>
    <n v="0"/>
    <n v="0"/>
    <n v="0"/>
    <n v="0"/>
    <n v="0"/>
    <n v="0"/>
    <n v="0"/>
    <n v="0"/>
    <n v="0"/>
    <n v="0"/>
    <n v="0"/>
    <n v="0"/>
    <n v="0"/>
    <s v="MMR012CMP016"/>
    <x v="0"/>
    <m/>
  </r>
  <r>
    <x v="166"/>
    <x v="5"/>
    <x v="166"/>
    <x v="1"/>
    <m/>
    <x v="0"/>
    <x v="2"/>
    <s v="Nget Chaung"/>
    <m/>
    <m/>
    <m/>
    <m/>
    <n v="1306"/>
    <m/>
    <m/>
    <m/>
    <m/>
    <m/>
    <m/>
    <m/>
    <m/>
    <m/>
    <m/>
    <n v="0"/>
    <n v="0"/>
    <n v="0"/>
    <n v="0"/>
    <n v="0"/>
    <n v="0"/>
    <n v="0"/>
    <n v="0"/>
    <n v="0"/>
    <n v="0"/>
    <n v="0"/>
    <n v="0"/>
    <n v="0"/>
    <n v="0"/>
    <n v="0"/>
    <s v=""/>
    <x v="3"/>
    <m/>
  </r>
  <r>
    <x v="166"/>
    <x v="5"/>
    <x v="166"/>
    <x v="1"/>
    <m/>
    <x v="0"/>
    <x v="2"/>
    <s v="Sin Tet Maw"/>
    <m/>
    <m/>
    <m/>
    <m/>
    <n v="796"/>
    <m/>
    <m/>
    <m/>
    <m/>
    <m/>
    <m/>
    <m/>
    <m/>
    <m/>
    <m/>
    <n v="0"/>
    <n v="0"/>
    <n v="0"/>
    <n v="0"/>
    <n v="0"/>
    <n v="0"/>
    <n v="0"/>
    <n v="0"/>
    <n v="0"/>
    <n v="0"/>
    <n v="0"/>
    <n v="0"/>
    <n v="0"/>
    <n v="0"/>
    <n v="0"/>
    <s v="MMR012CMP019"/>
    <x v="0"/>
    <m/>
  </r>
  <r>
    <x v="167"/>
    <x v="5"/>
    <x v="167"/>
    <x v="1"/>
    <m/>
    <x v="0"/>
    <x v="8"/>
    <m/>
    <m/>
    <m/>
    <n v="3000"/>
    <m/>
    <m/>
    <m/>
    <m/>
    <m/>
    <m/>
    <m/>
    <m/>
    <m/>
    <m/>
    <m/>
    <m/>
    <n v="0"/>
    <n v="0"/>
    <n v="0"/>
    <n v="0"/>
    <n v="0"/>
    <n v="0"/>
    <n v="0"/>
    <n v="0"/>
    <n v="0"/>
    <n v="0"/>
    <n v="0"/>
    <n v="0"/>
    <n v="0"/>
    <n v="0"/>
    <n v="0"/>
    <s v=""/>
    <x v="3"/>
    <m/>
  </r>
  <r>
    <x v="167"/>
    <x v="5"/>
    <x v="167"/>
    <x v="1"/>
    <m/>
    <x v="0"/>
    <x v="8"/>
    <m/>
    <m/>
    <m/>
    <m/>
    <m/>
    <n v="1180"/>
    <m/>
    <m/>
    <m/>
    <m/>
    <m/>
    <m/>
    <m/>
    <m/>
    <m/>
    <m/>
    <n v="0"/>
    <n v="0"/>
    <n v="0"/>
    <n v="0"/>
    <n v="0"/>
    <n v="0"/>
    <n v="0"/>
    <n v="0"/>
    <n v="0"/>
    <n v="0"/>
    <n v="0"/>
    <n v="0"/>
    <n v="0"/>
    <n v="0"/>
    <n v="0"/>
    <s v=""/>
    <x v="3"/>
    <m/>
  </r>
  <r>
    <x v="168"/>
    <x v="5"/>
    <x v="168"/>
    <x v="1"/>
    <m/>
    <x v="0"/>
    <x v="1"/>
    <s v="Nidin"/>
    <m/>
    <m/>
    <m/>
    <n v="160"/>
    <n v="80"/>
    <n v="160"/>
    <n v="80"/>
    <n v="80"/>
    <m/>
    <m/>
    <m/>
    <m/>
    <m/>
    <m/>
    <m/>
    <n v="0"/>
    <n v="0"/>
    <n v="0"/>
    <n v="0"/>
    <n v="0"/>
    <n v="0"/>
    <n v="0"/>
    <n v="0"/>
    <n v="0"/>
    <n v="0"/>
    <n v="0"/>
    <n v="0"/>
    <n v="0"/>
    <n v="0"/>
    <n v="0"/>
    <s v="MMR012CMP023"/>
    <x v="0"/>
    <m/>
  </r>
  <r>
    <x v="168"/>
    <x v="5"/>
    <x v="168"/>
    <x v="1"/>
    <m/>
    <x v="0"/>
    <x v="1"/>
    <s v="Taung Bwe"/>
    <m/>
    <m/>
    <m/>
    <n v="174"/>
    <m/>
    <n v="174"/>
    <m/>
    <m/>
    <m/>
    <m/>
    <m/>
    <m/>
    <m/>
    <m/>
    <m/>
    <n v="0"/>
    <n v="0"/>
    <n v="0"/>
    <n v="0"/>
    <n v="0"/>
    <n v="0"/>
    <n v="0"/>
    <n v="0"/>
    <n v="0"/>
    <n v="0"/>
    <n v="0"/>
    <n v="0"/>
    <n v="0"/>
    <n v="0"/>
    <n v="0"/>
    <s v="MMR012CMP021"/>
    <x v="2"/>
    <m/>
  </r>
  <r>
    <x v="169"/>
    <x v="5"/>
    <x v="169"/>
    <x v="1"/>
    <m/>
    <x v="0"/>
    <x v="3"/>
    <s v="Taung Paw "/>
    <m/>
    <m/>
    <m/>
    <n v="632"/>
    <m/>
    <n v="632"/>
    <m/>
    <m/>
    <m/>
    <m/>
    <m/>
    <m/>
    <m/>
    <m/>
    <m/>
    <n v="0"/>
    <n v="0"/>
    <n v="0"/>
    <n v="0"/>
    <n v="0"/>
    <n v="0"/>
    <n v="0"/>
    <n v="0"/>
    <n v="0"/>
    <n v="0"/>
    <n v="0"/>
    <n v="0"/>
    <n v="0"/>
    <n v="0"/>
    <n v="0"/>
    <s v="MMR012CMP014"/>
    <x v="0"/>
    <m/>
  </r>
  <r>
    <x v="169"/>
    <x v="5"/>
    <x v="169"/>
    <x v="1"/>
    <m/>
    <x v="0"/>
    <x v="6"/>
    <s v="Tha Dar"/>
    <m/>
    <m/>
    <m/>
    <n v="406"/>
    <m/>
    <m/>
    <m/>
    <m/>
    <m/>
    <m/>
    <m/>
    <m/>
    <m/>
    <m/>
    <m/>
    <n v="0"/>
    <n v="0"/>
    <n v="0"/>
    <n v="0"/>
    <n v="0"/>
    <n v="0"/>
    <n v="0"/>
    <n v="0"/>
    <n v="0"/>
    <n v="0"/>
    <n v="0"/>
    <n v="0"/>
    <n v="0"/>
    <n v="0"/>
    <n v="0"/>
    <s v="MMR012CMP002"/>
    <x v="2"/>
    <m/>
  </r>
  <r>
    <x v="170"/>
    <x v="5"/>
    <x v="170"/>
    <x v="20"/>
    <s v="UNHCR"/>
    <x v="0"/>
    <x v="0"/>
    <s v="Hmanzi Junction"/>
    <m/>
    <m/>
    <m/>
    <m/>
    <m/>
    <n v="49"/>
    <m/>
    <m/>
    <m/>
    <m/>
    <m/>
    <m/>
    <m/>
    <m/>
    <m/>
    <n v="0"/>
    <n v="0"/>
    <n v="0"/>
    <n v="0"/>
    <n v="0"/>
    <n v="0"/>
    <n v="0"/>
    <n v="0"/>
    <n v="0"/>
    <n v="0"/>
    <n v="0"/>
    <n v="0"/>
    <n v="0"/>
    <n v="0"/>
    <n v="0"/>
    <s v="MMR012CMP049"/>
    <x v="4"/>
    <m/>
  </r>
  <r>
    <x v="170"/>
    <x v="5"/>
    <x v="170"/>
    <x v="20"/>
    <s v="UNHCR"/>
    <x v="0"/>
    <x v="0"/>
    <s v="Hmanzi Junction"/>
    <m/>
    <m/>
    <m/>
    <m/>
    <m/>
    <n v="11"/>
    <m/>
    <m/>
    <m/>
    <m/>
    <m/>
    <m/>
    <m/>
    <m/>
    <m/>
    <n v="0"/>
    <n v="0"/>
    <n v="0"/>
    <n v="0"/>
    <n v="0"/>
    <n v="0"/>
    <n v="0"/>
    <n v="0"/>
    <n v="0"/>
    <n v="0"/>
    <n v="0"/>
    <n v="0"/>
    <n v="0"/>
    <n v="0"/>
    <n v="0"/>
    <s v="MMR012CMP049"/>
    <x v="4"/>
    <m/>
  </r>
  <r>
    <x v="171"/>
    <x v="5"/>
    <x v="171"/>
    <x v="1"/>
    <m/>
    <x v="0"/>
    <x v="6"/>
    <s v="Aung Taing"/>
    <m/>
    <m/>
    <m/>
    <n v="172"/>
    <m/>
    <m/>
    <m/>
    <m/>
    <m/>
    <m/>
    <m/>
    <m/>
    <m/>
    <m/>
    <m/>
    <n v="0"/>
    <n v="0"/>
    <n v="0"/>
    <n v="0"/>
    <n v="0"/>
    <n v="0"/>
    <n v="0"/>
    <n v="0"/>
    <n v="0"/>
    <n v="0"/>
    <n v="0"/>
    <n v="0"/>
    <n v="0"/>
    <n v="0"/>
    <n v="0"/>
    <s v="MMR012CMP006"/>
    <x v="2"/>
    <m/>
  </r>
  <r>
    <x v="171"/>
    <x v="5"/>
    <x v="171"/>
    <x v="1"/>
    <m/>
    <x v="0"/>
    <x v="6"/>
    <s v="Nagara Pauktaw"/>
    <m/>
    <m/>
    <m/>
    <m/>
    <m/>
    <n v="156"/>
    <m/>
    <m/>
    <m/>
    <m/>
    <m/>
    <m/>
    <m/>
    <m/>
    <m/>
    <n v="0"/>
    <n v="0"/>
    <n v="0"/>
    <n v="0"/>
    <n v="0"/>
    <n v="0"/>
    <n v="0"/>
    <n v="0"/>
    <n v="0"/>
    <n v="0"/>
    <n v="0"/>
    <n v="0"/>
    <n v="0"/>
    <n v="0"/>
    <n v="0"/>
    <s v="MMR012CMP004"/>
    <x v="4"/>
    <m/>
  </r>
  <r>
    <x v="171"/>
    <x v="5"/>
    <x v="171"/>
    <x v="1"/>
    <m/>
    <x v="0"/>
    <x v="7"/>
    <s v="Pa Rein"/>
    <m/>
    <m/>
    <m/>
    <n v="240"/>
    <m/>
    <m/>
    <m/>
    <m/>
    <m/>
    <m/>
    <m/>
    <m/>
    <m/>
    <m/>
    <m/>
    <n v="0"/>
    <n v="0"/>
    <n v="0"/>
    <n v="0"/>
    <n v="0"/>
    <n v="0"/>
    <n v="0"/>
    <n v="0"/>
    <n v="0"/>
    <n v="0"/>
    <n v="0"/>
    <n v="0"/>
    <n v="0"/>
    <n v="0"/>
    <n v="0"/>
    <s v="MMR012CMP009"/>
    <x v="2"/>
    <m/>
  </r>
  <r>
    <x v="171"/>
    <x v="5"/>
    <x v="171"/>
    <x v="1"/>
    <m/>
    <x v="0"/>
    <x v="6"/>
    <s v="Sam Ba Le"/>
    <m/>
    <m/>
    <m/>
    <n v="200"/>
    <m/>
    <m/>
    <m/>
    <m/>
    <m/>
    <m/>
    <m/>
    <m/>
    <m/>
    <m/>
    <m/>
    <n v="0"/>
    <n v="0"/>
    <n v="0"/>
    <n v="0"/>
    <n v="0"/>
    <n v="0"/>
    <n v="0"/>
    <n v="0"/>
    <n v="0"/>
    <n v="0"/>
    <n v="0"/>
    <n v="0"/>
    <n v="0"/>
    <n v="0"/>
    <n v="0"/>
    <s v="MMR012CMP008"/>
    <x v="2"/>
    <m/>
  </r>
  <r>
    <x v="171"/>
    <x v="5"/>
    <x v="171"/>
    <x v="1"/>
    <m/>
    <x v="0"/>
    <x v="6"/>
    <s v="San Htoe Tan"/>
    <m/>
    <m/>
    <m/>
    <m/>
    <m/>
    <m/>
    <n v="86"/>
    <m/>
    <m/>
    <m/>
    <m/>
    <m/>
    <m/>
    <m/>
    <m/>
    <n v="0"/>
    <n v="0"/>
    <n v="0"/>
    <n v="0"/>
    <n v="0"/>
    <n v="0"/>
    <n v="0"/>
    <n v="0"/>
    <n v="0"/>
    <n v="0"/>
    <n v="0"/>
    <n v="0"/>
    <n v="0"/>
    <n v="0"/>
    <n v="0"/>
    <s v="MMR012CMP003"/>
    <x v="2"/>
    <m/>
  </r>
  <r>
    <x v="171"/>
    <x v="5"/>
    <x v="171"/>
    <x v="1"/>
    <m/>
    <x v="0"/>
    <x v="6"/>
    <s v="Tha Dar"/>
    <m/>
    <m/>
    <m/>
    <m/>
    <m/>
    <n v="406"/>
    <m/>
    <m/>
    <m/>
    <m/>
    <m/>
    <m/>
    <m/>
    <m/>
    <m/>
    <n v="0"/>
    <n v="0"/>
    <n v="0"/>
    <n v="0"/>
    <n v="0"/>
    <n v="0"/>
    <n v="0"/>
    <n v="0"/>
    <n v="0"/>
    <n v="0"/>
    <n v="0"/>
    <n v="0"/>
    <n v="0"/>
    <n v="0"/>
    <n v="0"/>
    <s v="MMR012CMP002"/>
    <x v="2"/>
    <m/>
  </r>
  <r>
    <x v="172"/>
    <x v="5"/>
    <x v="172"/>
    <x v="20"/>
    <s v="UNHCR"/>
    <x v="0"/>
    <x v="0"/>
    <s v="Hmanzi Junction"/>
    <m/>
    <m/>
    <m/>
    <m/>
    <m/>
    <n v="55"/>
    <m/>
    <m/>
    <m/>
    <m/>
    <m/>
    <m/>
    <m/>
    <m/>
    <m/>
    <n v="0"/>
    <n v="0"/>
    <n v="0"/>
    <n v="0"/>
    <n v="0"/>
    <n v="0"/>
    <n v="0"/>
    <n v="0"/>
    <n v="0"/>
    <n v="0"/>
    <n v="0"/>
    <n v="0"/>
    <n v="0"/>
    <n v="0"/>
    <n v="0"/>
    <s v="MMR012CMP049"/>
    <x v="4"/>
    <m/>
  </r>
  <r>
    <x v="173"/>
    <x v="5"/>
    <x v="173"/>
    <x v="1"/>
    <m/>
    <x v="0"/>
    <x v="1"/>
    <s v="Ah Lel Kyun"/>
    <m/>
    <m/>
    <m/>
    <n v="180"/>
    <m/>
    <n v="180"/>
    <n v="90"/>
    <m/>
    <m/>
    <m/>
    <m/>
    <m/>
    <m/>
    <m/>
    <m/>
    <n v="0"/>
    <n v="0"/>
    <n v="0"/>
    <n v="0"/>
    <n v="0"/>
    <n v="0"/>
    <n v="0"/>
    <n v="0"/>
    <n v="0"/>
    <n v="0"/>
    <n v="0"/>
    <n v="0"/>
    <n v="0"/>
    <n v="0"/>
    <n v="0"/>
    <s v="MMR012CMP025"/>
    <x v="2"/>
    <m/>
  </r>
  <r>
    <x v="173"/>
    <x v="5"/>
    <x v="173"/>
    <x v="1"/>
    <m/>
    <x v="0"/>
    <x v="1"/>
    <s v="Ah Pauk Wa "/>
    <m/>
    <m/>
    <m/>
    <m/>
    <m/>
    <m/>
    <m/>
    <n v="90"/>
    <m/>
    <m/>
    <m/>
    <m/>
    <m/>
    <m/>
    <m/>
    <n v="0"/>
    <n v="0"/>
    <n v="0"/>
    <n v="0"/>
    <n v="0"/>
    <n v="0"/>
    <n v="0"/>
    <n v="0"/>
    <n v="0"/>
    <n v="0"/>
    <n v="0"/>
    <n v="0"/>
    <n v="0"/>
    <n v="0"/>
    <n v="0"/>
    <s v="MMR012CMP024"/>
    <x v="2"/>
    <m/>
  </r>
  <r>
    <x v="173"/>
    <x v="5"/>
    <x v="173"/>
    <x v="1"/>
    <m/>
    <x v="0"/>
    <x v="0"/>
    <s v="Basare"/>
    <m/>
    <m/>
    <n v="302"/>
    <m/>
    <m/>
    <m/>
    <m/>
    <m/>
    <m/>
    <m/>
    <m/>
    <m/>
    <m/>
    <m/>
    <m/>
    <n v="0"/>
    <n v="0"/>
    <n v="0"/>
    <n v="0"/>
    <n v="0"/>
    <n v="0"/>
    <n v="0"/>
    <n v="0"/>
    <n v="0"/>
    <n v="0"/>
    <n v="0"/>
    <n v="0"/>
    <n v="0"/>
    <n v="0"/>
    <n v="0"/>
    <s v="MMR012CMP039"/>
    <x v="0"/>
    <m/>
  </r>
  <r>
    <x v="173"/>
    <x v="5"/>
    <x v="173"/>
    <x v="1"/>
    <m/>
    <x v="0"/>
    <x v="0"/>
    <s v="Baw Du Pha"/>
    <m/>
    <m/>
    <n v="2142"/>
    <m/>
    <m/>
    <m/>
    <m/>
    <m/>
    <m/>
    <m/>
    <m/>
    <m/>
    <m/>
    <m/>
    <m/>
    <n v="0"/>
    <n v="0"/>
    <n v="0"/>
    <n v="0"/>
    <n v="0"/>
    <n v="0"/>
    <n v="0"/>
    <n v="0"/>
    <n v="0"/>
    <n v="0"/>
    <n v="0"/>
    <n v="0"/>
    <n v="0"/>
    <n v="0"/>
    <n v="0"/>
    <s v="MMR012CMP040"/>
    <x v="4"/>
    <m/>
  </r>
  <r>
    <x v="173"/>
    <x v="5"/>
    <x v="173"/>
    <x v="1"/>
    <m/>
    <x v="0"/>
    <x v="0"/>
    <s v="Dar Pai"/>
    <m/>
    <m/>
    <n v="1707"/>
    <m/>
    <m/>
    <m/>
    <m/>
    <m/>
    <m/>
    <m/>
    <m/>
    <m/>
    <m/>
    <m/>
    <m/>
    <n v="0"/>
    <n v="0"/>
    <n v="0"/>
    <n v="0"/>
    <n v="0"/>
    <n v="0"/>
    <n v="0"/>
    <n v="0"/>
    <n v="0"/>
    <n v="0"/>
    <n v="0"/>
    <n v="0"/>
    <n v="0"/>
    <n v="0"/>
    <n v="0"/>
    <s v="MMR012CMP041"/>
    <x v="0"/>
    <m/>
  </r>
  <r>
    <x v="173"/>
    <x v="5"/>
    <x v="173"/>
    <x v="1"/>
    <m/>
    <x v="0"/>
    <x v="1"/>
    <s v="Goke Pi Htaunt"/>
    <m/>
    <m/>
    <m/>
    <n v="232"/>
    <m/>
    <n v="232"/>
    <n v="105"/>
    <n v="116"/>
    <m/>
    <m/>
    <m/>
    <m/>
    <m/>
    <m/>
    <m/>
    <n v="0"/>
    <n v="0"/>
    <n v="0"/>
    <n v="0"/>
    <n v="0"/>
    <n v="0"/>
    <n v="0"/>
    <n v="0"/>
    <n v="0"/>
    <n v="0"/>
    <n v="0"/>
    <n v="0"/>
    <n v="0"/>
    <n v="0"/>
    <n v="0"/>
    <s v="MMR012CMP027"/>
    <x v="2"/>
    <m/>
  </r>
  <r>
    <x v="173"/>
    <x v="5"/>
    <x v="173"/>
    <x v="1"/>
    <m/>
    <x v="0"/>
    <x v="1"/>
    <s v="In Bar Yi"/>
    <m/>
    <m/>
    <m/>
    <n v="460"/>
    <m/>
    <n v="460"/>
    <n v="145"/>
    <m/>
    <m/>
    <m/>
    <m/>
    <m/>
    <m/>
    <m/>
    <m/>
    <n v="0"/>
    <n v="0"/>
    <n v="0"/>
    <n v="0"/>
    <n v="0"/>
    <n v="0"/>
    <n v="0"/>
    <n v="0"/>
    <n v="0"/>
    <n v="0"/>
    <n v="0"/>
    <n v="0"/>
    <n v="0"/>
    <n v="0"/>
    <n v="0"/>
    <s v="MMR012CMP026"/>
    <x v="2"/>
    <m/>
  </r>
  <r>
    <x v="173"/>
    <x v="5"/>
    <x v="173"/>
    <x v="1"/>
    <m/>
    <x v="0"/>
    <x v="0"/>
    <s v="Khaung Doke Khar "/>
    <m/>
    <m/>
    <n v="310"/>
    <m/>
    <m/>
    <m/>
    <m/>
    <m/>
    <m/>
    <m/>
    <m/>
    <m/>
    <m/>
    <m/>
    <m/>
    <n v="0"/>
    <n v="0"/>
    <n v="0"/>
    <n v="0"/>
    <n v="0"/>
    <n v="0"/>
    <n v="0"/>
    <n v="0"/>
    <n v="0"/>
    <n v="0"/>
    <n v="0"/>
    <n v="0"/>
    <n v="0"/>
    <n v="0"/>
    <n v="0"/>
    <s v="MMR012CMP042"/>
    <x v="0"/>
    <m/>
  </r>
  <r>
    <x v="173"/>
    <x v="5"/>
    <x v="173"/>
    <x v="1"/>
    <m/>
    <x v="0"/>
    <x v="1"/>
    <s v="Let Saung Kauk"/>
    <m/>
    <m/>
    <m/>
    <n v="36"/>
    <m/>
    <n v="36"/>
    <n v="18"/>
    <n v="18"/>
    <m/>
    <m/>
    <m/>
    <m/>
    <m/>
    <m/>
    <m/>
    <n v="0"/>
    <n v="0"/>
    <n v="0"/>
    <n v="0"/>
    <n v="0"/>
    <n v="0"/>
    <n v="0"/>
    <n v="0"/>
    <n v="0"/>
    <n v="0"/>
    <n v="0"/>
    <n v="0"/>
    <n v="0"/>
    <n v="0"/>
    <n v="0"/>
    <s v="MMR012CMP020"/>
    <x v="2"/>
    <m/>
  </r>
  <r>
    <x v="173"/>
    <x v="5"/>
    <x v="173"/>
    <x v="1"/>
    <m/>
    <x v="0"/>
    <x v="0"/>
    <s v="Ohn Taw Gyi 1"/>
    <m/>
    <m/>
    <n v="65"/>
    <m/>
    <m/>
    <m/>
    <m/>
    <m/>
    <m/>
    <m/>
    <m/>
    <m/>
    <m/>
    <m/>
    <m/>
    <n v="0"/>
    <n v="0"/>
    <n v="0"/>
    <n v="0"/>
    <n v="0"/>
    <n v="0"/>
    <n v="0"/>
    <n v="0"/>
    <n v="0"/>
    <n v="0"/>
    <n v="0"/>
    <n v="0"/>
    <n v="0"/>
    <n v="0"/>
    <n v="0"/>
    <s v="MMR012CMP043"/>
    <x v="4"/>
    <m/>
  </r>
  <r>
    <x v="173"/>
    <x v="5"/>
    <x v="173"/>
    <x v="1"/>
    <m/>
    <x v="0"/>
    <x v="6"/>
    <s v="Paik Thay"/>
    <m/>
    <m/>
    <m/>
    <n v="38"/>
    <m/>
    <n v="38"/>
    <n v="19"/>
    <m/>
    <m/>
    <m/>
    <m/>
    <m/>
    <m/>
    <m/>
    <m/>
    <n v="0"/>
    <n v="0"/>
    <n v="0"/>
    <n v="0"/>
    <n v="0"/>
    <n v="0"/>
    <n v="0"/>
    <n v="0"/>
    <n v="0"/>
    <n v="0"/>
    <n v="0"/>
    <n v="0"/>
    <n v="0"/>
    <n v="0"/>
    <n v="0"/>
    <s v="MMR012CMP001"/>
    <x v="2"/>
    <m/>
  </r>
  <r>
    <x v="173"/>
    <x v="5"/>
    <x v="173"/>
    <x v="1"/>
    <m/>
    <x v="0"/>
    <x v="0"/>
    <s v="Phwe Yar Kone"/>
    <m/>
    <m/>
    <n v="374"/>
    <m/>
    <m/>
    <m/>
    <m/>
    <m/>
    <m/>
    <m/>
    <m/>
    <m/>
    <m/>
    <m/>
    <m/>
    <n v="0"/>
    <n v="0"/>
    <n v="0"/>
    <n v="0"/>
    <n v="0"/>
    <n v="0"/>
    <n v="0"/>
    <n v="0"/>
    <n v="0"/>
    <n v="0"/>
    <n v="0"/>
    <n v="0"/>
    <n v="0"/>
    <n v="0"/>
    <n v="0"/>
    <s v="MMR012CMP044"/>
    <x v="4"/>
    <m/>
  </r>
  <r>
    <x v="173"/>
    <x v="5"/>
    <x v="173"/>
    <x v="1"/>
    <m/>
    <x v="0"/>
    <x v="0"/>
    <s v="Say Tha Mar Gyi"/>
    <m/>
    <m/>
    <n v="1460"/>
    <m/>
    <m/>
    <m/>
    <m/>
    <m/>
    <m/>
    <m/>
    <m/>
    <m/>
    <m/>
    <m/>
    <m/>
    <n v="0"/>
    <n v="0"/>
    <n v="0"/>
    <n v="0"/>
    <n v="0"/>
    <n v="0"/>
    <n v="0"/>
    <n v="0"/>
    <n v="0"/>
    <n v="0"/>
    <n v="0"/>
    <n v="0"/>
    <n v="0"/>
    <n v="0"/>
    <n v="0"/>
    <s v="MMR012CMP045"/>
    <x v="0"/>
    <m/>
  </r>
  <r>
    <x v="173"/>
    <x v="5"/>
    <x v="173"/>
    <x v="1"/>
    <m/>
    <x v="0"/>
    <x v="1"/>
    <s v="Shwe Hlaing"/>
    <m/>
    <m/>
    <m/>
    <n v="290"/>
    <m/>
    <m/>
    <m/>
    <m/>
    <m/>
    <m/>
    <m/>
    <m/>
    <m/>
    <m/>
    <m/>
    <n v="0"/>
    <n v="0"/>
    <n v="0"/>
    <n v="0"/>
    <n v="0"/>
    <n v="0"/>
    <n v="0"/>
    <n v="0"/>
    <n v="0"/>
    <n v="0"/>
    <n v="0"/>
    <n v="0"/>
    <n v="0"/>
    <n v="0"/>
    <n v="0"/>
    <s v="MMR012CMP029"/>
    <x v="2"/>
    <m/>
  </r>
  <r>
    <x v="173"/>
    <x v="5"/>
    <x v="173"/>
    <x v="1"/>
    <m/>
    <x v="0"/>
    <x v="1"/>
    <s v="Taung Bwe"/>
    <m/>
    <m/>
    <m/>
    <m/>
    <m/>
    <m/>
    <n v="87"/>
    <m/>
    <m/>
    <m/>
    <m/>
    <m/>
    <m/>
    <m/>
    <m/>
    <n v="0"/>
    <n v="0"/>
    <n v="0"/>
    <n v="0"/>
    <n v="0"/>
    <n v="0"/>
    <n v="0"/>
    <n v="0"/>
    <n v="0"/>
    <n v="0"/>
    <n v="0"/>
    <n v="0"/>
    <n v="0"/>
    <n v="0"/>
    <n v="0"/>
    <s v="MMR012CMP021"/>
    <x v="2"/>
    <m/>
  </r>
  <r>
    <x v="173"/>
    <x v="5"/>
    <x v="173"/>
    <x v="1"/>
    <m/>
    <x v="0"/>
    <x v="6"/>
    <s v="Tha Dar"/>
    <m/>
    <m/>
    <m/>
    <m/>
    <m/>
    <m/>
    <n v="203"/>
    <m/>
    <m/>
    <m/>
    <m/>
    <m/>
    <m/>
    <m/>
    <m/>
    <n v="0"/>
    <n v="0"/>
    <n v="0"/>
    <n v="0"/>
    <n v="0"/>
    <n v="0"/>
    <n v="0"/>
    <n v="0"/>
    <n v="0"/>
    <n v="0"/>
    <n v="0"/>
    <n v="0"/>
    <n v="0"/>
    <n v="0"/>
    <n v="0"/>
    <s v="MMR012CMP002"/>
    <x v="2"/>
    <m/>
  </r>
  <r>
    <x v="173"/>
    <x v="5"/>
    <x v="173"/>
    <x v="1"/>
    <m/>
    <x v="0"/>
    <x v="0"/>
    <s v="Thae Chaung"/>
    <m/>
    <m/>
    <n v="2813"/>
    <m/>
    <m/>
    <m/>
    <m/>
    <m/>
    <m/>
    <m/>
    <m/>
    <m/>
    <m/>
    <m/>
    <m/>
    <n v="0"/>
    <n v="0"/>
    <n v="0"/>
    <n v="0"/>
    <n v="0"/>
    <n v="0"/>
    <n v="0"/>
    <n v="0"/>
    <n v="0"/>
    <n v="0"/>
    <n v="0"/>
    <n v="0"/>
    <n v="0"/>
    <n v="0"/>
    <n v="0"/>
    <s v="MMR012CMP046"/>
    <x v="0"/>
    <m/>
  </r>
  <r>
    <x v="173"/>
    <x v="5"/>
    <x v="173"/>
    <x v="1"/>
    <m/>
    <x v="0"/>
    <x v="0"/>
    <s v="Thet Kae Pyin "/>
    <m/>
    <m/>
    <n v="1900"/>
    <m/>
    <m/>
    <m/>
    <m/>
    <m/>
    <m/>
    <m/>
    <m/>
    <m/>
    <m/>
    <m/>
    <m/>
    <n v="0"/>
    <n v="0"/>
    <n v="0"/>
    <n v="0"/>
    <n v="0"/>
    <n v="0"/>
    <n v="0"/>
    <n v="0"/>
    <n v="0"/>
    <n v="0"/>
    <n v="0"/>
    <n v="0"/>
    <n v="0"/>
    <n v="0"/>
    <n v="0"/>
    <s v="MMR012CMP048"/>
    <x v="0"/>
    <m/>
  </r>
  <r>
    <x v="173"/>
    <x v="5"/>
    <x v="173"/>
    <x v="1"/>
    <m/>
    <x v="0"/>
    <x v="1"/>
    <s v="Yun Nyar"/>
    <m/>
    <m/>
    <m/>
    <n v="214"/>
    <m/>
    <n v="214"/>
    <n v="107"/>
    <n v="107"/>
    <m/>
    <m/>
    <m/>
    <m/>
    <m/>
    <m/>
    <m/>
    <n v="0"/>
    <n v="0"/>
    <n v="0"/>
    <n v="0"/>
    <n v="0"/>
    <n v="0"/>
    <n v="0"/>
    <n v="0"/>
    <n v="0"/>
    <n v="0"/>
    <n v="0"/>
    <n v="0"/>
    <n v="0"/>
    <n v="0"/>
    <n v="0"/>
    <s v="MMR012CMP028"/>
    <x v="2"/>
    <m/>
  </r>
  <r>
    <x v="174"/>
    <x v="5"/>
    <x v="174"/>
    <x v="20"/>
    <s v="UNHCR"/>
    <x v="0"/>
    <x v="0"/>
    <s v="Hmanzi Junction"/>
    <m/>
    <m/>
    <m/>
    <m/>
    <m/>
    <n v="50"/>
    <m/>
    <m/>
    <m/>
    <m/>
    <m/>
    <m/>
    <m/>
    <m/>
    <m/>
    <n v="0"/>
    <n v="0"/>
    <n v="0"/>
    <n v="0"/>
    <n v="0"/>
    <n v="0"/>
    <n v="0"/>
    <n v="0"/>
    <n v="0"/>
    <n v="0"/>
    <n v="0"/>
    <n v="0"/>
    <n v="0"/>
    <n v="0"/>
    <n v="0"/>
    <s v="MMR012CMP049"/>
    <x v="4"/>
    <m/>
  </r>
  <r>
    <x v="174"/>
    <x v="5"/>
    <x v="174"/>
    <x v="1"/>
    <m/>
    <x v="0"/>
    <x v="0"/>
    <s v="Ma Gyi Myaing"/>
    <m/>
    <m/>
    <n v="85"/>
    <m/>
    <m/>
    <m/>
    <m/>
    <m/>
    <m/>
    <m/>
    <m/>
    <m/>
    <m/>
    <m/>
    <m/>
    <n v="0"/>
    <n v="0"/>
    <n v="0"/>
    <n v="0"/>
    <n v="0"/>
    <n v="0"/>
    <n v="0"/>
    <n v="0"/>
    <n v="0"/>
    <n v="0"/>
    <n v="0"/>
    <n v="0"/>
    <n v="0"/>
    <n v="0"/>
    <n v="0"/>
    <s v="MMR012CMP053"/>
    <x v="4"/>
    <m/>
  </r>
  <r>
    <x v="174"/>
    <x v="5"/>
    <x v="174"/>
    <x v="1"/>
    <m/>
    <x v="0"/>
    <x v="0"/>
    <s v="Mingan"/>
    <m/>
    <m/>
    <n v="53"/>
    <m/>
    <m/>
    <m/>
    <m/>
    <m/>
    <m/>
    <m/>
    <m/>
    <m/>
    <m/>
    <m/>
    <m/>
    <n v="0"/>
    <n v="0"/>
    <n v="0"/>
    <n v="0"/>
    <n v="0"/>
    <n v="0"/>
    <n v="0"/>
    <n v="0"/>
    <n v="0"/>
    <n v="0"/>
    <n v="0"/>
    <n v="0"/>
    <n v="0"/>
    <n v="0"/>
    <n v="0"/>
    <s v="MMR012CMP054"/>
    <x v="4"/>
    <m/>
  </r>
  <r>
    <x v="174"/>
    <x v="5"/>
    <x v="174"/>
    <x v="1"/>
    <m/>
    <x v="0"/>
    <x v="0"/>
    <s v="Set Yone Su"/>
    <m/>
    <m/>
    <n v="195"/>
    <m/>
    <m/>
    <m/>
    <m/>
    <m/>
    <m/>
    <m/>
    <m/>
    <m/>
    <m/>
    <m/>
    <m/>
    <n v="0"/>
    <n v="0"/>
    <n v="0"/>
    <n v="0"/>
    <n v="0"/>
    <n v="0"/>
    <n v="0"/>
    <n v="0"/>
    <n v="0"/>
    <n v="0"/>
    <n v="0"/>
    <n v="0"/>
    <n v="0"/>
    <n v="0"/>
    <n v="0"/>
    <s v="MMR012CMP056"/>
    <x v="1"/>
    <m/>
  </r>
  <r>
    <x v="175"/>
    <x v="5"/>
    <x v="175"/>
    <x v="1"/>
    <m/>
    <x v="0"/>
    <x v="5"/>
    <s v="Ka Nyin Taw"/>
    <m/>
    <m/>
    <m/>
    <n v="170"/>
    <n v="85"/>
    <n v="170"/>
    <n v="85"/>
    <m/>
    <m/>
    <m/>
    <m/>
    <m/>
    <m/>
    <m/>
    <m/>
    <n v="0"/>
    <n v="0"/>
    <n v="0"/>
    <n v="0"/>
    <n v="0"/>
    <n v="0"/>
    <n v="0"/>
    <n v="0"/>
    <n v="0"/>
    <n v="0"/>
    <n v="0"/>
    <n v="0"/>
    <n v="0"/>
    <n v="0"/>
    <n v="0"/>
    <s v="MMR012CMP036"/>
    <x v="0"/>
    <m/>
  </r>
  <r>
    <x v="175"/>
    <x v="5"/>
    <x v="175"/>
    <x v="1"/>
    <m/>
    <x v="0"/>
    <x v="5"/>
    <s v="Kyauk Ta Lone"/>
    <m/>
    <m/>
    <m/>
    <n v="826"/>
    <n v="213"/>
    <n v="826"/>
    <n v="413"/>
    <m/>
    <m/>
    <m/>
    <m/>
    <m/>
    <m/>
    <m/>
    <m/>
    <n v="0"/>
    <n v="0"/>
    <n v="0"/>
    <n v="0"/>
    <n v="0"/>
    <n v="0"/>
    <n v="0"/>
    <n v="0"/>
    <n v="0"/>
    <n v="0"/>
    <n v="0"/>
    <n v="0"/>
    <n v="0"/>
    <n v="0"/>
    <n v="0"/>
    <s v="MMR012CMP035"/>
    <x v="0"/>
    <m/>
  </r>
  <r>
    <x v="176"/>
    <x v="5"/>
    <x v="176"/>
    <x v="20"/>
    <s v="UNHCR"/>
    <x v="0"/>
    <x v="0"/>
    <s v="Hmanzi Junction"/>
    <m/>
    <m/>
    <m/>
    <m/>
    <m/>
    <n v="50"/>
    <m/>
    <m/>
    <m/>
    <m/>
    <m/>
    <m/>
    <m/>
    <m/>
    <m/>
    <n v="0"/>
    <n v="0"/>
    <n v="0"/>
    <n v="0"/>
    <n v="0"/>
    <n v="0"/>
    <n v="0"/>
    <n v="0"/>
    <n v="0"/>
    <n v="0"/>
    <n v="0"/>
    <n v="0"/>
    <n v="0"/>
    <n v="0"/>
    <n v="0"/>
    <s v="MMR012CMP049"/>
    <x v="4"/>
    <m/>
  </r>
  <r>
    <x v="177"/>
    <x v="5"/>
    <x v="177"/>
    <x v="20"/>
    <s v="UNHCR"/>
    <x v="0"/>
    <x v="0"/>
    <s v="Thet Kae Pyin "/>
    <m/>
    <m/>
    <m/>
    <m/>
    <m/>
    <n v="92"/>
    <m/>
    <m/>
    <m/>
    <m/>
    <m/>
    <m/>
    <m/>
    <m/>
    <m/>
    <n v="0"/>
    <n v="0"/>
    <n v="0"/>
    <n v="0"/>
    <n v="0"/>
    <n v="0"/>
    <n v="0"/>
    <n v="0"/>
    <n v="0"/>
    <n v="0"/>
    <n v="0"/>
    <n v="0"/>
    <n v="0"/>
    <n v="0"/>
    <n v="0"/>
    <s v="MMR012CMP048"/>
    <x v="0"/>
    <m/>
  </r>
  <r>
    <x v="178"/>
    <x v="5"/>
    <x v="178"/>
    <x v="1"/>
    <m/>
    <x v="0"/>
    <x v="6"/>
    <s v="Aung Taing"/>
    <m/>
    <m/>
    <m/>
    <m/>
    <m/>
    <n v="172"/>
    <n v="46"/>
    <m/>
    <m/>
    <m/>
    <m/>
    <m/>
    <m/>
    <m/>
    <m/>
    <n v="0"/>
    <n v="0"/>
    <n v="0"/>
    <n v="0"/>
    <n v="0"/>
    <n v="0"/>
    <n v="0"/>
    <n v="0"/>
    <n v="0"/>
    <n v="0"/>
    <n v="0"/>
    <n v="0"/>
    <n v="0"/>
    <n v="0"/>
    <n v="0"/>
    <s v="MMR012CMP006"/>
    <x v="2"/>
    <m/>
  </r>
  <r>
    <x v="178"/>
    <x v="5"/>
    <x v="178"/>
    <x v="1"/>
    <m/>
    <x v="0"/>
    <x v="0"/>
    <s v="Bu May Ohn Taw"/>
    <m/>
    <m/>
    <m/>
    <m/>
    <n v="130"/>
    <m/>
    <m/>
    <m/>
    <m/>
    <m/>
    <m/>
    <m/>
    <m/>
    <m/>
    <m/>
    <n v="0"/>
    <n v="0"/>
    <n v="0"/>
    <n v="0"/>
    <n v="0"/>
    <n v="0"/>
    <n v="0"/>
    <n v="0"/>
    <n v="0"/>
    <n v="0"/>
    <n v="0"/>
    <n v="0"/>
    <n v="0"/>
    <n v="0"/>
    <n v="0"/>
    <s v="MMR012CMP051"/>
    <x v="4"/>
    <m/>
  </r>
  <r>
    <x v="178"/>
    <x v="5"/>
    <x v="178"/>
    <x v="1"/>
    <m/>
    <x v="0"/>
    <x v="0"/>
    <s v="Bu May Ohn Taw"/>
    <m/>
    <m/>
    <m/>
    <m/>
    <n v="314"/>
    <m/>
    <m/>
    <m/>
    <m/>
    <m/>
    <m/>
    <m/>
    <m/>
    <m/>
    <m/>
    <n v="0"/>
    <n v="0"/>
    <n v="0"/>
    <n v="0"/>
    <n v="0"/>
    <n v="0"/>
    <n v="0"/>
    <n v="0"/>
    <n v="0"/>
    <n v="0"/>
    <n v="0"/>
    <n v="0"/>
    <n v="0"/>
    <n v="0"/>
    <n v="0"/>
    <s v="MMR012CMP051"/>
    <x v="4"/>
    <m/>
  </r>
  <r>
    <x v="178"/>
    <x v="5"/>
    <x v="178"/>
    <x v="1"/>
    <m/>
    <x v="0"/>
    <x v="3"/>
    <s v="Kan Thar Htwat Wa"/>
    <m/>
    <m/>
    <m/>
    <n v="88"/>
    <n v="44"/>
    <n v="88"/>
    <n v="44"/>
    <n v="44"/>
    <m/>
    <m/>
    <m/>
    <m/>
    <m/>
    <m/>
    <m/>
    <n v="0"/>
    <n v="0"/>
    <n v="0"/>
    <n v="0"/>
    <n v="0"/>
    <n v="0"/>
    <n v="0"/>
    <n v="0"/>
    <n v="0"/>
    <n v="0"/>
    <n v="0"/>
    <n v="0"/>
    <n v="0"/>
    <n v="0"/>
    <n v="0"/>
    <s v="MMR012CMP013"/>
    <x v="1"/>
    <m/>
  </r>
  <r>
    <x v="178"/>
    <x v="5"/>
    <x v="178"/>
    <x v="1"/>
    <m/>
    <x v="0"/>
    <x v="0"/>
    <s v="Pa Lin Pyin Ywar Thit"/>
    <m/>
    <m/>
    <m/>
    <m/>
    <n v="822"/>
    <m/>
    <m/>
    <m/>
    <m/>
    <m/>
    <m/>
    <m/>
    <m/>
    <m/>
    <m/>
    <n v="0"/>
    <n v="0"/>
    <n v="0"/>
    <n v="0"/>
    <n v="0"/>
    <n v="0"/>
    <n v="0"/>
    <n v="0"/>
    <n v="0"/>
    <n v="0"/>
    <n v="0"/>
    <n v="0"/>
    <n v="0"/>
    <n v="0"/>
    <n v="0"/>
    <s v="MMR012CMP050"/>
    <x v="4"/>
    <m/>
  </r>
  <r>
    <x v="178"/>
    <x v="5"/>
    <x v="178"/>
    <x v="1"/>
    <m/>
    <x v="0"/>
    <x v="3"/>
    <s v="Taung Paw "/>
    <m/>
    <m/>
    <m/>
    <m/>
    <m/>
    <m/>
    <m/>
    <n v="705"/>
    <m/>
    <m/>
    <m/>
    <m/>
    <m/>
    <m/>
    <m/>
    <n v="0"/>
    <n v="0"/>
    <n v="0"/>
    <n v="0"/>
    <n v="0"/>
    <n v="0"/>
    <n v="0"/>
    <n v="0"/>
    <n v="0"/>
    <n v="0"/>
    <n v="0"/>
    <n v="0"/>
    <n v="0"/>
    <n v="0"/>
    <n v="0"/>
    <s v="MMR012CMP014"/>
    <x v="0"/>
    <m/>
  </r>
  <r>
    <x v="178"/>
    <x v="5"/>
    <x v="178"/>
    <x v="20"/>
    <s v="UNHCR"/>
    <x v="0"/>
    <x v="0"/>
    <s v="Thet Kae Pyin "/>
    <m/>
    <m/>
    <m/>
    <m/>
    <m/>
    <n v="100"/>
    <m/>
    <m/>
    <m/>
    <m/>
    <m/>
    <m/>
    <m/>
    <m/>
    <m/>
    <n v="0"/>
    <n v="0"/>
    <n v="0"/>
    <n v="0"/>
    <n v="0"/>
    <n v="0"/>
    <n v="0"/>
    <n v="0"/>
    <n v="0"/>
    <n v="0"/>
    <n v="0"/>
    <n v="0"/>
    <n v="0"/>
    <n v="0"/>
    <n v="0"/>
    <s v="MMR012CMP048"/>
    <x v="0"/>
    <m/>
  </r>
  <r>
    <x v="179"/>
    <x v="5"/>
    <x v="179"/>
    <x v="1"/>
    <m/>
    <x v="0"/>
    <x v="6"/>
    <s v="Nagara Pauktaw"/>
    <m/>
    <m/>
    <m/>
    <m/>
    <n v="129"/>
    <m/>
    <m/>
    <m/>
    <m/>
    <m/>
    <m/>
    <m/>
    <m/>
    <m/>
    <m/>
    <n v="0"/>
    <n v="0"/>
    <n v="0"/>
    <n v="0"/>
    <n v="0"/>
    <n v="0"/>
    <n v="0"/>
    <n v="0"/>
    <n v="0"/>
    <n v="0"/>
    <n v="0"/>
    <n v="0"/>
    <n v="0"/>
    <n v="0"/>
    <n v="0"/>
    <s v="MMR012CMP004"/>
    <x v="4"/>
    <m/>
  </r>
  <r>
    <x v="179"/>
    <x v="5"/>
    <x v="179"/>
    <x v="1"/>
    <m/>
    <x v="0"/>
    <x v="7"/>
    <s v="Pa Rein"/>
    <m/>
    <m/>
    <m/>
    <m/>
    <n v="140"/>
    <m/>
    <m/>
    <m/>
    <m/>
    <m/>
    <m/>
    <m/>
    <m/>
    <m/>
    <m/>
    <n v="0"/>
    <n v="0"/>
    <n v="0"/>
    <n v="0"/>
    <n v="0"/>
    <n v="0"/>
    <n v="0"/>
    <n v="0"/>
    <n v="0"/>
    <n v="0"/>
    <n v="0"/>
    <n v="0"/>
    <n v="0"/>
    <n v="0"/>
    <n v="0"/>
    <s v="MMR012CMP009"/>
    <x v="2"/>
    <m/>
  </r>
  <r>
    <x v="179"/>
    <x v="5"/>
    <x v="179"/>
    <x v="1"/>
    <m/>
    <x v="0"/>
    <x v="6"/>
    <s v="Sam Ba Le"/>
    <m/>
    <m/>
    <m/>
    <n v="27"/>
    <n v="2"/>
    <m/>
    <m/>
    <m/>
    <m/>
    <m/>
    <m/>
    <m/>
    <m/>
    <m/>
    <m/>
    <n v="0"/>
    <n v="0"/>
    <n v="0"/>
    <n v="0"/>
    <n v="0"/>
    <n v="0"/>
    <n v="0"/>
    <n v="0"/>
    <n v="0"/>
    <n v="0"/>
    <n v="0"/>
    <n v="0"/>
    <n v="0"/>
    <n v="0"/>
    <n v="0"/>
    <s v="MMR012CMP008"/>
    <x v="2"/>
    <m/>
  </r>
  <r>
    <x v="179"/>
    <x v="5"/>
    <x v="179"/>
    <x v="1"/>
    <m/>
    <x v="0"/>
    <x v="6"/>
    <s v="San Htoe Tan"/>
    <m/>
    <m/>
    <m/>
    <n v="172"/>
    <n v="10"/>
    <n v="172"/>
    <m/>
    <m/>
    <m/>
    <m/>
    <m/>
    <m/>
    <m/>
    <m/>
    <m/>
    <n v="0"/>
    <n v="0"/>
    <n v="0"/>
    <n v="0"/>
    <n v="0"/>
    <n v="0"/>
    <n v="0"/>
    <n v="0"/>
    <n v="0"/>
    <n v="0"/>
    <n v="0"/>
    <n v="0"/>
    <n v="0"/>
    <n v="0"/>
    <n v="0"/>
    <s v="MMR012CMP003"/>
    <x v="2"/>
    <m/>
  </r>
  <r>
    <x v="179"/>
    <x v="5"/>
    <x v="179"/>
    <x v="1"/>
    <m/>
    <x v="0"/>
    <x v="6"/>
    <s v="Tha Dar"/>
    <m/>
    <m/>
    <m/>
    <m/>
    <n v="145"/>
    <m/>
    <m/>
    <m/>
    <m/>
    <m/>
    <m/>
    <m/>
    <m/>
    <m/>
    <m/>
    <n v="0"/>
    <n v="0"/>
    <n v="0"/>
    <n v="0"/>
    <n v="0"/>
    <n v="0"/>
    <n v="0"/>
    <n v="0"/>
    <n v="0"/>
    <n v="0"/>
    <n v="0"/>
    <n v="0"/>
    <n v="0"/>
    <n v="0"/>
    <n v="0"/>
    <s v="MMR012CMP002"/>
    <x v="2"/>
    <m/>
  </r>
  <r>
    <x v="179"/>
    <x v="5"/>
    <x v="179"/>
    <x v="1"/>
    <m/>
    <x v="0"/>
    <x v="7"/>
    <s v="Yai Thei-Muslim"/>
    <m/>
    <m/>
    <m/>
    <m/>
    <n v="83"/>
    <m/>
    <m/>
    <m/>
    <m/>
    <m/>
    <m/>
    <m/>
    <m/>
    <m/>
    <m/>
    <n v="0"/>
    <n v="0"/>
    <n v="0"/>
    <n v="0"/>
    <n v="0"/>
    <n v="0"/>
    <n v="0"/>
    <n v="0"/>
    <n v="0"/>
    <n v="0"/>
    <n v="0"/>
    <n v="0"/>
    <n v="0"/>
    <n v="0"/>
    <n v="0"/>
    <s v="MMR012CMP010"/>
    <x v="2"/>
    <m/>
  </r>
  <r>
    <x v="180"/>
    <x v="5"/>
    <x v="180"/>
    <x v="1"/>
    <m/>
    <x v="0"/>
    <x v="2"/>
    <s v="Ah Nauk Ywe"/>
    <m/>
    <m/>
    <m/>
    <m/>
    <n v="458"/>
    <n v="148"/>
    <m/>
    <m/>
    <m/>
    <m/>
    <m/>
    <m/>
    <m/>
    <m/>
    <m/>
    <n v="0"/>
    <n v="0"/>
    <n v="0"/>
    <n v="0"/>
    <n v="0"/>
    <n v="0"/>
    <n v="0"/>
    <n v="0"/>
    <n v="0"/>
    <n v="0"/>
    <n v="0"/>
    <n v="0"/>
    <n v="0"/>
    <n v="0"/>
    <n v="0"/>
    <s v="MMR012CMP016"/>
    <x v="0"/>
    <m/>
  </r>
  <r>
    <x v="180"/>
    <x v="5"/>
    <x v="180"/>
    <x v="1"/>
    <m/>
    <x v="0"/>
    <x v="2"/>
    <s v="Kyein Ni Pyin"/>
    <m/>
    <m/>
    <m/>
    <n v="769"/>
    <n v="369"/>
    <n v="1538"/>
    <n v="769"/>
    <m/>
    <m/>
    <m/>
    <m/>
    <m/>
    <m/>
    <m/>
    <m/>
    <n v="0"/>
    <n v="0"/>
    <n v="0"/>
    <n v="0"/>
    <n v="0"/>
    <n v="0"/>
    <n v="0"/>
    <n v="0"/>
    <n v="0"/>
    <n v="0"/>
    <n v="0"/>
    <n v="0"/>
    <n v="0"/>
    <n v="0"/>
    <n v="0"/>
    <s v="MMR012CMP018"/>
    <x v="0"/>
    <m/>
  </r>
  <r>
    <x v="180"/>
    <x v="5"/>
    <x v="180"/>
    <x v="1"/>
    <m/>
    <x v="0"/>
    <x v="2"/>
    <s v="Nget Chaung"/>
    <m/>
    <m/>
    <m/>
    <n v="1306"/>
    <n v="506"/>
    <n v="1306"/>
    <n v="1306"/>
    <m/>
    <m/>
    <m/>
    <m/>
    <m/>
    <m/>
    <m/>
    <m/>
    <n v="0"/>
    <n v="0"/>
    <n v="0"/>
    <n v="0"/>
    <n v="0"/>
    <n v="0"/>
    <n v="0"/>
    <n v="0"/>
    <n v="0"/>
    <n v="0"/>
    <n v="0"/>
    <n v="0"/>
    <n v="0"/>
    <n v="0"/>
    <n v="0"/>
    <s v=""/>
    <x v="3"/>
    <m/>
  </r>
  <r>
    <x v="180"/>
    <x v="5"/>
    <x v="180"/>
    <x v="1"/>
    <m/>
    <x v="0"/>
    <x v="9"/>
    <s v="Ramree Town"/>
    <m/>
    <m/>
    <m/>
    <n v="26"/>
    <n v="13"/>
    <n v="26"/>
    <n v="13"/>
    <m/>
    <m/>
    <m/>
    <m/>
    <m/>
    <m/>
    <m/>
    <m/>
    <n v="0"/>
    <n v="0"/>
    <n v="0"/>
    <n v="0"/>
    <n v="0"/>
    <n v="0"/>
    <n v="0"/>
    <n v="0"/>
    <n v="0"/>
    <n v="0"/>
    <n v="0"/>
    <n v="0"/>
    <n v="0"/>
    <n v="0"/>
    <n v="0"/>
    <s v="MMR012CMP038"/>
    <x v="0"/>
    <m/>
  </r>
  <r>
    <x v="180"/>
    <x v="5"/>
    <x v="180"/>
    <x v="1"/>
    <m/>
    <x v="0"/>
    <x v="9"/>
    <s v="Ramree Ward 6"/>
    <m/>
    <m/>
    <m/>
    <n v="194"/>
    <n v="97"/>
    <n v="194"/>
    <n v="97"/>
    <m/>
    <m/>
    <m/>
    <m/>
    <m/>
    <m/>
    <m/>
    <m/>
    <n v="0"/>
    <n v="0"/>
    <n v="0"/>
    <n v="0"/>
    <n v="0"/>
    <n v="0"/>
    <n v="0"/>
    <n v="0"/>
    <n v="0"/>
    <n v="0"/>
    <n v="0"/>
    <n v="0"/>
    <n v="0"/>
    <n v="0"/>
    <n v="0"/>
    <s v="MMR012CMP037"/>
    <x v="0"/>
    <m/>
  </r>
  <r>
    <x v="180"/>
    <x v="5"/>
    <x v="180"/>
    <x v="1"/>
    <m/>
    <x v="0"/>
    <x v="2"/>
    <s v="Sin Tet Maw"/>
    <m/>
    <m/>
    <m/>
    <m/>
    <n v="362"/>
    <m/>
    <m/>
    <m/>
    <m/>
    <m/>
    <m/>
    <m/>
    <m/>
    <m/>
    <m/>
    <n v="0"/>
    <n v="0"/>
    <n v="0"/>
    <n v="0"/>
    <n v="0"/>
    <n v="0"/>
    <n v="0"/>
    <n v="0"/>
    <n v="0"/>
    <n v="0"/>
    <n v="0"/>
    <n v="0"/>
    <n v="0"/>
    <n v="0"/>
    <n v="0"/>
    <s v="MMR012CMP019"/>
    <x v="0"/>
    <m/>
  </r>
  <r>
    <x v="181"/>
    <x v="5"/>
    <x v="181"/>
    <x v="1"/>
    <m/>
    <x v="0"/>
    <x v="2"/>
    <s v="Sin Tet Maw"/>
    <m/>
    <m/>
    <m/>
    <n v="862"/>
    <n v="500"/>
    <n v="862"/>
    <n v="862"/>
    <m/>
    <m/>
    <m/>
    <m/>
    <m/>
    <m/>
    <m/>
    <m/>
    <n v="0"/>
    <n v="0"/>
    <n v="0"/>
    <n v="0"/>
    <n v="0"/>
    <n v="0"/>
    <n v="0"/>
    <n v="0"/>
    <n v="0"/>
    <n v="0"/>
    <n v="0"/>
    <n v="0"/>
    <n v="0"/>
    <n v="0"/>
    <n v="0"/>
    <s v="MMR012CMP019"/>
    <x v="0"/>
    <m/>
  </r>
  <r>
    <x v="182"/>
    <x v="5"/>
    <x v="182"/>
    <x v="1"/>
    <m/>
    <x v="0"/>
    <x v="1"/>
    <s v="Ah Lel Kyun"/>
    <m/>
    <m/>
    <m/>
    <m/>
    <n v="85"/>
    <m/>
    <m/>
    <m/>
    <m/>
    <m/>
    <m/>
    <m/>
    <m/>
    <m/>
    <m/>
    <n v="0"/>
    <n v="0"/>
    <n v="0"/>
    <n v="0"/>
    <n v="0"/>
    <n v="0"/>
    <n v="0"/>
    <n v="0"/>
    <n v="0"/>
    <n v="0"/>
    <n v="0"/>
    <n v="0"/>
    <n v="0"/>
    <n v="0"/>
    <n v="0"/>
    <s v="MMR012CMP025"/>
    <x v="2"/>
    <m/>
  </r>
  <r>
    <x v="183"/>
    <x v="5"/>
    <x v="183"/>
    <x v="1"/>
    <m/>
    <x v="0"/>
    <x v="3"/>
    <s v="Taung Paw "/>
    <m/>
    <m/>
    <m/>
    <m/>
    <n v="146"/>
    <m/>
    <n v="146"/>
    <m/>
    <m/>
    <m/>
    <m/>
    <m/>
    <m/>
    <m/>
    <m/>
    <n v="0"/>
    <n v="0"/>
    <n v="0"/>
    <n v="0"/>
    <n v="0"/>
    <n v="0"/>
    <n v="0"/>
    <n v="0"/>
    <n v="0"/>
    <n v="0"/>
    <n v="0"/>
    <n v="0"/>
    <n v="0"/>
    <n v="0"/>
    <n v="0"/>
    <s v="MMR012CMP014"/>
    <x v="0"/>
    <m/>
  </r>
  <r>
    <x v="184"/>
    <x v="5"/>
    <x v="184"/>
    <x v="1"/>
    <m/>
    <x v="0"/>
    <x v="6"/>
    <s v="Aung Taing"/>
    <m/>
    <m/>
    <m/>
    <m/>
    <n v="40"/>
    <m/>
    <m/>
    <m/>
    <m/>
    <m/>
    <m/>
    <m/>
    <m/>
    <m/>
    <m/>
    <n v="0"/>
    <n v="0"/>
    <n v="0"/>
    <n v="0"/>
    <n v="0"/>
    <n v="0"/>
    <n v="0"/>
    <n v="0"/>
    <n v="0"/>
    <n v="0"/>
    <n v="0"/>
    <n v="0"/>
    <n v="0"/>
    <n v="0"/>
    <n v="0"/>
    <s v="MMR012CMP006"/>
    <x v="2"/>
    <m/>
  </r>
  <r>
    <x v="184"/>
    <x v="5"/>
    <x v="184"/>
    <x v="1"/>
    <m/>
    <x v="0"/>
    <x v="6"/>
    <s v="Nagara Pauktaw"/>
    <m/>
    <m/>
    <m/>
    <m/>
    <n v="100"/>
    <m/>
    <m/>
    <m/>
    <m/>
    <m/>
    <m/>
    <m/>
    <m/>
    <m/>
    <m/>
    <n v="0"/>
    <n v="0"/>
    <n v="0"/>
    <n v="0"/>
    <n v="0"/>
    <n v="0"/>
    <n v="0"/>
    <n v="0"/>
    <n v="0"/>
    <n v="0"/>
    <n v="0"/>
    <n v="0"/>
    <n v="0"/>
    <n v="0"/>
    <n v="0"/>
    <s v="MMR012CMP004"/>
    <x v="4"/>
    <m/>
  </r>
  <r>
    <x v="184"/>
    <x v="5"/>
    <x v="184"/>
    <x v="1"/>
    <m/>
    <x v="0"/>
    <x v="7"/>
    <s v="Pa Rein"/>
    <m/>
    <m/>
    <m/>
    <m/>
    <n v="100"/>
    <m/>
    <m/>
    <m/>
    <m/>
    <m/>
    <m/>
    <m/>
    <m/>
    <m/>
    <m/>
    <n v="0"/>
    <n v="0"/>
    <n v="0"/>
    <n v="0"/>
    <n v="0"/>
    <n v="0"/>
    <n v="0"/>
    <n v="0"/>
    <n v="0"/>
    <n v="0"/>
    <n v="0"/>
    <n v="0"/>
    <n v="0"/>
    <n v="0"/>
    <n v="0"/>
    <s v="MMR012CMP009"/>
    <x v="2"/>
    <m/>
  </r>
  <r>
    <x v="185"/>
    <x v="5"/>
    <x v="185"/>
    <x v="1"/>
    <m/>
    <x v="0"/>
    <x v="1"/>
    <s v="Ah Pauk Wa "/>
    <m/>
    <m/>
    <m/>
    <m/>
    <n v="90"/>
    <m/>
    <m/>
    <m/>
    <m/>
    <m/>
    <m/>
    <m/>
    <m/>
    <m/>
    <m/>
    <n v="0"/>
    <n v="0"/>
    <n v="0"/>
    <n v="0"/>
    <n v="0"/>
    <n v="0"/>
    <n v="0"/>
    <n v="0"/>
    <n v="0"/>
    <n v="0"/>
    <n v="0"/>
    <n v="0"/>
    <n v="0"/>
    <n v="0"/>
    <n v="0"/>
    <s v="MMR012CMP024"/>
    <x v="2"/>
    <m/>
  </r>
  <r>
    <x v="185"/>
    <x v="5"/>
    <x v="185"/>
    <x v="1"/>
    <m/>
    <x v="0"/>
    <x v="1"/>
    <s v="San Gar Taung"/>
    <m/>
    <m/>
    <m/>
    <m/>
    <n v="97"/>
    <m/>
    <m/>
    <m/>
    <m/>
    <m/>
    <m/>
    <m/>
    <m/>
    <m/>
    <m/>
    <n v="0"/>
    <n v="0"/>
    <n v="0"/>
    <n v="0"/>
    <n v="0"/>
    <n v="0"/>
    <n v="0"/>
    <n v="0"/>
    <n v="0"/>
    <n v="0"/>
    <n v="0"/>
    <n v="0"/>
    <n v="0"/>
    <n v="0"/>
    <n v="0"/>
    <s v=""/>
    <x v="3"/>
    <m/>
  </r>
  <r>
    <x v="186"/>
    <x v="5"/>
    <x v="186"/>
    <x v="1"/>
    <m/>
    <x v="0"/>
    <x v="0"/>
    <s v="Thet Kay Pyin School"/>
    <m/>
    <m/>
    <m/>
    <m/>
    <n v="100"/>
    <m/>
    <m/>
    <m/>
    <m/>
    <m/>
    <m/>
    <m/>
    <m/>
    <m/>
    <m/>
    <n v="0"/>
    <n v="0"/>
    <n v="0"/>
    <n v="0"/>
    <n v="0"/>
    <n v="0"/>
    <n v="0"/>
    <n v="0"/>
    <n v="0"/>
    <n v="0"/>
    <n v="0"/>
    <n v="0"/>
    <n v="0"/>
    <n v="0"/>
    <n v="0"/>
    <s v=""/>
    <x v="3"/>
    <m/>
  </r>
  <r>
    <x v="187"/>
    <x v="5"/>
    <x v="187"/>
    <x v="1"/>
    <m/>
    <x v="0"/>
    <x v="0"/>
    <s v="Baw Du Pha"/>
    <m/>
    <m/>
    <m/>
    <m/>
    <n v="55"/>
    <m/>
    <m/>
    <m/>
    <m/>
    <m/>
    <m/>
    <m/>
    <m/>
    <m/>
    <m/>
    <n v="0"/>
    <n v="0"/>
    <n v="0"/>
    <n v="0"/>
    <n v="0"/>
    <n v="0"/>
    <n v="0"/>
    <n v="0"/>
    <n v="0"/>
    <n v="0"/>
    <n v="0"/>
    <n v="0"/>
    <n v="0"/>
    <n v="0"/>
    <n v="0"/>
    <s v="MMR012CMP040"/>
    <x v="4"/>
    <m/>
  </r>
  <r>
    <x v="188"/>
    <x v="5"/>
    <x v="188"/>
    <x v="1"/>
    <m/>
    <x v="0"/>
    <x v="0"/>
    <s v="Baw Du Pha"/>
    <m/>
    <m/>
    <m/>
    <m/>
    <m/>
    <n v="65"/>
    <m/>
    <m/>
    <m/>
    <m/>
    <m/>
    <m/>
    <m/>
    <m/>
    <m/>
    <n v="0"/>
    <n v="0"/>
    <n v="0"/>
    <n v="0"/>
    <n v="0"/>
    <n v="0"/>
    <n v="0"/>
    <n v="0"/>
    <n v="0"/>
    <n v="0"/>
    <n v="0"/>
    <n v="0"/>
    <n v="0"/>
    <n v="0"/>
    <n v="0"/>
    <s v="MMR012CMP040"/>
    <x v="4"/>
    <m/>
  </r>
  <r>
    <x v="189"/>
    <x v="5"/>
    <x v="189"/>
    <x v="20"/>
    <s v="UNHCR"/>
    <x v="0"/>
    <x v="0"/>
    <s v="Ohn Taw Gyi 1"/>
    <m/>
    <m/>
    <m/>
    <m/>
    <m/>
    <n v="60"/>
    <m/>
    <m/>
    <m/>
    <m/>
    <m/>
    <m/>
    <m/>
    <m/>
    <m/>
    <n v="0"/>
    <n v="0"/>
    <n v="0"/>
    <n v="0"/>
    <n v="0"/>
    <n v="0"/>
    <n v="0"/>
    <n v="0"/>
    <n v="0"/>
    <n v="0"/>
    <n v="0"/>
    <n v="0"/>
    <n v="0"/>
    <n v="0"/>
    <n v="0"/>
    <s v="MMR012CMP043"/>
    <x v="4"/>
    <m/>
  </r>
  <r>
    <x v="190"/>
    <x v="5"/>
    <x v="190"/>
    <x v="1"/>
    <m/>
    <x v="0"/>
    <x v="1"/>
    <s v="Goke Pi Htaunt"/>
    <m/>
    <m/>
    <m/>
    <m/>
    <n v="114"/>
    <m/>
    <m/>
    <m/>
    <m/>
    <m/>
    <m/>
    <m/>
    <m/>
    <m/>
    <m/>
    <n v="0"/>
    <n v="0"/>
    <n v="0"/>
    <n v="0"/>
    <n v="0"/>
    <n v="0"/>
    <n v="0"/>
    <n v="0"/>
    <n v="0"/>
    <n v="0"/>
    <n v="0"/>
    <n v="0"/>
    <n v="0"/>
    <n v="0"/>
    <n v="0"/>
    <s v="MMR012CMP027"/>
    <x v="2"/>
    <m/>
  </r>
  <r>
    <x v="190"/>
    <x v="5"/>
    <x v="190"/>
    <x v="1"/>
    <m/>
    <x v="0"/>
    <x v="1"/>
    <s v="In Bar Yi"/>
    <m/>
    <m/>
    <m/>
    <m/>
    <n v="230"/>
    <m/>
    <m/>
    <n v="230"/>
    <m/>
    <m/>
    <m/>
    <m/>
    <m/>
    <m/>
    <m/>
    <n v="0"/>
    <n v="0"/>
    <n v="0"/>
    <n v="0"/>
    <n v="0"/>
    <n v="0"/>
    <n v="0"/>
    <n v="0"/>
    <n v="0"/>
    <n v="0"/>
    <n v="0"/>
    <n v="0"/>
    <n v="0"/>
    <n v="0"/>
    <n v="0"/>
    <s v="MMR012CMP026"/>
    <x v="2"/>
    <m/>
  </r>
  <r>
    <x v="190"/>
    <x v="5"/>
    <x v="190"/>
    <x v="1"/>
    <m/>
    <x v="0"/>
    <x v="1"/>
    <s v="Shwe Hlaing"/>
    <m/>
    <m/>
    <m/>
    <m/>
    <n v="144"/>
    <n v="290"/>
    <n v="40"/>
    <m/>
    <m/>
    <m/>
    <m/>
    <m/>
    <m/>
    <m/>
    <m/>
    <n v="0"/>
    <n v="0"/>
    <n v="0"/>
    <n v="0"/>
    <n v="0"/>
    <n v="0"/>
    <n v="0"/>
    <n v="0"/>
    <n v="0"/>
    <n v="0"/>
    <n v="0"/>
    <n v="0"/>
    <n v="0"/>
    <n v="0"/>
    <n v="0"/>
    <s v="MMR012CMP029"/>
    <x v="2"/>
    <m/>
  </r>
  <r>
    <x v="190"/>
    <x v="5"/>
    <x v="190"/>
    <x v="1"/>
    <m/>
    <x v="0"/>
    <x v="1"/>
    <s v="Yun Nyar"/>
    <m/>
    <m/>
    <m/>
    <m/>
    <n v="107"/>
    <m/>
    <m/>
    <m/>
    <m/>
    <m/>
    <m/>
    <m/>
    <m/>
    <m/>
    <m/>
    <n v="0"/>
    <n v="0"/>
    <n v="0"/>
    <n v="0"/>
    <n v="0"/>
    <n v="0"/>
    <n v="0"/>
    <n v="0"/>
    <n v="0"/>
    <n v="0"/>
    <n v="0"/>
    <n v="0"/>
    <n v="0"/>
    <n v="0"/>
    <n v="0"/>
    <s v="MMR012CMP028"/>
    <x v="2"/>
    <m/>
  </r>
  <r>
    <x v="191"/>
    <x v="5"/>
    <x v="191"/>
    <x v="1"/>
    <m/>
    <x v="0"/>
    <x v="0"/>
    <s v="Dar Pai"/>
    <m/>
    <m/>
    <m/>
    <m/>
    <n v="805"/>
    <m/>
    <m/>
    <m/>
    <m/>
    <m/>
    <m/>
    <m/>
    <m/>
    <m/>
    <m/>
    <n v="0"/>
    <n v="0"/>
    <n v="0"/>
    <n v="0"/>
    <n v="0"/>
    <n v="0"/>
    <n v="0"/>
    <n v="0"/>
    <n v="0"/>
    <n v="0"/>
    <n v="0"/>
    <n v="0"/>
    <n v="0"/>
    <n v="0"/>
    <n v="0"/>
    <s v="MMR012CMP041"/>
    <x v="0"/>
    <m/>
  </r>
  <r>
    <x v="192"/>
    <x v="5"/>
    <x v="192"/>
    <x v="1"/>
    <m/>
    <x v="0"/>
    <x v="0"/>
    <s v="Thet Kae Pyin "/>
    <m/>
    <m/>
    <m/>
    <m/>
    <n v="98"/>
    <m/>
    <m/>
    <m/>
    <m/>
    <m/>
    <m/>
    <m/>
    <m/>
    <m/>
    <m/>
    <n v="0"/>
    <n v="0"/>
    <n v="0"/>
    <n v="0"/>
    <n v="0"/>
    <n v="0"/>
    <n v="0"/>
    <n v="0"/>
    <n v="0"/>
    <n v="0"/>
    <n v="0"/>
    <n v="0"/>
    <n v="0"/>
    <n v="0"/>
    <n v="0"/>
    <s v="MMR012CMP048"/>
    <x v="0"/>
    <m/>
  </r>
  <r>
    <x v="193"/>
    <x v="5"/>
    <x v="193"/>
    <x v="1"/>
    <m/>
    <x v="0"/>
    <x v="0"/>
    <s v="Say Tha Mar Gyi"/>
    <m/>
    <m/>
    <m/>
    <m/>
    <n v="461"/>
    <m/>
    <m/>
    <m/>
    <m/>
    <m/>
    <m/>
    <m/>
    <m/>
    <m/>
    <m/>
    <n v="0"/>
    <n v="0"/>
    <n v="0"/>
    <n v="0"/>
    <n v="0"/>
    <n v="0"/>
    <n v="0"/>
    <n v="0"/>
    <n v="0"/>
    <n v="0"/>
    <n v="0"/>
    <n v="0"/>
    <n v="0"/>
    <n v="0"/>
    <n v="0"/>
    <s v="MMR012CMP045"/>
    <x v="0"/>
    <m/>
  </r>
  <r>
    <x v="193"/>
    <x v="5"/>
    <x v="193"/>
    <x v="1"/>
    <m/>
    <x v="0"/>
    <x v="0"/>
    <s v="Thet Kae Pyin "/>
    <m/>
    <m/>
    <m/>
    <m/>
    <n v="11"/>
    <m/>
    <m/>
    <m/>
    <m/>
    <m/>
    <m/>
    <m/>
    <m/>
    <m/>
    <m/>
    <n v="0"/>
    <n v="0"/>
    <n v="0"/>
    <n v="0"/>
    <n v="0"/>
    <n v="0"/>
    <n v="0"/>
    <n v="0"/>
    <n v="0"/>
    <n v="0"/>
    <n v="0"/>
    <n v="0"/>
    <n v="0"/>
    <n v="0"/>
    <n v="0"/>
    <s v="MMR012CMP048"/>
    <x v="0"/>
    <m/>
  </r>
  <r>
    <x v="194"/>
    <x v="5"/>
    <x v="194"/>
    <x v="1"/>
    <m/>
    <x v="0"/>
    <x v="0"/>
    <s v="Khaung Doke Khar "/>
    <m/>
    <m/>
    <m/>
    <m/>
    <n v="22"/>
    <m/>
    <m/>
    <m/>
    <m/>
    <m/>
    <m/>
    <m/>
    <m/>
    <m/>
    <m/>
    <n v="0"/>
    <n v="0"/>
    <n v="0"/>
    <n v="0"/>
    <n v="0"/>
    <n v="0"/>
    <n v="0"/>
    <n v="0"/>
    <n v="0"/>
    <n v="0"/>
    <n v="0"/>
    <n v="0"/>
    <n v="0"/>
    <n v="0"/>
    <n v="0"/>
    <s v="MMR012CMP042"/>
    <x v="0"/>
    <m/>
  </r>
  <r>
    <x v="194"/>
    <x v="5"/>
    <x v="194"/>
    <x v="1"/>
    <m/>
    <x v="0"/>
    <x v="0"/>
    <s v="Say Tha Mar Gyi"/>
    <m/>
    <m/>
    <m/>
    <m/>
    <n v="456"/>
    <m/>
    <m/>
    <m/>
    <m/>
    <m/>
    <m/>
    <m/>
    <m/>
    <m/>
    <m/>
    <n v="0"/>
    <n v="0"/>
    <n v="0"/>
    <n v="0"/>
    <n v="0"/>
    <n v="0"/>
    <n v="0"/>
    <n v="0"/>
    <n v="0"/>
    <n v="0"/>
    <n v="0"/>
    <n v="0"/>
    <n v="0"/>
    <n v="0"/>
    <n v="0"/>
    <s v="MMR012CMP045"/>
    <x v="0"/>
    <m/>
  </r>
  <r>
    <x v="195"/>
    <x v="5"/>
    <x v="195"/>
    <x v="1"/>
    <m/>
    <x v="0"/>
    <x v="0"/>
    <s v="Say Tha Mar Gyi"/>
    <m/>
    <m/>
    <m/>
    <m/>
    <n v="117"/>
    <m/>
    <m/>
    <m/>
    <m/>
    <m/>
    <m/>
    <m/>
    <m/>
    <m/>
    <m/>
    <n v="0"/>
    <n v="0"/>
    <n v="0"/>
    <n v="0"/>
    <n v="0"/>
    <n v="0"/>
    <n v="0"/>
    <n v="0"/>
    <n v="0"/>
    <n v="0"/>
    <n v="0"/>
    <n v="0"/>
    <n v="0"/>
    <n v="0"/>
    <n v="0"/>
    <s v="MMR012CMP045"/>
    <x v="0"/>
    <m/>
  </r>
  <r>
    <x v="196"/>
    <x v="5"/>
    <x v="196"/>
    <x v="1"/>
    <m/>
    <x v="0"/>
    <x v="0"/>
    <s v="Basare"/>
    <m/>
    <m/>
    <m/>
    <m/>
    <n v="383"/>
    <m/>
    <m/>
    <m/>
    <m/>
    <m/>
    <m/>
    <m/>
    <m/>
    <m/>
    <m/>
    <n v="0"/>
    <n v="0"/>
    <n v="0"/>
    <n v="0"/>
    <n v="0"/>
    <n v="0"/>
    <n v="0"/>
    <n v="0"/>
    <n v="0"/>
    <n v="0"/>
    <n v="0"/>
    <n v="0"/>
    <n v="0"/>
    <n v="0"/>
    <n v="0"/>
    <s v="MMR012CMP039"/>
    <x v="0"/>
    <m/>
  </r>
  <r>
    <x v="197"/>
    <x v="5"/>
    <x v="197"/>
    <x v="1"/>
    <m/>
    <x v="0"/>
    <x v="0"/>
    <s v="Thet Kae Pyin "/>
    <m/>
    <m/>
    <m/>
    <m/>
    <n v="572"/>
    <m/>
    <m/>
    <m/>
    <m/>
    <m/>
    <m/>
    <m/>
    <m/>
    <m/>
    <m/>
    <n v="0"/>
    <n v="0"/>
    <n v="0"/>
    <n v="0"/>
    <n v="0"/>
    <n v="0"/>
    <n v="0"/>
    <n v="0"/>
    <n v="0"/>
    <n v="0"/>
    <n v="0"/>
    <n v="0"/>
    <n v="0"/>
    <n v="0"/>
    <n v="0"/>
    <s v="MMR012CMP048"/>
    <x v="0"/>
    <m/>
  </r>
  <r>
    <x v="198"/>
    <x v="5"/>
    <x v="198"/>
    <x v="1"/>
    <m/>
    <x v="0"/>
    <x v="0"/>
    <s v="Baw Du Pha"/>
    <m/>
    <m/>
    <m/>
    <m/>
    <n v="248"/>
    <m/>
    <m/>
    <m/>
    <m/>
    <m/>
    <m/>
    <m/>
    <m/>
    <m/>
    <m/>
    <n v="0"/>
    <n v="0"/>
    <n v="0"/>
    <n v="0"/>
    <n v="0"/>
    <n v="0"/>
    <n v="0"/>
    <n v="0"/>
    <n v="0"/>
    <n v="0"/>
    <n v="0"/>
    <n v="0"/>
    <n v="0"/>
    <n v="0"/>
    <n v="0"/>
    <s v="MMR012CMP040"/>
    <x v="4"/>
    <m/>
  </r>
  <r>
    <x v="198"/>
    <x v="5"/>
    <x v="198"/>
    <x v="1"/>
    <m/>
    <x v="0"/>
    <x v="0"/>
    <s v="Khaung Doke Khar "/>
    <m/>
    <m/>
    <m/>
    <m/>
    <n v="121"/>
    <m/>
    <m/>
    <m/>
    <m/>
    <m/>
    <m/>
    <m/>
    <m/>
    <m/>
    <m/>
    <n v="0"/>
    <n v="0"/>
    <n v="0"/>
    <n v="0"/>
    <n v="0"/>
    <n v="0"/>
    <n v="0"/>
    <n v="0"/>
    <n v="0"/>
    <n v="0"/>
    <n v="0"/>
    <n v="0"/>
    <n v="0"/>
    <n v="0"/>
    <n v="0"/>
    <s v="MMR012CMP042"/>
    <x v="0"/>
    <m/>
  </r>
  <r>
    <x v="199"/>
    <x v="5"/>
    <x v="199"/>
    <x v="1"/>
    <m/>
    <x v="0"/>
    <x v="0"/>
    <s v="Baw Du Pha"/>
    <m/>
    <m/>
    <m/>
    <m/>
    <n v="630"/>
    <m/>
    <m/>
    <m/>
    <m/>
    <m/>
    <m/>
    <m/>
    <m/>
    <m/>
    <m/>
    <n v="0"/>
    <n v="0"/>
    <n v="0"/>
    <n v="0"/>
    <n v="0"/>
    <n v="0"/>
    <n v="0"/>
    <n v="0"/>
    <n v="0"/>
    <n v="0"/>
    <n v="0"/>
    <n v="0"/>
    <n v="0"/>
    <n v="0"/>
    <n v="0"/>
    <s v="MMR012CMP040"/>
    <x v="4"/>
    <m/>
  </r>
  <r>
    <x v="200"/>
    <x v="5"/>
    <x v="200"/>
    <x v="1"/>
    <m/>
    <x v="0"/>
    <x v="0"/>
    <s v="Baw Du Pha"/>
    <m/>
    <m/>
    <m/>
    <m/>
    <n v="120"/>
    <m/>
    <m/>
    <m/>
    <m/>
    <m/>
    <m/>
    <m/>
    <m/>
    <m/>
    <m/>
    <n v="0"/>
    <n v="0"/>
    <n v="0"/>
    <n v="0"/>
    <n v="0"/>
    <n v="0"/>
    <n v="0"/>
    <n v="0"/>
    <n v="0"/>
    <n v="0"/>
    <n v="0"/>
    <n v="0"/>
    <n v="0"/>
    <n v="0"/>
    <n v="0"/>
    <s v="MMR012CMP040"/>
    <x v="4"/>
    <m/>
  </r>
  <r>
    <x v="201"/>
    <x v="5"/>
    <x v="201"/>
    <x v="1"/>
    <m/>
    <x v="0"/>
    <x v="0"/>
    <s v="Baw Du Pha"/>
    <m/>
    <m/>
    <m/>
    <m/>
    <n v="150"/>
    <m/>
    <m/>
    <m/>
    <m/>
    <m/>
    <m/>
    <m/>
    <m/>
    <m/>
    <m/>
    <n v="0"/>
    <n v="0"/>
    <n v="0"/>
    <n v="0"/>
    <n v="0"/>
    <n v="0"/>
    <n v="0"/>
    <n v="0"/>
    <n v="0"/>
    <n v="0"/>
    <n v="0"/>
    <n v="0"/>
    <n v="0"/>
    <n v="0"/>
    <n v="0"/>
    <s v="MMR012CMP040"/>
    <x v="4"/>
    <m/>
  </r>
  <r>
    <x v="201"/>
    <x v="5"/>
    <x v="201"/>
    <x v="1"/>
    <m/>
    <x v="0"/>
    <x v="0"/>
    <s v="Thet Kae Pyin "/>
    <m/>
    <m/>
    <m/>
    <m/>
    <n v="200"/>
    <m/>
    <m/>
    <m/>
    <m/>
    <m/>
    <m/>
    <m/>
    <m/>
    <m/>
    <m/>
    <n v="0"/>
    <n v="0"/>
    <n v="0"/>
    <n v="0"/>
    <n v="0"/>
    <n v="0"/>
    <n v="0"/>
    <n v="0"/>
    <n v="0"/>
    <n v="0"/>
    <n v="0"/>
    <n v="0"/>
    <n v="0"/>
    <n v="0"/>
    <n v="0"/>
    <s v="MMR012CMP048"/>
    <x v="0"/>
    <m/>
  </r>
  <r>
    <x v="202"/>
    <x v="5"/>
    <x v="202"/>
    <x v="1"/>
    <m/>
    <x v="0"/>
    <x v="0"/>
    <s v="Khaymarmandine"/>
    <m/>
    <m/>
    <m/>
    <m/>
    <n v="4"/>
    <m/>
    <m/>
    <m/>
    <m/>
    <m/>
    <m/>
    <m/>
    <m/>
    <m/>
    <m/>
    <n v="0"/>
    <n v="0"/>
    <n v="0"/>
    <n v="0"/>
    <n v="0"/>
    <n v="0"/>
    <n v="0"/>
    <n v="0"/>
    <n v="0"/>
    <n v="0"/>
    <n v="0"/>
    <n v="0"/>
    <n v="0"/>
    <n v="0"/>
    <n v="0"/>
    <s v=""/>
    <x v="3"/>
    <m/>
  </r>
  <r>
    <x v="203"/>
    <x v="5"/>
    <x v="203"/>
    <x v="1"/>
    <m/>
    <x v="0"/>
    <x v="0"/>
    <s v="MinnGanHighSchool"/>
    <m/>
    <m/>
    <m/>
    <m/>
    <n v="492"/>
    <m/>
    <m/>
    <m/>
    <m/>
    <m/>
    <m/>
    <m/>
    <m/>
    <m/>
    <m/>
    <n v="0"/>
    <n v="0"/>
    <n v="0"/>
    <n v="0"/>
    <n v="0"/>
    <n v="0"/>
    <n v="0"/>
    <n v="0"/>
    <n v="0"/>
    <n v="0"/>
    <n v="0"/>
    <n v="0"/>
    <n v="0"/>
    <n v="0"/>
    <n v="0"/>
    <s v=""/>
    <x v="3"/>
    <m/>
  </r>
  <r>
    <x v="204"/>
    <x v="5"/>
    <x v="204"/>
    <x v="1"/>
    <m/>
    <x v="0"/>
    <x v="0"/>
    <s v="DamaYeikThar"/>
    <m/>
    <m/>
    <m/>
    <m/>
    <n v="32"/>
    <m/>
    <m/>
    <m/>
    <m/>
    <m/>
    <m/>
    <m/>
    <m/>
    <m/>
    <m/>
    <n v="0"/>
    <n v="0"/>
    <n v="0"/>
    <n v="0"/>
    <n v="0"/>
    <n v="0"/>
    <n v="0"/>
    <n v="0"/>
    <n v="0"/>
    <n v="0"/>
    <n v="0"/>
    <n v="0"/>
    <n v="0"/>
    <n v="0"/>
    <n v="0"/>
    <s v=""/>
    <x v="3"/>
    <m/>
  </r>
  <r>
    <x v="204"/>
    <x v="5"/>
    <x v="204"/>
    <x v="1"/>
    <m/>
    <x v="0"/>
    <x v="0"/>
    <s v="MyaTheinTan"/>
    <m/>
    <m/>
    <m/>
    <m/>
    <n v="5"/>
    <m/>
    <m/>
    <m/>
    <m/>
    <m/>
    <m/>
    <m/>
    <m/>
    <m/>
    <m/>
    <n v="0"/>
    <n v="0"/>
    <n v="0"/>
    <n v="0"/>
    <n v="0"/>
    <n v="0"/>
    <n v="0"/>
    <n v="0"/>
    <n v="0"/>
    <n v="0"/>
    <n v="0"/>
    <n v="0"/>
    <n v="0"/>
    <n v="0"/>
    <n v="0"/>
    <s v=""/>
    <x v="3"/>
    <m/>
  </r>
  <r>
    <x v="204"/>
    <x v="5"/>
    <x v="204"/>
    <x v="1"/>
    <m/>
    <x v="0"/>
    <x v="0"/>
    <s v="OhnTaPin"/>
    <m/>
    <m/>
    <m/>
    <m/>
    <n v="16"/>
    <m/>
    <m/>
    <m/>
    <m/>
    <m/>
    <m/>
    <m/>
    <m/>
    <m/>
    <m/>
    <n v="0"/>
    <n v="0"/>
    <n v="0"/>
    <n v="0"/>
    <n v="0"/>
    <n v="0"/>
    <n v="0"/>
    <n v="0"/>
    <n v="0"/>
    <n v="0"/>
    <n v="0"/>
    <n v="0"/>
    <n v="0"/>
    <n v="0"/>
    <n v="0"/>
    <s v=""/>
    <x v="3"/>
    <m/>
  </r>
  <r>
    <x v="204"/>
    <x v="5"/>
    <x v="204"/>
    <x v="1"/>
    <m/>
    <x v="0"/>
    <x v="0"/>
    <s v="Tayzindayama"/>
    <m/>
    <m/>
    <m/>
    <m/>
    <n v="11"/>
    <m/>
    <m/>
    <m/>
    <m/>
    <m/>
    <m/>
    <m/>
    <m/>
    <m/>
    <m/>
    <n v="0"/>
    <n v="0"/>
    <n v="0"/>
    <n v="0"/>
    <n v="0"/>
    <n v="0"/>
    <n v="0"/>
    <n v="0"/>
    <n v="0"/>
    <n v="0"/>
    <n v="0"/>
    <n v="0"/>
    <n v="0"/>
    <n v="0"/>
    <n v="0"/>
    <s v=""/>
    <x v="3"/>
    <m/>
  </r>
  <r>
    <x v="204"/>
    <x v="5"/>
    <x v="204"/>
    <x v="1"/>
    <m/>
    <x v="0"/>
    <x v="0"/>
    <s v="Weikzar Thaikdi Monastery"/>
    <m/>
    <m/>
    <m/>
    <m/>
    <n v="20"/>
    <m/>
    <m/>
    <m/>
    <m/>
    <m/>
    <m/>
    <m/>
    <m/>
    <m/>
    <m/>
    <n v="0"/>
    <n v="0"/>
    <n v="0"/>
    <n v="0"/>
    <n v="0"/>
    <n v="0"/>
    <n v="0"/>
    <n v="0"/>
    <n v="0"/>
    <n v="0"/>
    <n v="0"/>
    <n v="0"/>
    <n v="0"/>
    <n v="0"/>
    <n v="0"/>
    <s v="MMR012CMP075"/>
    <x v="4"/>
    <m/>
  </r>
  <r>
    <x v="204"/>
    <x v="5"/>
    <x v="204"/>
    <x v="1"/>
    <m/>
    <x v="0"/>
    <x v="0"/>
    <s v="YadaNarMinDaing"/>
    <m/>
    <m/>
    <m/>
    <m/>
    <n v="2"/>
    <m/>
    <m/>
    <m/>
    <m/>
    <m/>
    <m/>
    <m/>
    <m/>
    <m/>
    <m/>
    <n v="0"/>
    <n v="0"/>
    <n v="0"/>
    <n v="0"/>
    <n v="0"/>
    <n v="0"/>
    <n v="0"/>
    <n v="0"/>
    <n v="0"/>
    <n v="0"/>
    <n v="0"/>
    <n v="0"/>
    <n v="0"/>
    <n v="0"/>
    <n v="0"/>
    <s v=""/>
    <x v="3"/>
    <m/>
  </r>
  <r>
    <x v="205"/>
    <x v="5"/>
    <x v="205"/>
    <x v="1"/>
    <m/>
    <x v="0"/>
    <x v="0"/>
    <s v="Bamgalar A Wa Kune"/>
    <m/>
    <m/>
    <m/>
    <m/>
    <n v="5"/>
    <m/>
    <m/>
    <m/>
    <m/>
    <m/>
    <m/>
    <m/>
    <m/>
    <m/>
    <m/>
    <n v="0"/>
    <n v="0"/>
    <n v="0"/>
    <n v="0"/>
    <n v="0"/>
    <n v="0"/>
    <n v="0"/>
    <n v="0"/>
    <n v="0"/>
    <n v="0"/>
    <n v="0"/>
    <n v="0"/>
    <n v="0"/>
    <n v="0"/>
    <n v="0"/>
    <s v=""/>
    <x v="3"/>
    <m/>
  </r>
  <r>
    <x v="205"/>
    <x v="5"/>
    <x v="205"/>
    <x v="1"/>
    <m/>
    <x v="0"/>
    <x v="0"/>
    <s v="Dama Yar Ma"/>
    <m/>
    <m/>
    <m/>
    <m/>
    <n v="10"/>
    <m/>
    <m/>
    <m/>
    <m/>
    <m/>
    <m/>
    <m/>
    <m/>
    <m/>
    <m/>
    <n v="0"/>
    <n v="0"/>
    <n v="0"/>
    <n v="0"/>
    <n v="0"/>
    <n v="0"/>
    <n v="0"/>
    <n v="0"/>
    <n v="0"/>
    <n v="0"/>
    <n v="0"/>
    <n v="0"/>
    <n v="0"/>
    <n v="0"/>
    <n v="0"/>
    <s v=""/>
    <x v="3"/>
    <m/>
  </r>
  <r>
    <x v="205"/>
    <x v="5"/>
    <x v="205"/>
    <x v="1"/>
    <m/>
    <x v="0"/>
    <x v="0"/>
    <s v="Ka Yu Chaung"/>
    <m/>
    <m/>
    <m/>
    <m/>
    <n v="26"/>
    <m/>
    <m/>
    <m/>
    <m/>
    <m/>
    <m/>
    <m/>
    <m/>
    <m/>
    <m/>
    <n v="0"/>
    <n v="0"/>
    <n v="0"/>
    <n v="0"/>
    <n v="0"/>
    <n v="0"/>
    <n v="0"/>
    <n v="0"/>
    <n v="0"/>
    <n v="0"/>
    <n v="0"/>
    <n v="0"/>
    <n v="0"/>
    <n v="0"/>
    <n v="0"/>
    <s v=""/>
    <x v="3"/>
    <m/>
  </r>
  <r>
    <x v="205"/>
    <x v="5"/>
    <x v="205"/>
    <x v="1"/>
    <m/>
    <x v="0"/>
    <x v="0"/>
    <s v="Kha Maung Taw"/>
    <m/>
    <m/>
    <m/>
    <m/>
    <n v="12"/>
    <m/>
    <m/>
    <m/>
    <m/>
    <m/>
    <m/>
    <m/>
    <m/>
    <m/>
    <m/>
    <n v="0"/>
    <n v="0"/>
    <n v="0"/>
    <n v="0"/>
    <n v="0"/>
    <n v="0"/>
    <n v="0"/>
    <n v="0"/>
    <n v="0"/>
    <n v="0"/>
    <n v="0"/>
    <n v="0"/>
    <n v="0"/>
    <n v="0"/>
    <n v="0"/>
    <s v=""/>
    <x v="3"/>
    <m/>
  </r>
  <r>
    <x v="205"/>
    <x v="5"/>
    <x v="205"/>
    <x v="1"/>
    <m/>
    <x v="0"/>
    <x v="0"/>
    <s v="KyaungGyiLan"/>
    <m/>
    <m/>
    <m/>
    <m/>
    <n v="23"/>
    <m/>
    <m/>
    <m/>
    <m/>
    <m/>
    <m/>
    <m/>
    <m/>
    <m/>
    <m/>
    <n v="0"/>
    <n v="0"/>
    <n v="0"/>
    <n v="0"/>
    <n v="0"/>
    <n v="0"/>
    <n v="0"/>
    <n v="0"/>
    <n v="0"/>
    <n v="0"/>
    <n v="0"/>
    <n v="0"/>
    <n v="0"/>
    <n v="0"/>
    <n v="0"/>
    <s v=""/>
    <x v="3"/>
    <m/>
  </r>
  <r>
    <x v="205"/>
    <x v="5"/>
    <x v="205"/>
    <x v="1"/>
    <m/>
    <x v="0"/>
    <x v="0"/>
    <s v="MaYarMaGyi-old"/>
    <m/>
    <m/>
    <m/>
    <m/>
    <n v="36"/>
    <m/>
    <m/>
    <m/>
    <m/>
    <m/>
    <m/>
    <m/>
    <m/>
    <m/>
    <m/>
    <n v="0"/>
    <n v="0"/>
    <n v="0"/>
    <n v="0"/>
    <n v="0"/>
    <n v="0"/>
    <n v="0"/>
    <n v="0"/>
    <n v="0"/>
    <n v="0"/>
    <n v="0"/>
    <n v="0"/>
    <n v="0"/>
    <n v="0"/>
    <n v="0"/>
    <s v=""/>
    <x v="3"/>
    <m/>
  </r>
  <r>
    <x v="205"/>
    <x v="5"/>
    <x v="205"/>
    <x v="1"/>
    <m/>
    <x v="0"/>
    <x v="0"/>
    <s v="PyinNyarLinkarya"/>
    <m/>
    <m/>
    <m/>
    <m/>
    <n v="33"/>
    <m/>
    <m/>
    <m/>
    <m/>
    <m/>
    <m/>
    <m/>
    <m/>
    <m/>
    <m/>
    <n v="0"/>
    <n v="0"/>
    <n v="0"/>
    <n v="0"/>
    <n v="0"/>
    <n v="0"/>
    <n v="0"/>
    <n v="0"/>
    <n v="0"/>
    <n v="0"/>
    <n v="0"/>
    <n v="0"/>
    <n v="0"/>
    <n v="0"/>
    <n v="0"/>
    <s v=""/>
    <x v="3"/>
    <m/>
  </r>
  <r>
    <x v="205"/>
    <x v="5"/>
    <x v="205"/>
    <x v="1"/>
    <m/>
    <x v="0"/>
    <x v="0"/>
    <s v="Shwe Pyar"/>
    <m/>
    <m/>
    <m/>
    <m/>
    <n v="3"/>
    <m/>
    <m/>
    <m/>
    <m/>
    <m/>
    <m/>
    <m/>
    <m/>
    <m/>
    <m/>
    <n v="0"/>
    <n v="0"/>
    <n v="0"/>
    <n v="0"/>
    <n v="0"/>
    <n v="0"/>
    <n v="0"/>
    <n v="0"/>
    <n v="0"/>
    <n v="0"/>
    <n v="0"/>
    <n v="0"/>
    <n v="0"/>
    <n v="0"/>
    <n v="0"/>
    <s v=""/>
    <x v="3"/>
    <m/>
  </r>
  <r>
    <x v="205"/>
    <x v="5"/>
    <x v="205"/>
    <x v="1"/>
    <m/>
    <x v="0"/>
    <x v="0"/>
    <s v="Theit Di Kar Yone Monastery"/>
    <m/>
    <m/>
    <m/>
    <m/>
    <n v="27"/>
    <m/>
    <m/>
    <m/>
    <m/>
    <m/>
    <m/>
    <m/>
    <m/>
    <m/>
    <m/>
    <n v="0"/>
    <n v="0"/>
    <n v="0"/>
    <n v="0"/>
    <n v="0"/>
    <n v="0"/>
    <n v="0"/>
    <n v="0"/>
    <n v="0"/>
    <n v="0"/>
    <n v="0"/>
    <n v="0"/>
    <n v="0"/>
    <n v="0"/>
    <n v="0"/>
    <s v="MMR012CMP067"/>
    <x v="4"/>
    <m/>
  </r>
  <r>
    <x v="205"/>
    <x v="5"/>
    <x v="205"/>
    <x v="1"/>
    <m/>
    <x v="0"/>
    <x v="0"/>
    <s v="Uwa Ya Ma"/>
    <m/>
    <m/>
    <m/>
    <m/>
    <n v="19"/>
    <m/>
    <m/>
    <m/>
    <m/>
    <m/>
    <m/>
    <m/>
    <m/>
    <m/>
    <m/>
    <n v="0"/>
    <n v="0"/>
    <n v="0"/>
    <n v="0"/>
    <n v="0"/>
    <n v="0"/>
    <n v="0"/>
    <n v="0"/>
    <n v="0"/>
    <n v="0"/>
    <n v="0"/>
    <n v="0"/>
    <n v="0"/>
    <n v="0"/>
    <n v="0"/>
    <s v=""/>
    <x v="3"/>
    <m/>
  </r>
  <r>
    <x v="206"/>
    <x v="5"/>
    <x v="206"/>
    <x v="1"/>
    <m/>
    <x v="0"/>
    <x v="0"/>
    <s v="Kyar Yoke"/>
    <m/>
    <m/>
    <m/>
    <m/>
    <n v="33"/>
    <m/>
    <m/>
    <m/>
    <m/>
    <m/>
    <m/>
    <m/>
    <m/>
    <m/>
    <m/>
    <n v="0"/>
    <n v="0"/>
    <n v="0"/>
    <n v="0"/>
    <n v="0"/>
    <n v="0"/>
    <n v="0"/>
    <n v="0"/>
    <n v="0"/>
    <n v="0"/>
    <n v="0"/>
    <n v="0"/>
    <n v="0"/>
    <n v="0"/>
    <n v="0"/>
    <s v=""/>
    <x v="3"/>
    <m/>
  </r>
  <r>
    <x v="206"/>
    <x v="5"/>
    <x v="206"/>
    <x v="1"/>
    <m/>
    <x v="0"/>
    <x v="0"/>
    <s v="Layaungwin Monastery"/>
    <m/>
    <m/>
    <m/>
    <m/>
    <n v="9"/>
    <m/>
    <m/>
    <m/>
    <m/>
    <m/>
    <m/>
    <m/>
    <m/>
    <m/>
    <m/>
    <n v="0"/>
    <n v="0"/>
    <n v="0"/>
    <n v="0"/>
    <n v="0"/>
    <n v="0"/>
    <n v="0"/>
    <n v="0"/>
    <n v="0"/>
    <n v="0"/>
    <n v="0"/>
    <n v="0"/>
    <n v="0"/>
    <n v="0"/>
    <n v="0"/>
    <s v="MMR012CMP062"/>
    <x v="4"/>
    <m/>
  </r>
  <r>
    <x v="206"/>
    <x v="5"/>
    <x v="206"/>
    <x v="1"/>
    <m/>
    <x v="0"/>
    <x v="0"/>
    <s v="Shwe Zay Ti Monastery"/>
    <m/>
    <m/>
    <m/>
    <m/>
    <n v="201"/>
    <m/>
    <m/>
    <m/>
    <m/>
    <m/>
    <m/>
    <m/>
    <m/>
    <m/>
    <m/>
    <n v="0"/>
    <n v="0"/>
    <n v="0"/>
    <n v="0"/>
    <n v="0"/>
    <n v="0"/>
    <n v="0"/>
    <n v="0"/>
    <n v="0"/>
    <n v="0"/>
    <n v="0"/>
    <n v="0"/>
    <n v="0"/>
    <n v="0"/>
    <n v="0"/>
    <s v="MMR012CMP065"/>
    <x v="4"/>
    <m/>
  </r>
  <r>
    <x v="206"/>
    <x v="5"/>
    <x v="206"/>
    <x v="1"/>
    <m/>
    <x v="0"/>
    <x v="0"/>
    <s v="Ya Tayar Monastery"/>
    <m/>
    <m/>
    <m/>
    <m/>
    <n v="52"/>
    <m/>
    <m/>
    <m/>
    <m/>
    <m/>
    <m/>
    <m/>
    <m/>
    <m/>
    <m/>
    <n v="0"/>
    <n v="0"/>
    <n v="0"/>
    <n v="0"/>
    <n v="0"/>
    <n v="0"/>
    <n v="0"/>
    <n v="0"/>
    <n v="0"/>
    <n v="0"/>
    <n v="0"/>
    <n v="0"/>
    <n v="0"/>
    <n v="0"/>
    <n v="0"/>
    <s v="MMR012CMP074"/>
    <x v="4"/>
    <m/>
  </r>
  <r>
    <x v="207"/>
    <x v="5"/>
    <x v="207"/>
    <x v="1"/>
    <m/>
    <x v="0"/>
    <x v="0"/>
    <s v="Ar Thaw Ka Yone Monastery"/>
    <m/>
    <m/>
    <m/>
    <m/>
    <n v="43"/>
    <m/>
    <m/>
    <m/>
    <m/>
    <m/>
    <m/>
    <m/>
    <m/>
    <m/>
    <m/>
    <n v="0"/>
    <n v="0"/>
    <n v="0"/>
    <n v="0"/>
    <n v="0"/>
    <n v="0"/>
    <n v="0"/>
    <n v="0"/>
    <n v="0"/>
    <n v="0"/>
    <n v="0"/>
    <n v="0"/>
    <n v="0"/>
    <n v="0"/>
    <n v="0"/>
    <s v="MMR012CMP069"/>
    <x v="4"/>
    <m/>
  </r>
  <r>
    <x v="207"/>
    <x v="5"/>
    <x v="207"/>
    <x v="1"/>
    <m/>
    <x v="0"/>
    <x v="0"/>
    <s v="Boke Daw Maw"/>
    <m/>
    <m/>
    <m/>
    <m/>
    <n v="171"/>
    <m/>
    <m/>
    <m/>
    <m/>
    <m/>
    <m/>
    <m/>
    <m/>
    <m/>
    <m/>
    <n v="0"/>
    <n v="0"/>
    <n v="0"/>
    <n v="0"/>
    <n v="0"/>
    <n v="0"/>
    <n v="0"/>
    <n v="0"/>
    <n v="0"/>
    <n v="0"/>
    <n v="0"/>
    <n v="0"/>
    <n v="0"/>
    <n v="0"/>
    <n v="0"/>
    <s v=""/>
    <x v="3"/>
    <m/>
  </r>
  <r>
    <x v="207"/>
    <x v="5"/>
    <x v="207"/>
    <x v="1"/>
    <m/>
    <x v="0"/>
    <x v="0"/>
    <s v="Dar Pai"/>
    <m/>
    <m/>
    <m/>
    <m/>
    <n v="18"/>
    <m/>
    <m/>
    <m/>
    <m/>
    <m/>
    <m/>
    <m/>
    <m/>
    <m/>
    <m/>
    <n v="0"/>
    <n v="0"/>
    <n v="0"/>
    <n v="0"/>
    <n v="0"/>
    <n v="0"/>
    <n v="0"/>
    <n v="0"/>
    <n v="0"/>
    <n v="0"/>
    <n v="0"/>
    <n v="0"/>
    <n v="0"/>
    <n v="0"/>
    <n v="0"/>
    <s v="MMR012CMP041"/>
    <x v="0"/>
    <m/>
  </r>
  <r>
    <x v="207"/>
    <x v="5"/>
    <x v="207"/>
    <x v="1"/>
    <m/>
    <x v="0"/>
    <x v="0"/>
    <s v="Gyit Bak Monastery"/>
    <m/>
    <m/>
    <m/>
    <m/>
    <n v="36"/>
    <m/>
    <m/>
    <m/>
    <m/>
    <m/>
    <m/>
    <m/>
    <m/>
    <m/>
    <m/>
    <n v="0"/>
    <n v="0"/>
    <n v="0"/>
    <n v="0"/>
    <n v="0"/>
    <n v="0"/>
    <n v="0"/>
    <n v="0"/>
    <n v="0"/>
    <n v="0"/>
    <n v="0"/>
    <n v="0"/>
    <n v="0"/>
    <n v="0"/>
    <n v="0"/>
    <s v="MMR012CMP073"/>
    <x v="4"/>
    <m/>
  </r>
  <r>
    <x v="207"/>
    <x v="5"/>
    <x v="207"/>
    <x v="1"/>
    <m/>
    <x v="0"/>
    <x v="0"/>
    <s v="Gyit Chay Monastery"/>
    <m/>
    <m/>
    <m/>
    <m/>
    <n v="69"/>
    <m/>
    <m/>
    <m/>
    <m/>
    <m/>
    <m/>
    <m/>
    <m/>
    <m/>
    <m/>
    <n v="0"/>
    <n v="0"/>
    <n v="0"/>
    <n v="0"/>
    <n v="0"/>
    <n v="0"/>
    <n v="0"/>
    <n v="0"/>
    <n v="0"/>
    <n v="0"/>
    <n v="0"/>
    <n v="0"/>
    <n v="0"/>
    <n v="0"/>
    <n v="0"/>
    <s v="MMR012CMP061"/>
    <x v="4"/>
    <m/>
  </r>
  <r>
    <x v="207"/>
    <x v="5"/>
    <x v="207"/>
    <x v="1"/>
    <m/>
    <x v="0"/>
    <x v="0"/>
    <s v="Khaung Doke Khar "/>
    <m/>
    <m/>
    <m/>
    <m/>
    <n v="132"/>
    <m/>
    <m/>
    <m/>
    <m/>
    <m/>
    <m/>
    <m/>
    <m/>
    <m/>
    <m/>
    <n v="0"/>
    <n v="0"/>
    <n v="0"/>
    <n v="0"/>
    <n v="0"/>
    <n v="0"/>
    <n v="0"/>
    <n v="0"/>
    <n v="0"/>
    <n v="0"/>
    <n v="0"/>
    <n v="0"/>
    <n v="0"/>
    <n v="0"/>
    <n v="0"/>
    <s v="MMR012CMP042"/>
    <x v="0"/>
    <m/>
  </r>
  <r>
    <x v="207"/>
    <x v="5"/>
    <x v="207"/>
    <x v="1"/>
    <m/>
    <x v="0"/>
    <x v="0"/>
    <s v="Su Taung Pyae Monastery"/>
    <m/>
    <m/>
    <m/>
    <m/>
    <n v="280"/>
    <m/>
    <m/>
    <m/>
    <m/>
    <m/>
    <m/>
    <m/>
    <m/>
    <m/>
    <m/>
    <n v="0"/>
    <n v="0"/>
    <n v="0"/>
    <n v="0"/>
    <n v="0"/>
    <n v="0"/>
    <n v="0"/>
    <n v="0"/>
    <n v="0"/>
    <n v="0"/>
    <n v="0"/>
    <n v="0"/>
    <n v="0"/>
    <n v="0"/>
    <n v="0"/>
    <s v="MMR012CMP066"/>
    <x v="4"/>
    <m/>
  </r>
  <r>
    <x v="208"/>
    <x v="5"/>
    <x v="208"/>
    <x v="1"/>
    <m/>
    <x v="0"/>
    <x v="0"/>
    <s v="Danyawaddy Baw Lone Kwin"/>
    <m/>
    <m/>
    <m/>
    <m/>
    <n v="103"/>
    <m/>
    <m/>
    <m/>
    <m/>
    <m/>
    <m/>
    <m/>
    <m/>
    <m/>
    <m/>
    <n v="0"/>
    <n v="0"/>
    <n v="0"/>
    <n v="0"/>
    <n v="0"/>
    <n v="0"/>
    <n v="0"/>
    <n v="0"/>
    <n v="0"/>
    <n v="0"/>
    <n v="0"/>
    <n v="0"/>
    <n v="0"/>
    <n v="0"/>
    <n v="0"/>
    <s v="MMR012CMP055"/>
    <x v="4"/>
    <m/>
  </r>
  <r>
    <x v="208"/>
    <x v="5"/>
    <x v="208"/>
    <x v="1"/>
    <m/>
    <x v="0"/>
    <x v="0"/>
    <s v="Khaung Laung"/>
    <m/>
    <m/>
    <m/>
    <m/>
    <n v="36"/>
    <m/>
    <m/>
    <m/>
    <m/>
    <m/>
    <m/>
    <m/>
    <m/>
    <m/>
    <m/>
    <n v="0"/>
    <n v="0"/>
    <n v="0"/>
    <n v="0"/>
    <n v="0"/>
    <n v="0"/>
    <n v="0"/>
    <n v="0"/>
    <n v="0"/>
    <n v="0"/>
    <n v="0"/>
    <n v="0"/>
    <n v="0"/>
    <n v="0"/>
    <n v="0"/>
    <s v=""/>
    <x v="3"/>
    <m/>
  </r>
  <r>
    <x v="208"/>
    <x v="5"/>
    <x v="208"/>
    <x v="1"/>
    <m/>
    <x v="0"/>
    <x v="0"/>
    <s v="Nyar Ni Kar Ya Ma"/>
    <m/>
    <m/>
    <m/>
    <m/>
    <n v="36"/>
    <m/>
    <m/>
    <m/>
    <m/>
    <m/>
    <m/>
    <m/>
    <m/>
    <m/>
    <m/>
    <n v="0"/>
    <n v="0"/>
    <n v="0"/>
    <n v="0"/>
    <n v="0"/>
    <n v="0"/>
    <n v="0"/>
    <n v="0"/>
    <n v="0"/>
    <n v="0"/>
    <n v="0"/>
    <n v="0"/>
    <n v="0"/>
    <n v="0"/>
    <n v="0"/>
    <s v=""/>
    <x v="3"/>
    <m/>
  </r>
  <r>
    <x v="208"/>
    <x v="5"/>
    <x v="208"/>
    <x v="1"/>
    <m/>
    <x v="0"/>
    <x v="0"/>
    <s v="Pyin Nyar Mandine Monastery"/>
    <m/>
    <m/>
    <m/>
    <m/>
    <n v="9"/>
    <m/>
    <m/>
    <m/>
    <m/>
    <m/>
    <m/>
    <m/>
    <m/>
    <m/>
    <m/>
    <n v="0"/>
    <n v="0"/>
    <n v="0"/>
    <n v="0"/>
    <n v="0"/>
    <n v="0"/>
    <n v="0"/>
    <n v="0"/>
    <n v="0"/>
    <n v="0"/>
    <n v="0"/>
    <n v="0"/>
    <n v="0"/>
    <n v="0"/>
    <n v="0"/>
    <s v="MMR012CMP064"/>
    <x v="4"/>
    <m/>
  </r>
  <r>
    <x v="208"/>
    <x v="5"/>
    <x v="208"/>
    <x v="1"/>
    <m/>
    <x v="0"/>
    <x v="0"/>
    <s v="TanTan"/>
    <m/>
    <m/>
    <m/>
    <m/>
    <n v="20"/>
    <m/>
    <m/>
    <m/>
    <m/>
    <m/>
    <m/>
    <m/>
    <m/>
    <m/>
    <m/>
    <n v="0"/>
    <n v="0"/>
    <n v="0"/>
    <n v="0"/>
    <n v="0"/>
    <n v="0"/>
    <n v="0"/>
    <n v="0"/>
    <n v="0"/>
    <n v="0"/>
    <n v="0"/>
    <n v="0"/>
    <n v="0"/>
    <n v="0"/>
    <n v="0"/>
    <s v=""/>
    <x v="3"/>
    <m/>
  </r>
  <r>
    <x v="208"/>
    <x v="5"/>
    <x v="208"/>
    <x v="1"/>
    <m/>
    <x v="0"/>
    <x v="0"/>
    <s v="Tha Ma Da ZTK"/>
    <m/>
    <m/>
    <m/>
    <m/>
    <n v="35"/>
    <m/>
    <m/>
    <m/>
    <m/>
    <m/>
    <m/>
    <m/>
    <m/>
    <m/>
    <m/>
    <n v="0"/>
    <n v="0"/>
    <n v="0"/>
    <n v="0"/>
    <n v="0"/>
    <n v="0"/>
    <n v="0"/>
    <n v="0"/>
    <n v="0"/>
    <n v="0"/>
    <n v="0"/>
    <n v="0"/>
    <n v="0"/>
    <n v="0"/>
    <n v="0"/>
    <s v=""/>
    <x v="3"/>
    <m/>
  </r>
  <r>
    <x v="209"/>
    <x v="5"/>
    <x v="209"/>
    <x v="1"/>
    <m/>
    <x v="0"/>
    <x v="0"/>
    <s v="Dak Kaung Monastery"/>
    <m/>
    <m/>
    <m/>
    <m/>
    <n v="66"/>
    <m/>
    <m/>
    <m/>
    <m/>
    <m/>
    <m/>
    <m/>
    <m/>
    <m/>
    <m/>
    <n v="0"/>
    <n v="0"/>
    <n v="0"/>
    <n v="0"/>
    <n v="0"/>
    <n v="0"/>
    <n v="0"/>
    <n v="0"/>
    <n v="0"/>
    <n v="0"/>
    <n v="0"/>
    <n v="0"/>
    <n v="0"/>
    <n v="0"/>
    <n v="0"/>
    <s v="MMR012CMP059"/>
    <x v="4"/>
    <m/>
  </r>
  <r>
    <x v="209"/>
    <x v="5"/>
    <x v="209"/>
    <x v="1"/>
    <m/>
    <x v="0"/>
    <x v="0"/>
    <s v="Mahar Zay Ya Theik"/>
    <m/>
    <m/>
    <m/>
    <m/>
    <n v="37"/>
    <m/>
    <m/>
    <m/>
    <m/>
    <m/>
    <m/>
    <m/>
    <m/>
    <m/>
    <m/>
    <n v="0"/>
    <n v="0"/>
    <n v="0"/>
    <n v="0"/>
    <n v="0"/>
    <n v="0"/>
    <n v="0"/>
    <n v="0"/>
    <n v="0"/>
    <n v="0"/>
    <n v="0"/>
    <n v="0"/>
    <n v="0"/>
    <n v="0"/>
    <n v="0"/>
    <s v=""/>
    <x v="3"/>
    <m/>
  </r>
  <r>
    <x v="209"/>
    <x v="5"/>
    <x v="209"/>
    <x v="1"/>
    <m/>
    <x v="0"/>
    <x v="0"/>
    <s v="Myo Ma Monastery"/>
    <m/>
    <m/>
    <m/>
    <m/>
    <n v="66"/>
    <m/>
    <m/>
    <m/>
    <m/>
    <m/>
    <m/>
    <m/>
    <m/>
    <m/>
    <m/>
    <n v="0"/>
    <n v="0"/>
    <n v="0"/>
    <n v="0"/>
    <n v="0"/>
    <n v="0"/>
    <n v="0"/>
    <n v="0"/>
    <n v="0"/>
    <n v="0"/>
    <n v="0"/>
    <n v="0"/>
    <n v="0"/>
    <n v="0"/>
    <n v="0"/>
    <s v="MMR012CMP063"/>
    <x v="4"/>
    <m/>
  </r>
  <r>
    <x v="209"/>
    <x v="5"/>
    <x v="209"/>
    <x v="1"/>
    <m/>
    <x v="0"/>
    <x v="0"/>
    <s v="Sin Ku Lann Monastery"/>
    <m/>
    <m/>
    <m/>
    <m/>
    <n v="62"/>
    <m/>
    <m/>
    <m/>
    <m/>
    <m/>
    <m/>
    <m/>
    <m/>
    <m/>
    <m/>
    <n v="0"/>
    <n v="0"/>
    <n v="0"/>
    <n v="0"/>
    <n v="0"/>
    <n v="0"/>
    <n v="0"/>
    <n v="0"/>
    <n v="0"/>
    <n v="0"/>
    <n v="0"/>
    <n v="0"/>
    <n v="0"/>
    <n v="0"/>
    <n v="0"/>
    <s v="MMR012CMP068"/>
    <x v="4"/>
    <m/>
  </r>
  <r>
    <x v="209"/>
    <x v="5"/>
    <x v="209"/>
    <x v="1"/>
    <m/>
    <x v="0"/>
    <x v="0"/>
    <s v="Thet Kae Pyin "/>
    <m/>
    <m/>
    <m/>
    <m/>
    <n v="200"/>
    <m/>
    <m/>
    <m/>
    <m/>
    <m/>
    <m/>
    <m/>
    <m/>
    <m/>
    <m/>
    <n v="0"/>
    <n v="0"/>
    <n v="0"/>
    <n v="0"/>
    <n v="0"/>
    <n v="0"/>
    <n v="0"/>
    <n v="0"/>
    <n v="0"/>
    <n v="0"/>
    <n v="0"/>
    <n v="0"/>
    <n v="0"/>
    <n v="0"/>
    <n v="0"/>
    <s v="MMR012CMP048"/>
    <x v="0"/>
    <m/>
  </r>
  <r>
    <x v="210"/>
    <x v="5"/>
    <x v="210"/>
    <x v="1"/>
    <m/>
    <x v="0"/>
    <x v="0"/>
    <s v="Da Ma Set Kyar"/>
    <m/>
    <m/>
    <m/>
    <m/>
    <n v="52"/>
    <m/>
    <m/>
    <m/>
    <m/>
    <m/>
    <m/>
    <m/>
    <m/>
    <m/>
    <m/>
    <n v="0"/>
    <n v="0"/>
    <n v="0"/>
    <n v="0"/>
    <n v="0"/>
    <n v="0"/>
    <n v="0"/>
    <n v="0"/>
    <n v="0"/>
    <n v="0"/>
    <n v="0"/>
    <n v="0"/>
    <n v="0"/>
    <n v="0"/>
    <n v="0"/>
    <s v=""/>
    <x v="3"/>
    <m/>
  </r>
  <r>
    <x v="210"/>
    <x v="5"/>
    <x v="210"/>
    <x v="1"/>
    <m/>
    <x v="0"/>
    <x v="0"/>
    <s v="Dar Pai"/>
    <m/>
    <m/>
    <m/>
    <m/>
    <n v="300"/>
    <m/>
    <m/>
    <m/>
    <m/>
    <m/>
    <m/>
    <m/>
    <m/>
    <m/>
    <m/>
    <n v="0"/>
    <n v="0"/>
    <n v="0"/>
    <n v="0"/>
    <n v="0"/>
    <n v="0"/>
    <n v="0"/>
    <n v="0"/>
    <n v="0"/>
    <n v="0"/>
    <n v="0"/>
    <n v="0"/>
    <n v="0"/>
    <n v="0"/>
    <n v="0"/>
    <s v="MMR012CMP041"/>
    <x v="0"/>
    <m/>
  </r>
  <r>
    <x v="210"/>
    <x v="5"/>
    <x v="210"/>
    <x v="1"/>
    <m/>
    <x v="0"/>
    <x v="0"/>
    <s v="Kaw Nyar Na"/>
    <m/>
    <m/>
    <m/>
    <m/>
    <n v="9"/>
    <m/>
    <m/>
    <m/>
    <m/>
    <m/>
    <m/>
    <m/>
    <m/>
    <m/>
    <m/>
    <n v="0"/>
    <n v="0"/>
    <n v="0"/>
    <n v="0"/>
    <n v="0"/>
    <n v="0"/>
    <n v="0"/>
    <n v="0"/>
    <n v="0"/>
    <n v="0"/>
    <n v="0"/>
    <n v="0"/>
    <n v="0"/>
    <n v="0"/>
    <n v="0"/>
    <s v=""/>
    <x v="3"/>
    <m/>
  </r>
  <r>
    <x v="210"/>
    <x v="5"/>
    <x v="210"/>
    <x v="1"/>
    <m/>
    <x v="0"/>
    <x v="0"/>
    <s v="Phyin Nyar Ag Myay"/>
    <m/>
    <m/>
    <m/>
    <m/>
    <n v="11"/>
    <m/>
    <m/>
    <m/>
    <m/>
    <m/>
    <m/>
    <m/>
    <m/>
    <m/>
    <m/>
    <n v="0"/>
    <n v="0"/>
    <n v="0"/>
    <n v="0"/>
    <n v="0"/>
    <n v="0"/>
    <n v="0"/>
    <n v="0"/>
    <n v="0"/>
    <n v="0"/>
    <n v="0"/>
    <n v="0"/>
    <n v="0"/>
    <n v="0"/>
    <n v="0"/>
    <s v=""/>
    <x v="3"/>
    <m/>
  </r>
  <r>
    <x v="210"/>
    <x v="5"/>
    <x v="210"/>
    <x v="1"/>
    <m/>
    <x v="0"/>
    <x v="0"/>
    <s v="Sit Kae Taw Min"/>
    <m/>
    <m/>
    <m/>
    <m/>
    <n v="89"/>
    <m/>
    <m/>
    <m/>
    <m/>
    <m/>
    <m/>
    <m/>
    <m/>
    <m/>
    <m/>
    <n v="0"/>
    <n v="0"/>
    <n v="0"/>
    <n v="0"/>
    <n v="0"/>
    <n v="0"/>
    <n v="0"/>
    <n v="0"/>
    <n v="0"/>
    <n v="0"/>
    <n v="0"/>
    <n v="0"/>
    <n v="0"/>
    <n v="0"/>
    <n v="0"/>
    <s v=""/>
    <x v="3"/>
    <m/>
  </r>
  <r>
    <x v="211"/>
    <x v="5"/>
    <x v="211"/>
    <x v="1"/>
    <m/>
    <x v="0"/>
    <x v="0"/>
    <s v="Ma Ni Yadanar Monastery"/>
    <m/>
    <m/>
    <m/>
    <m/>
    <n v="120"/>
    <m/>
    <m/>
    <m/>
    <m/>
    <m/>
    <m/>
    <m/>
    <m/>
    <m/>
    <m/>
    <n v="0"/>
    <n v="0"/>
    <n v="0"/>
    <n v="0"/>
    <n v="0"/>
    <n v="0"/>
    <n v="0"/>
    <n v="0"/>
    <n v="0"/>
    <n v="0"/>
    <n v="0"/>
    <n v="0"/>
    <n v="0"/>
    <n v="0"/>
    <n v="0"/>
    <s v="MMR012CMP072"/>
    <x v="4"/>
    <m/>
  </r>
  <r>
    <x v="211"/>
    <x v="5"/>
    <x v="211"/>
    <x v="1"/>
    <m/>
    <x v="0"/>
    <x v="0"/>
    <s v="MahaKuthaLa"/>
    <m/>
    <m/>
    <m/>
    <m/>
    <n v="11"/>
    <m/>
    <m/>
    <m/>
    <m/>
    <m/>
    <m/>
    <m/>
    <m/>
    <m/>
    <m/>
    <n v="0"/>
    <n v="0"/>
    <n v="0"/>
    <n v="0"/>
    <n v="0"/>
    <n v="0"/>
    <n v="0"/>
    <n v="0"/>
    <n v="0"/>
    <n v="0"/>
    <n v="0"/>
    <n v="0"/>
    <n v="0"/>
    <n v="0"/>
    <n v="0"/>
    <s v=""/>
    <x v="3"/>
    <m/>
  </r>
  <r>
    <x v="211"/>
    <x v="5"/>
    <x v="211"/>
    <x v="1"/>
    <m/>
    <x v="0"/>
    <x v="0"/>
    <s v="U Ye Kyaw Thu"/>
    <m/>
    <m/>
    <m/>
    <m/>
    <n v="200"/>
    <m/>
    <m/>
    <m/>
    <m/>
    <m/>
    <m/>
    <m/>
    <m/>
    <m/>
    <m/>
    <n v="0"/>
    <n v="0"/>
    <n v="0"/>
    <n v="0"/>
    <n v="0"/>
    <n v="0"/>
    <n v="0"/>
    <n v="0"/>
    <n v="0"/>
    <n v="0"/>
    <n v="0"/>
    <n v="0"/>
    <n v="0"/>
    <n v="0"/>
    <n v="0"/>
    <s v=""/>
    <x v="3"/>
    <m/>
  </r>
  <r>
    <x v="212"/>
    <x v="6"/>
    <x v="212"/>
    <x v="22"/>
    <m/>
    <x v="1"/>
    <x v="10"/>
    <m/>
    <m/>
    <m/>
    <m/>
    <m/>
    <m/>
    <m/>
    <m/>
    <m/>
    <m/>
    <m/>
    <m/>
    <m/>
    <m/>
    <m/>
    <m/>
    <m/>
    <m/>
    <m/>
    <m/>
    <m/>
    <m/>
    <m/>
    <m/>
    <m/>
    <m/>
    <m/>
    <n v="0"/>
    <n v="0"/>
    <n v="0"/>
    <n v="0"/>
    <m/>
    <x v="5"/>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r>
    <x v="213"/>
    <x v="7"/>
    <x v="212"/>
    <x v="22"/>
    <m/>
    <x v="1"/>
    <x v="10"/>
    <m/>
    <m/>
    <m/>
    <m/>
    <m/>
    <m/>
    <m/>
    <m/>
    <m/>
    <m/>
    <m/>
    <m/>
    <m/>
    <m/>
    <m/>
    <m/>
    <n v="0"/>
    <n v="0"/>
    <n v="0"/>
    <n v="0"/>
    <n v="0"/>
    <n v="0"/>
    <n v="0"/>
    <n v="0"/>
    <n v="0"/>
    <n v="0"/>
    <n v="0"/>
    <n v="0"/>
    <n v="0"/>
    <n v="0"/>
    <n v="0"/>
    <s v=""/>
    <x v="3"/>
    <m/>
  </r>
</pivotCacheRecords>
</file>

<file path=xl/pivotCache/pivotCacheRecords2.xml><?xml version="1.0" encoding="utf-8"?>
<pivotCacheRecords xmlns="http://schemas.openxmlformats.org/spreadsheetml/2006/main" xmlns:r="http://schemas.openxmlformats.org/officeDocument/2006/relationships" count="137">
  <r>
    <d v="2015-12-01T00:00:00"/>
    <x v="0"/>
    <s v="Government"/>
    <x v="0"/>
    <x v="0"/>
    <m/>
    <n v="1"/>
    <m/>
    <m/>
    <m/>
    <m/>
    <m/>
    <m/>
    <m/>
    <m/>
    <m/>
    <m/>
    <n v="757"/>
    <m/>
    <n v="0"/>
    <m/>
    <s v=""/>
    <s v=""/>
    <n v="0"/>
    <n v="0"/>
  </r>
  <r>
    <d v="2015-12-01T00:00:00"/>
    <x v="0"/>
    <s v="Government"/>
    <x v="0"/>
    <x v="1"/>
    <m/>
    <n v="1"/>
    <m/>
    <m/>
    <m/>
    <m/>
    <m/>
    <m/>
    <m/>
    <m/>
    <m/>
    <m/>
    <n v="248"/>
    <m/>
    <n v="0"/>
    <m/>
    <s v=""/>
    <s v=""/>
    <n v="0"/>
    <n v="0"/>
  </r>
  <r>
    <d v="2015-12-01T00:00:00"/>
    <x v="0"/>
    <s v="Government"/>
    <x v="0"/>
    <x v="2"/>
    <m/>
    <m/>
    <m/>
    <m/>
    <m/>
    <m/>
    <m/>
    <m/>
    <m/>
    <m/>
    <n v="151"/>
    <m/>
    <m/>
    <m/>
    <n v="0"/>
    <m/>
    <s v=""/>
    <s v=""/>
    <n v="151"/>
    <n v="0"/>
  </r>
  <r>
    <d v="2015-09-21T00:00:00"/>
    <x v="0"/>
    <s v="UNHCR"/>
    <x v="0"/>
    <x v="0"/>
    <s v="Khaung Htoke"/>
    <n v="1"/>
    <n v="17"/>
    <n v="17"/>
    <m/>
    <m/>
    <m/>
    <m/>
    <m/>
    <m/>
    <m/>
    <m/>
    <m/>
    <n v="0"/>
    <n v="0"/>
    <m/>
    <s v="Relocated"/>
    <n v="0"/>
    <n v="0"/>
    <n v="0"/>
  </r>
  <r>
    <d v="2015-07-01T00:00:00"/>
    <x v="1"/>
    <s v="Government"/>
    <x v="0"/>
    <x v="3"/>
    <s v="Pha Yar Gyi Kwin"/>
    <n v="1"/>
    <m/>
    <m/>
    <m/>
    <m/>
    <m/>
    <n v="53"/>
    <m/>
    <m/>
    <m/>
    <m/>
    <m/>
    <n v="0"/>
    <n v="0"/>
    <s v=""/>
    <s v=""/>
    <s v=""/>
    <n v="53"/>
    <n v="0"/>
  </r>
  <r>
    <d v="2015-07-01T00:00:00"/>
    <x v="1"/>
    <s v="Government"/>
    <x v="0"/>
    <x v="4"/>
    <s v="Cheik Thaung"/>
    <n v="1"/>
    <m/>
    <m/>
    <m/>
    <m/>
    <m/>
    <n v="4"/>
    <n v="4"/>
    <m/>
    <m/>
    <m/>
    <m/>
    <n v="4"/>
    <n v="0"/>
    <s v=""/>
    <s v=""/>
    <s v=""/>
    <n v="4"/>
    <n v="4"/>
  </r>
  <r>
    <d v="2015-07-01T00:00:00"/>
    <x v="1"/>
    <s v="Government"/>
    <x v="0"/>
    <x v="3"/>
    <s v="Kyauk Ta Lone"/>
    <n v="1"/>
    <m/>
    <m/>
    <m/>
    <m/>
    <m/>
    <n v="47"/>
    <m/>
    <m/>
    <m/>
    <m/>
    <m/>
    <n v="0"/>
    <n v="0"/>
    <s v="MMR012CMP035"/>
    <s v="Open"/>
    <n v="0"/>
    <n v="47"/>
    <n v="0"/>
  </r>
  <r>
    <d v="2015-07-01T00:00:00"/>
    <x v="1"/>
    <s v="Government"/>
    <x v="0"/>
    <x v="1"/>
    <s v="Kyein Ni Pyin"/>
    <n v="1"/>
    <m/>
    <m/>
    <m/>
    <m/>
    <m/>
    <m/>
    <m/>
    <m/>
    <n v="112"/>
    <n v="112"/>
    <m/>
    <n v="112"/>
    <n v="112"/>
    <s v="MMR012CMP018"/>
    <s v="Open"/>
    <n v="0.11067193675889328"/>
    <n v="112"/>
    <n v="112"/>
  </r>
  <r>
    <d v="2015-07-01T00:00:00"/>
    <x v="1"/>
    <s v="Government"/>
    <x v="0"/>
    <x v="1"/>
    <s v="Nget Chaung"/>
    <n v="1"/>
    <m/>
    <m/>
    <m/>
    <m/>
    <m/>
    <m/>
    <m/>
    <m/>
    <n v="660"/>
    <n v="660"/>
    <m/>
    <n v="660"/>
    <n v="0"/>
    <s v="MMR012CMP017"/>
    <s v=""/>
    <s v=""/>
    <n v="660"/>
    <n v="660"/>
  </r>
  <r>
    <d v="2015-07-01T00:00:00"/>
    <x v="0"/>
    <s v="LWF"/>
    <x v="0"/>
    <x v="1"/>
    <s v="Nget Chaung"/>
    <n v="1"/>
    <m/>
    <m/>
    <m/>
    <m/>
    <m/>
    <m/>
    <m/>
    <m/>
    <n v="36"/>
    <m/>
    <m/>
    <n v="0"/>
    <n v="0"/>
    <s v="MMR012CMP017"/>
    <s v=""/>
    <s v=""/>
    <n v="36"/>
    <n v="0"/>
  </r>
  <r>
    <d v="2015-07-01T00:00:00"/>
    <x v="1"/>
    <s v="Government"/>
    <x v="0"/>
    <x v="5"/>
    <s v="Ramree Town"/>
    <n v="1"/>
    <m/>
    <m/>
    <m/>
    <m/>
    <m/>
    <n v="3"/>
    <m/>
    <m/>
    <m/>
    <m/>
    <m/>
    <n v="0"/>
    <n v="0"/>
    <s v="MMR012CMP038"/>
    <s v="Open"/>
    <n v="0"/>
    <n v="3"/>
    <n v="0"/>
  </r>
  <r>
    <d v="2015-07-01T00:00:00"/>
    <x v="1"/>
    <s v="Government"/>
    <x v="0"/>
    <x v="5"/>
    <s v="Ramree Ward 6"/>
    <n v="1"/>
    <m/>
    <m/>
    <m/>
    <m/>
    <m/>
    <n v="59"/>
    <m/>
    <m/>
    <m/>
    <m/>
    <m/>
    <n v="0"/>
    <n v="0"/>
    <s v="MMR012CMP037"/>
    <s v="Open"/>
    <n v="0"/>
    <n v="59"/>
    <n v="0"/>
  </r>
  <r>
    <d v="2015-07-01T00:00:00"/>
    <x v="1"/>
    <s v="Government"/>
    <x v="0"/>
    <x v="0"/>
    <s v="Nidin"/>
    <n v="1"/>
    <m/>
    <m/>
    <m/>
    <m/>
    <m/>
    <m/>
    <m/>
    <m/>
    <n v="85"/>
    <m/>
    <m/>
    <n v="0"/>
    <n v="0"/>
    <s v="MMR012CMP023"/>
    <s v="Open"/>
    <n v="0"/>
    <n v="85"/>
    <n v="0"/>
  </r>
  <r>
    <d v="2015-07-01T00:00:00"/>
    <x v="0"/>
    <s v="LWF"/>
    <x v="0"/>
    <x v="1"/>
    <s v="Kyein Ni Pyin"/>
    <n v="1"/>
    <m/>
    <m/>
    <m/>
    <m/>
    <m/>
    <m/>
    <m/>
    <m/>
    <n v="232"/>
    <m/>
    <m/>
    <n v="0"/>
    <n v="0"/>
    <s v="MMR012CMP018"/>
    <s v="Open"/>
    <n v="0"/>
    <n v="232"/>
    <n v="0"/>
  </r>
  <r>
    <d v="2015-07-01T00:00:00"/>
    <x v="1"/>
    <s v="Government"/>
    <x v="0"/>
    <x v="1"/>
    <s v="Kyein Ni Pyin"/>
    <n v="1"/>
    <m/>
    <m/>
    <m/>
    <m/>
    <m/>
    <m/>
    <m/>
    <m/>
    <n v="647"/>
    <m/>
    <m/>
    <n v="0"/>
    <n v="0"/>
    <s v="MMR012CMP018"/>
    <s v="Open"/>
    <n v="0"/>
    <n v="647"/>
    <n v="0"/>
  </r>
  <r>
    <d v="2015-07-01T00:00:00"/>
    <x v="1"/>
    <s v="Government"/>
    <x v="0"/>
    <x v="1"/>
    <s v="Nget Chaung"/>
    <n v="1"/>
    <m/>
    <m/>
    <m/>
    <m/>
    <m/>
    <m/>
    <m/>
    <m/>
    <n v="642"/>
    <m/>
    <m/>
    <n v="0"/>
    <n v="0"/>
    <s v="MMR012CMP017"/>
    <s v=""/>
    <s v=""/>
    <n v="642"/>
    <n v="0"/>
  </r>
  <r>
    <d v="2015-07-01T00:00:00"/>
    <x v="1"/>
    <s v="Government"/>
    <x v="0"/>
    <x v="6"/>
    <s v="Raw Ma Ni Sin Oe"/>
    <n v="1"/>
    <m/>
    <m/>
    <m/>
    <m/>
    <m/>
    <n v="10"/>
    <n v="10"/>
    <m/>
    <m/>
    <m/>
    <m/>
    <n v="10"/>
    <n v="0"/>
    <s v="MMR012CMP012"/>
    <s v="Relocated"/>
    <n v="1"/>
    <n v="10"/>
    <n v="10"/>
  </r>
  <r>
    <d v="2015-07-01T00:00:00"/>
    <x v="1"/>
    <s v="Government"/>
    <x v="0"/>
    <x v="6"/>
    <s v="Thi Kyar"/>
    <n v="1"/>
    <m/>
    <m/>
    <m/>
    <m/>
    <m/>
    <n v="32"/>
    <n v="32"/>
    <m/>
    <m/>
    <m/>
    <m/>
    <n v="32"/>
    <n v="0"/>
    <s v="MMR012CMP117"/>
    <s v="Relocated"/>
    <n v="1.032258064516129"/>
    <n v="32"/>
    <n v="32"/>
  </r>
  <r>
    <d v="2015-07-01T00:00:00"/>
    <x v="1"/>
    <s v="Government"/>
    <x v="0"/>
    <x v="7"/>
    <s v="Kan Thar Htwat Wa"/>
    <n v="1"/>
    <m/>
    <m/>
    <m/>
    <m/>
    <m/>
    <n v="42"/>
    <m/>
    <m/>
    <m/>
    <m/>
    <m/>
    <n v="0"/>
    <n v="0"/>
    <s v="MMR012CMP013"/>
    <s v="Relocated"/>
    <n v="0"/>
    <n v="42"/>
    <n v="0"/>
  </r>
  <r>
    <d v="2015-07-01T00:00:00"/>
    <x v="0"/>
    <s v="UNHCR"/>
    <x v="0"/>
    <x v="2"/>
    <s v="Set Yone Su"/>
    <n v="1"/>
    <m/>
    <m/>
    <m/>
    <m/>
    <m/>
    <n v="72"/>
    <n v="72"/>
    <m/>
    <m/>
    <m/>
    <m/>
    <n v="72"/>
    <n v="0"/>
    <s v="MMR012CMP056"/>
    <s v="Relocated"/>
    <n v="1"/>
    <n v="72"/>
    <n v="72"/>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4"/>
    <s v="Aung Taing"/>
    <n v="1"/>
    <m/>
    <m/>
    <m/>
    <s v=" "/>
    <m/>
    <m/>
    <m/>
    <m/>
    <n v="44"/>
    <n v="44"/>
    <m/>
    <n v="44"/>
    <n v="0"/>
    <s v="MMR012CMP006"/>
    <s v="Returned"/>
    <n v="0.51162790697674421"/>
    <n v="44"/>
    <n v="44"/>
  </r>
  <r>
    <d v="2015-07-01T00:00:00"/>
    <x v="1"/>
    <s v="Government"/>
    <x v="0"/>
    <x v="4"/>
    <s v="Paik Thay"/>
    <n v="1"/>
    <m/>
    <m/>
    <m/>
    <m/>
    <m/>
    <m/>
    <m/>
    <m/>
    <n v="19"/>
    <n v="19"/>
    <m/>
    <n v="19"/>
    <n v="0"/>
    <s v="MMR012CMP001"/>
    <s v="Returned"/>
    <n v="1"/>
    <n v="19"/>
    <n v="19"/>
  </r>
  <r>
    <d v="2015-07-01T00:00:00"/>
    <x v="1"/>
    <s v="Government"/>
    <x v="0"/>
    <x v="4"/>
    <s v="Sam Ba Le"/>
    <n v="1"/>
    <m/>
    <m/>
    <m/>
    <m/>
    <m/>
    <m/>
    <m/>
    <m/>
    <n v="110"/>
    <n v="110"/>
    <m/>
    <n v="110"/>
    <n v="0"/>
    <s v="MMR012CMP008"/>
    <s v="Returned"/>
    <n v="0.48888888888888887"/>
    <n v="110"/>
    <n v="110"/>
  </r>
  <r>
    <d v="2015-07-01T00:00:00"/>
    <x v="1"/>
    <s v="Government"/>
    <x v="0"/>
    <x v="4"/>
    <s v="San Htoe Tan"/>
    <n v="1"/>
    <m/>
    <m/>
    <m/>
    <m/>
    <m/>
    <m/>
    <m/>
    <m/>
    <n v="43"/>
    <n v="43"/>
    <m/>
    <n v="43"/>
    <n v="0"/>
    <s v="MMR012CMP003"/>
    <s v="Returned"/>
    <n v="0.5"/>
    <n v="43"/>
    <n v="43"/>
  </r>
  <r>
    <d v="2015-07-01T00:00:00"/>
    <x v="1"/>
    <s v="Government"/>
    <x v="0"/>
    <x v="4"/>
    <s v="Set Yone Maw"/>
    <n v="1"/>
    <m/>
    <m/>
    <m/>
    <m/>
    <m/>
    <n v="18"/>
    <n v="18"/>
    <m/>
    <m/>
    <m/>
    <m/>
    <n v="18"/>
    <n v="0"/>
    <s v="MMR012CMP104"/>
    <s v="Returned"/>
    <n v="1.0588235294117647"/>
    <n v="18"/>
    <n v="18"/>
  </r>
  <r>
    <d v="2015-07-01T00:00:00"/>
    <x v="1"/>
    <s v="Government"/>
    <x v="0"/>
    <x v="4"/>
    <s v="Tha Dar"/>
    <n v="1"/>
    <m/>
    <m/>
    <m/>
    <m/>
    <m/>
    <m/>
    <m/>
    <m/>
    <n v="96"/>
    <n v="96"/>
    <m/>
    <n v="96"/>
    <n v="0"/>
    <s v="MMR012CMP002"/>
    <s v="Returned"/>
    <n v="0.47290640394088668"/>
    <n v="96"/>
    <n v="96"/>
  </r>
  <r>
    <d v="2015-07-01T00:00:00"/>
    <x v="1"/>
    <s v="Government"/>
    <x v="0"/>
    <x v="4"/>
    <s v="Tha Yet Oak"/>
    <n v="1"/>
    <m/>
    <m/>
    <m/>
    <m/>
    <m/>
    <m/>
    <m/>
    <m/>
    <n v="139"/>
    <n v="139"/>
    <m/>
    <n v="139"/>
    <n v="0"/>
    <s v="MMR012CMP005"/>
    <s v="Returned"/>
    <n v="0.50545454545454549"/>
    <n v="139"/>
    <n v="139"/>
  </r>
  <r>
    <d v="2015-07-01T00:00:00"/>
    <x v="1"/>
    <s v="Government"/>
    <x v="0"/>
    <x v="6"/>
    <s v="Pa Rein"/>
    <n v="1"/>
    <m/>
    <m/>
    <m/>
    <m/>
    <m/>
    <m/>
    <m/>
    <m/>
    <n v="102"/>
    <n v="102"/>
    <m/>
    <n v="102"/>
    <n v="0"/>
    <s v="MMR012CMP009"/>
    <s v="Returned"/>
    <n v="0.5"/>
    <n v="102"/>
    <n v="102"/>
  </r>
  <r>
    <d v="2015-07-01T00:00:00"/>
    <x v="1"/>
    <s v="Government"/>
    <x v="0"/>
    <x v="6"/>
    <s v="Yai Thei-Muslim"/>
    <n v="1"/>
    <m/>
    <m/>
    <m/>
    <m/>
    <m/>
    <m/>
    <m/>
    <m/>
    <n v="182"/>
    <n v="182"/>
    <m/>
    <n v="182"/>
    <n v="0"/>
    <s v="MMR012CMP010"/>
    <s v="Returned"/>
    <n v="0.49863013698630138"/>
    <n v="182"/>
    <n v="182"/>
  </r>
  <r>
    <d v="2015-07-01T00:00:00"/>
    <x v="0"/>
    <s v="LWF"/>
    <x v="0"/>
    <x v="6"/>
    <s v="Pa Rein"/>
    <n v="1"/>
    <m/>
    <m/>
    <m/>
    <m/>
    <m/>
    <m/>
    <m/>
    <m/>
    <n v="102"/>
    <m/>
    <m/>
    <n v="0"/>
    <n v="0"/>
    <s v="MMR012CMP009"/>
    <s v="Returned"/>
    <n v="0"/>
    <n v="102"/>
    <n v="0"/>
  </r>
  <r>
    <d v="2015-07-01T00:00:00"/>
    <x v="0"/>
    <s v="LWF"/>
    <x v="0"/>
    <x v="6"/>
    <s v="Yai Thei-Muslim"/>
    <n v="1"/>
    <m/>
    <m/>
    <m/>
    <m/>
    <m/>
    <m/>
    <m/>
    <m/>
    <n v="183"/>
    <m/>
    <m/>
    <n v="0"/>
    <n v="0"/>
    <s v="MMR012CMP010"/>
    <s v="Returned"/>
    <n v="0"/>
    <n v="183"/>
    <n v="0"/>
  </r>
  <r>
    <d v="2015-07-01T00:00:00"/>
    <x v="1"/>
    <s v="Government"/>
    <x v="0"/>
    <x v="8"/>
    <s v="Ah Nauk Pyin"/>
    <n v="1"/>
    <m/>
    <m/>
    <m/>
    <m/>
    <m/>
    <m/>
    <m/>
    <m/>
    <n v="32"/>
    <n v="32"/>
    <m/>
    <n v="32"/>
    <n v="0"/>
    <s v="MMR012CMP032"/>
    <s v="Returned"/>
    <n v="1"/>
    <n v="32"/>
    <n v="32"/>
  </r>
  <r>
    <d v="2015-07-01T00:00:00"/>
    <x v="1"/>
    <s v="Government"/>
    <x v="0"/>
    <x v="8"/>
    <s v="Nyaung Pin Gyi"/>
    <n v="1"/>
    <m/>
    <m/>
    <m/>
    <m/>
    <m/>
    <m/>
    <m/>
    <m/>
    <n v="56"/>
    <n v="56"/>
    <m/>
    <n v="56"/>
    <n v="0"/>
    <s v="MMR012CMP031"/>
    <s v="Returned"/>
    <n v="1.037037037037037"/>
    <n v="56"/>
    <n v="56"/>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4"/>
    <s v="Aung Taing"/>
    <n v="1"/>
    <m/>
    <m/>
    <m/>
    <m/>
    <m/>
    <m/>
    <m/>
    <m/>
    <n v="43"/>
    <m/>
    <m/>
    <n v="0"/>
    <n v="0"/>
    <s v="MMR012CMP006"/>
    <s v="Returned"/>
    <n v="0"/>
    <n v="43"/>
    <n v="0"/>
  </r>
  <r>
    <d v="2015-07-01T00:00:00"/>
    <x v="0"/>
    <s v="LWF"/>
    <x v="0"/>
    <x v="4"/>
    <s v="Sam Ba Le"/>
    <n v="1"/>
    <m/>
    <m/>
    <m/>
    <m/>
    <m/>
    <m/>
    <m/>
    <m/>
    <n v="114"/>
    <m/>
    <m/>
    <n v="0"/>
    <n v="0"/>
    <s v="MMR012CMP008"/>
    <s v="Returned"/>
    <n v="0"/>
    <n v="114"/>
    <n v="0"/>
  </r>
  <r>
    <d v="2015-07-01T00:00:00"/>
    <x v="0"/>
    <s v="LWF"/>
    <x v="0"/>
    <x v="4"/>
    <s v="San Htoe Tan"/>
    <n v="1"/>
    <m/>
    <m/>
    <m/>
    <m/>
    <m/>
    <m/>
    <m/>
    <m/>
    <n v="43"/>
    <m/>
    <m/>
    <n v="0"/>
    <n v="0"/>
    <s v="MMR012CMP003"/>
    <s v="Returned"/>
    <n v="0"/>
    <n v="43"/>
    <n v="0"/>
  </r>
  <r>
    <d v="2015-07-01T00:00:00"/>
    <x v="0"/>
    <s v="LWF"/>
    <x v="0"/>
    <x v="4"/>
    <s v="Tha Dar"/>
    <n v="1"/>
    <m/>
    <m/>
    <m/>
    <m/>
    <m/>
    <m/>
    <m/>
    <m/>
    <n v="107"/>
    <m/>
    <m/>
    <n v="0"/>
    <n v="0"/>
    <s v="MMR012CMP002"/>
    <s v="Returned"/>
    <n v="0"/>
    <n v="107"/>
    <n v="0"/>
  </r>
  <r>
    <d v="2015-07-01T00:00:00"/>
    <x v="0"/>
    <s v="LWF"/>
    <x v="0"/>
    <x v="4"/>
    <s v="Tha Yet Oak"/>
    <n v="1"/>
    <m/>
    <m/>
    <m/>
    <m/>
    <m/>
    <m/>
    <m/>
    <m/>
    <n v="140"/>
    <m/>
    <m/>
    <n v="0"/>
    <n v="0"/>
    <s v="MMR012CMP005"/>
    <s v="Returned"/>
    <n v="0"/>
    <n v="140"/>
    <n v="0"/>
  </r>
  <r>
    <d v="2015-07-01T00:00:00"/>
    <x v="0"/>
    <s v="LWF"/>
    <x v="0"/>
    <x v="0"/>
    <s v="Ah Pauk Wa "/>
    <n v="1"/>
    <m/>
    <m/>
    <m/>
    <m/>
    <m/>
    <m/>
    <m/>
    <m/>
    <n v="52"/>
    <m/>
    <m/>
    <n v="0"/>
    <n v="0"/>
    <s v="MMR012CMP024"/>
    <s v="Returned"/>
    <n v="0"/>
    <n v="52"/>
    <n v="0"/>
  </r>
  <r>
    <d v="2015-01-26T00:00:00"/>
    <x v="0"/>
    <s v="UNHCR"/>
    <x v="0"/>
    <x v="1"/>
    <s v="Kyein Ni Pyin"/>
    <n v="1"/>
    <n v="110"/>
    <n v="110"/>
    <m/>
    <m/>
    <m/>
    <m/>
    <m/>
    <m/>
    <m/>
    <m/>
    <m/>
    <n v="0"/>
    <n v="0"/>
    <m/>
    <s v="Open"/>
    <n v="0"/>
    <n v="0"/>
    <n v="0"/>
  </r>
  <r>
    <d v="2013-10-01T00:00:00"/>
    <x v="2"/>
    <s v="TDC/Natala Government"/>
    <x v="0"/>
    <x v="9"/>
    <s v="Kan Pyin Thar Si"/>
    <n v="1"/>
    <m/>
    <m/>
    <m/>
    <m/>
    <m/>
    <n v="15"/>
    <n v="15"/>
    <m/>
    <m/>
    <m/>
    <m/>
    <n v="15"/>
    <n v="0"/>
    <s v=""/>
    <s v=""/>
    <s v=""/>
    <n v="15"/>
    <n v="15"/>
  </r>
  <r>
    <d v="2013-10-01T00:00:00"/>
    <x v="2"/>
    <s v="TDC/Natala Government"/>
    <x v="0"/>
    <x v="9"/>
    <s v="Kha Yay Myaing( DPA)"/>
    <n v="1"/>
    <m/>
    <m/>
    <m/>
    <m/>
    <m/>
    <n v="2"/>
    <n v="2"/>
    <m/>
    <m/>
    <m/>
    <m/>
    <n v="2"/>
    <n v="0"/>
    <s v=""/>
    <s v=""/>
    <s v=""/>
    <n v="2"/>
    <n v="2"/>
  </r>
  <r>
    <d v="2013-10-01T00:00:00"/>
    <x v="2"/>
    <s v="TDC/Natala Government"/>
    <x v="0"/>
    <x v="9"/>
    <s v="Kha Yay Myaing(short legged)"/>
    <n v="1"/>
    <m/>
    <m/>
    <m/>
    <m/>
    <m/>
    <n v="22"/>
    <n v="22"/>
    <m/>
    <m/>
    <m/>
    <m/>
    <n v="22"/>
    <n v="0"/>
    <s v=""/>
    <s v=""/>
    <s v=""/>
    <n v="22"/>
    <n v="22"/>
  </r>
  <r>
    <d v="2013-10-01T00:00:00"/>
    <x v="3"/>
    <s v="UNHCR/BAJ"/>
    <x v="0"/>
    <x v="9"/>
    <s v="Kha Yay Myaing(short legged)"/>
    <n v="1"/>
    <m/>
    <m/>
    <m/>
    <m/>
    <m/>
    <n v="25"/>
    <n v="25"/>
    <m/>
    <m/>
    <m/>
    <m/>
    <n v="25"/>
    <n v="0"/>
    <s v=""/>
    <s v=""/>
    <s v=""/>
    <n v="25"/>
    <n v="25"/>
  </r>
  <r>
    <d v="2013-10-01T00:00:00"/>
    <x v="2"/>
    <s v="TDC/Natala Government"/>
    <x v="0"/>
    <x v="9"/>
    <s v="Shwe Yin Aye"/>
    <n v="1"/>
    <m/>
    <m/>
    <m/>
    <m/>
    <m/>
    <n v="77"/>
    <n v="77"/>
    <m/>
    <m/>
    <m/>
    <m/>
    <n v="77"/>
    <n v="0"/>
    <s v=""/>
    <s v=""/>
    <s v=""/>
    <n v="77"/>
    <n v="77"/>
  </r>
  <r>
    <d v="2013-10-01T00:00:00"/>
    <x v="2"/>
    <s v="TDC/Natala Government"/>
    <x v="0"/>
    <x v="9"/>
    <s v="Wai Thar Li"/>
    <n v="1"/>
    <m/>
    <m/>
    <m/>
    <m/>
    <m/>
    <n v="9"/>
    <n v="9"/>
    <m/>
    <m/>
    <m/>
    <m/>
    <n v="9"/>
    <n v="0"/>
    <s v=""/>
    <s v=""/>
    <s v=""/>
    <n v="9"/>
    <n v="9"/>
  </r>
  <r>
    <d v="2013-10-01T00:00:00"/>
    <x v="3"/>
    <s v="UNHCR/BAJ"/>
    <x v="0"/>
    <x v="9"/>
    <m/>
    <n v="1"/>
    <m/>
    <m/>
    <m/>
    <m/>
    <m/>
    <n v="11"/>
    <n v="11"/>
    <m/>
    <m/>
    <m/>
    <m/>
    <n v="11"/>
    <n v="0"/>
    <s v=""/>
    <s v=""/>
    <s v=""/>
    <n v="11"/>
    <n v="11"/>
  </r>
  <r>
    <d v="2013-10-01T00:00:00"/>
    <x v="2"/>
    <s v="TDC/Natala Government"/>
    <x v="0"/>
    <x v="9"/>
    <s v="Baw Di Gone"/>
    <n v="1"/>
    <m/>
    <m/>
    <m/>
    <m/>
    <m/>
    <n v="10"/>
    <n v="10"/>
    <m/>
    <m/>
    <m/>
    <m/>
    <n v="10"/>
    <n v="0"/>
    <s v="MMR012CMP079"/>
    <s v="Close"/>
    <s v=""/>
    <n v="10"/>
    <n v="10"/>
  </r>
  <r>
    <d v="2013-10-01T00:00:00"/>
    <x v="3"/>
    <s v="UNHCR/BAJ"/>
    <x v="0"/>
    <x v="9"/>
    <s v="Baw Di Gone"/>
    <n v="1"/>
    <m/>
    <m/>
    <m/>
    <m/>
    <m/>
    <n v="31"/>
    <n v="27"/>
    <m/>
    <m/>
    <m/>
    <m/>
    <n v="27"/>
    <n v="0"/>
    <s v="MMR012CMP079"/>
    <s v="Close"/>
    <s v=""/>
    <n v="31"/>
    <n v="27"/>
  </r>
  <r>
    <d v="2013-10-01T00:00:00"/>
    <x v="2"/>
    <s v="TDC/Natala Government"/>
    <x v="0"/>
    <x v="9"/>
    <s v="Kan Thar Yar"/>
    <n v="1"/>
    <m/>
    <m/>
    <m/>
    <m/>
    <m/>
    <n v="10"/>
    <n v="10"/>
    <m/>
    <m/>
    <m/>
    <m/>
    <n v="10"/>
    <n v="0"/>
    <s v="MMR012CMP081"/>
    <s v="Close"/>
    <s v=""/>
    <n v="10"/>
    <n v="10"/>
  </r>
  <r>
    <d v="2013-10-01T00:00:00"/>
    <x v="3"/>
    <s v="UNHCR/BAJ"/>
    <x v="0"/>
    <x v="9"/>
    <s v="Kan Thar Yar"/>
    <n v="1"/>
    <m/>
    <m/>
    <m/>
    <m/>
    <m/>
    <n v="21"/>
    <n v="21"/>
    <m/>
    <m/>
    <m/>
    <m/>
    <n v="21"/>
    <n v="0"/>
    <s v="MMR012CMP081"/>
    <s v="Close"/>
    <s v=""/>
    <n v="21"/>
    <n v="21"/>
  </r>
  <r>
    <d v="2013-10-01T00:00:00"/>
    <x v="4"/>
    <s v="CARE"/>
    <x v="0"/>
    <x v="9"/>
    <s v="Kin Chaung"/>
    <n v="1"/>
    <m/>
    <m/>
    <m/>
    <m/>
    <m/>
    <n v="25"/>
    <n v="25"/>
    <m/>
    <m/>
    <m/>
    <m/>
    <n v="25"/>
    <n v="0"/>
    <s v="MMR012CMP080"/>
    <s v="Close"/>
    <s v=""/>
    <n v="25"/>
    <n v="25"/>
  </r>
  <r>
    <d v="2013-10-01T00:00:00"/>
    <x v="2"/>
    <s v="TDC/Natala Government"/>
    <x v="0"/>
    <x v="9"/>
    <s v="Kyaing Gyi"/>
    <n v="1"/>
    <m/>
    <m/>
    <m/>
    <m/>
    <m/>
    <n v="36"/>
    <n v="36"/>
    <m/>
    <m/>
    <m/>
    <m/>
    <n v="36"/>
    <n v="0"/>
    <s v="MMR012CMP078"/>
    <s v="Close"/>
    <s v=""/>
    <n v="36"/>
    <n v="36"/>
  </r>
  <r>
    <d v="2013-10-01T00:00:00"/>
    <x v="3"/>
    <s v="UNHCR/BAJ"/>
    <x v="0"/>
    <x v="9"/>
    <s v="Kyaing Gyi"/>
    <n v="1"/>
    <m/>
    <m/>
    <m/>
    <m/>
    <m/>
    <n v="36"/>
    <n v="36"/>
    <m/>
    <m/>
    <m/>
    <m/>
    <n v="36"/>
    <n v="0"/>
    <s v="MMR012CMP078"/>
    <s v="Close"/>
    <s v=""/>
    <n v="36"/>
    <n v="36"/>
  </r>
  <r>
    <d v="2013-10-01T00:00:00"/>
    <x v="2"/>
    <s v="TDC/Natala Government"/>
    <x v="0"/>
    <x v="9"/>
    <s v="Maw Ya Waddy"/>
    <n v="1"/>
    <m/>
    <m/>
    <m/>
    <m/>
    <m/>
    <n v="11"/>
    <n v="11"/>
    <m/>
    <m/>
    <m/>
    <m/>
    <n v="11"/>
    <n v="0"/>
    <s v="MMR012CMP076"/>
    <s v="Close"/>
    <s v=""/>
    <n v="11"/>
    <n v="11"/>
  </r>
  <r>
    <d v="2013-10-01T00:00:00"/>
    <x v="3"/>
    <s v="UNHCR/BAJ"/>
    <x v="0"/>
    <x v="9"/>
    <s v="Maw Ya Waddy"/>
    <n v="1"/>
    <m/>
    <m/>
    <m/>
    <m/>
    <m/>
    <n v="98"/>
    <n v="102"/>
    <m/>
    <m/>
    <m/>
    <m/>
    <n v="102"/>
    <n v="0"/>
    <s v="MMR012CMP076"/>
    <s v="Close"/>
    <s v=""/>
    <n v="98"/>
    <n v="102"/>
  </r>
  <r>
    <d v="2013-10-01T00:00:00"/>
    <x v="2"/>
    <s v="TDC/Natala Government"/>
    <x v="0"/>
    <x v="9"/>
    <s v="Tha Yay Kone Baung"/>
    <n v="1"/>
    <m/>
    <m/>
    <m/>
    <m/>
    <m/>
    <n v="12"/>
    <n v="12"/>
    <m/>
    <m/>
    <m/>
    <m/>
    <n v="12"/>
    <n v="0"/>
    <s v="MMR012CMP077"/>
    <s v="Close"/>
    <s v=""/>
    <n v="12"/>
    <n v="12"/>
  </r>
  <r>
    <d v="2013-10-01T00:00:00"/>
    <x v="4"/>
    <s v="CARE"/>
    <x v="0"/>
    <x v="9"/>
    <s v="Tha Yay Kone Baung"/>
    <n v="1"/>
    <m/>
    <m/>
    <m/>
    <m/>
    <m/>
    <n v="103"/>
    <n v="103"/>
    <m/>
    <m/>
    <m/>
    <m/>
    <n v="103"/>
    <n v="0"/>
    <s v="MMR012CMP077"/>
    <s v="Close"/>
    <s v=""/>
    <n v="103"/>
    <n v="103"/>
  </r>
  <r>
    <d v="2013-10-01T00:00:00"/>
    <x v="5"/>
    <s v="DRC"/>
    <x v="0"/>
    <x v="1"/>
    <s v="Ah Nauk Ywe"/>
    <n v="8"/>
    <m/>
    <m/>
    <n v="96"/>
    <n v="96"/>
    <n v="0"/>
    <m/>
    <m/>
    <m/>
    <m/>
    <m/>
    <m/>
    <n v="768"/>
    <n v="768"/>
    <s v="MMR012CMP016"/>
    <s v="Open"/>
    <n v="0.62035541195476573"/>
    <n v="0"/>
    <n v="0"/>
  </r>
  <r>
    <d v="2013-10-01T00:00:00"/>
    <x v="1"/>
    <s v="Government"/>
    <x v="0"/>
    <x v="2"/>
    <s v="Basare"/>
    <n v="8"/>
    <m/>
    <m/>
    <n v="52"/>
    <n v="52"/>
    <m/>
    <m/>
    <m/>
    <m/>
    <m/>
    <m/>
    <m/>
    <n v="416"/>
    <n v="416"/>
    <s v="MMR012CMP039"/>
    <s v="Open"/>
    <n v="1.0478589420654911"/>
    <n v="0"/>
    <n v="0"/>
  </r>
  <r>
    <d v="2013-10-01T00:00:00"/>
    <x v="4"/>
    <s v="CARE"/>
    <x v="0"/>
    <x v="2"/>
    <s v="Baw Du Pha 1"/>
    <n v="8"/>
    <m/>
    <m/>
    <n v="50"/>
    <n v="50"/>
    <m/>
    <m/>
    <m/>
    <m/>
    <m/>
    <m/>
    <m/>
    <n v="400"/>
    <n v="400"/>
    <s v="MMR012CMP113"/>
    <s v="Open"/>
    <n v="0.39564787339268054"/>
    <n v="0"/>
    <n v="0"/>
  </r>
  <r>
    <d v="2013-10-01T00:00:00"/>
    <x v="1"/>
    <s v="Government"/>
    <x v="0"/>
    <x v="2"/>
    <s v="Baw Du Pha 1"/>
    <n v="8"/>
    <m/>
    <m/>
    <n v="40"/>
    <n v="40"/>
    <m/>
    <m/>
    <m/>
    <m/>
    <m/>
    <m/>
    <m/>
    <n v="320"/>
    <n v="320"/>
    <s v="MMR012CMP113"/>
    <s v="Open"/>
    <n v="0.31651829871414439"/>
    <n v="0"/>
    <n v="0"/>
  </r>
  <r>
    <d v="2013-10-01T00:00:00"/>
    <x v="6"/>
    <s v="ICRC"/>
    <x v="0"/>
    <x v="2"/>
    <s v="Baw Du Pha 1"/>
    <n v="8"/>
    <m/>
    <m/>
    <n v="5"/>
    <n v="5"/>
    <m/>
    <m/>
    <m/>
    <m/>
    <m/>
    <m/>
    <m/>
    <n v="40"/>
    <n v="40"/>
    <s v="MMR012CMP113"/>
    <s v="Open"/>
    <n v="3.9564787339268048E-2"/>
    <n v="0"/>
    <n v="0"/>
  </r>
  <r>
    <d v="2013-10-01T00:00:00"/>
    <x v="7"/>
    <s v="MAUK"/>
    <x v="0"/>
    <x v="2"/>
    <s v="Baw Du Pha 1"/>
    <n v="8"/>
    <m/>
    <m/>
    <n v="32"/>
    <n v="32"/>
    <n v="0"/>
    <m/>
    <m/>
    <m/>
    <m/>
    <m/>
    <m/>
    <n v="256"/>
    <n v="256"/>
    <s v="MMR012CMP113"/>
    <s v="Open"/>
    <n v="0.25321463897131552"/>
    <n v="0"/>
    <n v="0"/>
  </r>
  <r>
    <d v="2013-10-01T00:00:00"/>
    <x v="1"/>
    <s v="Government"/>
    <x v="0"/>
    <x v="2"/>
    <s v="Baw Du Pha 2"/>
    <n v="8"/>
    <m/>
    <m/>
    <n v="100"/>
    <n v="100"/>
    <n v="0"/>
    <m/>
    <m/>
    <m/>
    <m/>
    <m/>
    <m/>
    <n v="800"/>
    <n v="800"/>
    <s v="MMR012CMP114"/>
    <s v="Open"/>
    <n v="0.6206361520558572"/>
    <n v="0"/>
    <n v="0"/>
  </r>
  <r>
    <d v="2013-10-01T00:00:00"/>
    <x v="6"/>
    <s v="ICRC"/>
    <x v="0"/>
    <x v="2"/>
    <s v="Baw Du Pha 2"/>
    <n v="8"/>
    <m/>
    <m/>
    <n v="14"/>
    <n v="14"/>
    <m/>
    <m/>
    <m/>
    <m/>
    <m/>
    <m/>
    <m/>
    <n v="112"/>
    <n v="112"/>
    <s v="MMR012CMP114"/>
    <s v="Open"/>
    <n v="8.6889061287820021E-2"/>
    <n v="0"/>
    <n v="0"/>
  </r>
  <r>
    <d v="2013-10-01T00:00:00"/>
    <x v="8"/>
    <s v="WFP"/>
    <x v="0"/>
    <x v="2"/>
    <s v="Baw Du Pha 2"/>
    <n v="10"/>
    <m/>
    <m/>
    <n v="40"/>
    <n v="40"/>
    <m/>
    <m/>
    <m/>
    <m/>
    <m/>
    <m/>
    <m/>
    <n v="400"/>
    <n v="400"/>
    <s v="MMR012CMP114"/>
    <s v="Open"/>
    <n v="0.3103180760279286"/>
    <n v="0"/>
    <n v="0"/>
  </r>
  <r>
    <d v="2013-10-01T00:00:00"/>
    <x v="1"/>
    <s v="Government"/>
    <x v="0"/>
    <x v="8"/>
    <s v="Chein Khar Li"/>
    <n v="8"/>
    <m/>
    <m/>
    <n v="24"/>
    <n v="24"/>
    <m/>
    <m/>
    <m/>
    <m/>
    <m/>
    <m/>
    <m/>
    <n v="192"/>
    <n v="192"/>
    <s v="MMR012CMP033"/>
    <s v="Open"/>
    <n v="0.88479262672811065"/>
    <n v="0"/>
    <n v="0"/>
  </r>
  <r>
    <d v="2013-10-01T00:00:00"/>
    <x v="4"/>
    <s v="CARE"/>
    <x v="0"/>
    <x v="2"/>
    <s v="Dar Pai"/>
    <n v="8"/>
    <m/>
    <m/>
    <n v="41"/>
    <n v="41"/>
    <m/>
    <m/>
    <m/>
    <m/>
    <m/>
    <m/>
    <m/>
    <n v="328"/>
    <n v="328"/>
    <s v="MMR012CMP041"/>
    <s v="Open"/>
    <n v="0.2292103424178896"/>
    <n v="0"/>
    <n v="0"/>
  </r>
  <r>
    <d v="2013-10-01T00:00:00"/>
    <x v="1"/>
    <s v="Government"/>
    <x v="0"/>
    <x v="2"/>
    <s v="Dar Pai"/>
    <n v="8"/>
    <m/>
    <m/>
    <n v="141"/>
    <n v="141"/>
    <m/>
    <m/>
    <m/>
    <m/>
    <m/>
    <m/>
    <m/>
    <n v="1128"/>
    <n v="1128"/>
    <s v="MMR012CMP041"/>
    <s v="Open"/>
    <n v="0.7882599580712788"/>
    <n v="0"/>
    <n v="0"/>
  </r>
  <r>
    <d v="2013-10-01T00:00:00"/>
    <x v="4"/>
    <s v="CARE"/>
    <x v="0"/>
    <x v="2"/>
    <s v="Khaung Doke Khar "/>
    <n v="8"/>
    <m/>
    <m/>
    <n v="25"/>
    <n v="25"/>
    <m/>
    <m/>
    <m/>
    <m/>
    <m/>
    <m/>
    <m/>
    <n v="200"/>
    <n v="200"/>
    <s v="MMR012CMP042"/>
    <s v="Open"/>
    <n v="0.25031289111389238"/>
    <n v="0"/>
    <n v="0"/>
  </r>
  <r>
    <d v="2013-10-01T00:00:00"/>
    <x v="1"/>
    <s v="Government"/>
    <x v="0"/>
    <x v="2"/>
    <s v="Khaung Doke Khar "/>
    <n v="8"/>
    <m/>
    <m/>
    <n v="75"/>
    <n v="75"/>
    <m/>
    <m/>
    <m/>
    <m/>
    <m/>
    <m/>
    <m/>
    <n v="600"/>
    <n v="600"/>
    <s v="MMR012CMP042"/>
    <s v="Open"/>
    <n v="0.75093867334167708"/>
    <n v="0"/>
    <n v="0"/>
  </r>
  <r>
    <d v="2013-10-01T00:00:00"/>
    <x v="1"/>
    <s v="Government"/>
    <x v="0"/>
    <x v="8"/>
    <s v="Koe Tan Kauk"/>
    <n v="8"/>
    <m/>
    <m/>
    <n v="29"/>
    <n v="29"/>
    <m/>
    <m/>
    <m/>
    <m/>
    <m/>
    <m/>
    <m/>
    <n v="232"/>
    <n v="232"/>
    <s v="MMR012CMP110"/>
    <s v="Open"/>
    <n v="1.2020725388601037"/>
    <n v="0"/>
    <n v="0"/>
  </r>
  <r>
    <d v="2013-10-01T00:00:00"/>
    <x v="1"/>
    <s v="Government"/>
    <x v="0"/>
    <x v="3"/>
    <s v="Kyauk Ta Lone"/>
    <n v="8"/>
    <m/>
    <m/>
    <n v="22"/>
    <n v="22"/>
    <m/>
    <m/>
    <m/>
    <m/>
    <m/>
    <m/>
    <m/>
    <n v="176"/>
    <n v="176"/>
    <s v="MMR012CMP035"/>
    <s v="Open"/>
    <n v="0.41217798594847777"/>
    <n v="0"/>
    <n v="0"/>
  </r>
  <r>
    <d v="2013-10-01T00:00:00"/>
    <x v="9"/>
    <s v="Service City"/>
    <x v="0"/>
    <x v="3"/>
    <s v="Kyauk Ta Lone"/>
    <n v="8"/>
    <m/>
    <m/>
    <n v="31"/>
    <n v="31"/>
    <m/>
    <m/>
    <m/>
    <m/>
    <m/>
    <m/>
    <m/>
    <n v="248"/>
    <n v="248"/>
    <s v="MMR012CMP035"/>
    <s v="Open"/>
    <n v="0.58079625292740045"/>
    <n v="0"/>
    <n v="0"/>
  </r>
  <r>
    <d v="2013-10-01T00:00:00"/>
    <x v="0"/>
    <s v="UNHCR"/>
    <x v="0"/>
    <x v="1"/>
    <s v="Kyein Ni Pyin"/>
    <n v="8"/>
    <m/>
    <m/>
    <n v="98"/>
    <n v="98"/>
    <m/>
    <m/>
    <m/>
    <m/>
    <m/>
    <m/>
    <m/>
    <n v="784"/>
    <n v="784"/>
    <s v="MMR012CMP018"/>
    <s v="Open"/>
    <n v="0.77470355731225293"/>
    <n v="0"/>
    <n v="0"/>
  </r>
  <r>
    <d v="2013-10-01T00:00:00"/>
    <x v="1"/>
    <s v="Government"/>
    <x v="0"/>
    <x v="2"/>
    <s v="Maw Ti Ngar"/>
    <n v="8"/>
    <m/>
    <m/>
    <n v="78"/>
    <n v="78"/>
    <m/>
    <m/>
    <m/>
    <m/>
    <m/>
    <m/>
    <m/>
    <n v="624"/>
    <n v="624"/>
    <s v="MMR012CMP092"/>
    <s v="Open"/>
    <n v="1.0032154340836013"/>
    <n v="0"/>
    <n v="0"/>
  </r>
  <r>
    <d v="2013-10-01T00:00:00"/>
    <x v="0"/>
    <s v="UNHCR"/>
    <x v="0"/>
    <x v="1"/>
    <s v="Nget Chaung"/>
    <n v="8"/>
    <m/>
    <m/>
    <n v="169"/>
    <n v="169"/>
    <m/>
    <m/>
    <m/>
    <m/>
    <m/>
    <m/>
    <m/>
    <n v="1352"/>
    <n v="0"/>
    <s v="MMR012CMP017"/>
    <s v=""/>
    <s v=""/>
    <n v="0"/>
    <n v="0"/>
  </r>
  <r>
    <d v="2013-10-01T00:00:00"/>
    <x v="1"/>
    <s v="Government"/>
    <x v="0"/>
    <x v="0"/>
    <s v="Nidin"/>
    <n v="8"/>
    <m/>
    <m/>
    <n v="9"/>
    <n v="9"/>
    <m/>
    <m/>
    <m/>
    <m/>
    <m/>
    <m/>
    <m/>
    <n v="72"/>
    <n v="72"/>
    <s v="MMR012CMP023"/>
    <s v="Open"/>
    <n v="0.84705882352941175"/>
    <n v="0"/>
    <n v="0"/>
  </r>
  <r>
    <d v="2013-10-01T00:00:00"/>
    <x v="0"/>
    <s v="UNHCR"/>
    <x v="0"/>
    <x v="2"/>
    <s v="Ohn Taw Chay"/>
    <n v="8"/>
    <m/>
    <m/>
    <n v="80"/>
    <n v="80"/>
    <m/>
    <m/>
    <m/>
    <m/>
    <m/>
    <m/>
    <m/>
    <n v="640"/>
    <n v="640"/>
    <s v="MMR012CMP098"/>
    <s v="Open"/>
    <n v="0.9397944199706314"/>
    <n v="0"/>
    <n v="0"/>
  </r>
  <r>
    <d v="2013-10-01T00:00:00"/>
    <x v="4"/>
    <s v="CARE"/>
    <x v="0"/>
    <x v="2"/>
    <s v="Ohn Taw Gyi (North)"/>
    <n v="8"/>
    <m/>
    <m/>
    <n v="45"/>
    <n v="45"/>
    <m/>
    <m/>
    <m/>
    <m/>
    <m/>
    <m/>
    <m/>
    <n v="360"/>
    <n v="360"/>
    <s v="MMR012CMP115"/>
    <s v="Open"/>
    <n v="0.13636363636363635"/>
    <n v="0"/>
    <n v="0"/>
  </r>
  <r>
    <d v="2013-10-01T00:00:00"/>
    <x v="1"/>
    <s v="Government"/>
    <x v="0"/>
    <x v="2"/>
    <s v="Ohn Taw Gyi (North)"/>
    <n v="8"/>
    <m/>
    <m/>
    <n v="60"/>
    <n v="60"/>
    <m/>
    <m/>
    <m/>
    <m/>
    <m/>
    <m/>
    <m/>
    <n v="480"/>
    <n v="480"/>
    <s v="MMR012CMP115"/>
    <s v="Open"/>
    <n v="0.18181818181818182"/>
    <n v="0"/>
    <n v="0"/>
  </r>
  <r>
    <d v="2013-10-01T00:00:00"/>
    <x v="10"/>
    <s v="MRF"/>
    <x v="0"/>
    <x v="2"/>
    <s v="Ohn Taw Gyi (North)"/>
    <n v="8"/>
    <m/>
    <m/>
    <n v="115"/>
    <n v="115"/>
    <m/>
    <m/>
    <m/>
    <m/>
    <m/>
    <m/>
    <m/>
    <n v="920"/>
    <n v="920"/>
    <s v="MMR012CMP115"/>
    <s v="Open"/>
    <n v="0.34848484848484851"/>
    <n v="0"/>
    <n v="0"/>
  </r>
  <r>
    <d v="2013-10-01T00:00:00"/>
    <x v="0"/>
    <s v="UNHCR"/>
    <x v="0"/>
    <x v="2"/>
    <s v="Ohn Taw Gyi (North)"/>
    <n v="8"/>
    <m/>
    <m/>
    <n v="115"/>
    <n v="115"/>
    <m/>
    <m/>
    <m/>
    <m/>
    <m/>
    <m/>
    <m/>
    <n v="920"/>
    <n v="920"/>
    <s v="MMR012CMP115"/>
    <s v="Open"/>
    <n v="0.34848484848484851"/>
    <n v="0"/>
    <n v="0"/>
  </r>
  <r>
    <d v="2013-10-01T00:00:00"/>
    <x v="1"/>
    <s v="Government"/>
    <x v="0"/>
    <x v="2"/>
    <s v="Ohn Taw Gyi (South)"/>
    <n v="8"/>
    <m/>
    <m/>
    <n v="221"/>
    <n v="221"/>
    <m/>
    <m/>
    <m/>
    <m/>
    <m/>
    <m/>
    <m/>
    <n v="1768"/>
    <n v="1768"/>
    <s v="MMR012CMP116"/>
    <s v="Open"/>
    <n v="0.78368794326241131"/>
    <n v="0"/>
    <n v="0"/>
  </r>
  <r>
    <d v="2013-10-01T00:00:00"/>
    <x v="1"/>
    <s v="Government"/>
    <x v="0"/>
    <x v="2"/>
    <s v="Ohn Taw Gyi (South)"/>
    <n v="10"/>
    <m/>
    <m/>
    <n v="20"/>
    <n v="20"/>
    <m/>
    <m/>
    <m/>
    <m/>
    <m/>
    <m/>
    <m/>
    <n v="200"/>
    <n v="200"/>
    <s v="MMR012CMP116"/>
    <s v="Open"/>
    <n v="8.8652482269503549E-2"/>
    <n v="0"/>
    <n v="0"/>
  </r>
  <r>
    <d v="2013-10-01T00:00:00"/>
    <x v="0"/>
    <s v="UNHCR"/>
    <x v="0"/>
    <x v="2"/>
    <s v="Ohn Taw Gyi (South)"/>
    <n v="8"/>
    <m/>
    <m/>
    <n v="35"/>
    <n v="35"/>
    <m/>
    <m/>
    <m/>
    <m/>
    <m/>
    <m/>
    <m/>
    <n v="280"/>
    <n v="280"/>
    <s v="MMR012CMP116"/>
    <s v="Open"/>
    <n v="0.12411347517730496"/>
    <n v="0"/>
    <n v="0"/>
  </r>
  <r>
    <d v="2013-10-01T00:00:00"/>
    <x v="9"/>
    <s v="Service City"/>
    <x v="0"/>
    <x v="3"/>
    <s v="Ka Nyin Taw"/>
    <n v="8"/>
    <m/>
    <m/>
    <n v="7"/>
    <n v="7"/>
    <m/>
    <m/>
    <m/>
    <m/>
    <m/>
    <m/>
    <m/>
    <n v="56"/>
    <n v="56"/>
    <s v="MMR012CMP036"/>
    <s v="Open"/>
    <n v="0.86153846153846159"/>
    <n v="0"/>
    <n v="0"/>
  </r>
  <r>
    <d v="2013-10-01T00:00:00"/>
    <x v="1"/>
    <s v="Government"/>
    <x v="0"/>
    <x v="5"/>
    <s v="Ramree Ward 6"/>
    <n v="8"/>
    <m/>
    <m/>
    <n v="12"/>
    <n v="12"/>
    <m/>
    <m/>
    <m/>
    <m/>
    <m/>
    <m/>
    <m/>
    <n v="96"/>
    <n v="96"/>
    <s v="MMR012CMP037"/>
    <s v="Open"/>
    <n v="1.6842105263157894"/>
    <n v="0"/>
    <n v="0"/>
  </r>
  <r>
    <d v="2013-10-01T00:00:00"/>
    <x v="5"/>
    <s v="DRC"/>
    <x v="0"/>
    <x v="2"/>
    <s v="Say Tha Mar Gyi"/>
    <n v="8"/>
    <m/>
    <m/>
    <n v="27"/>
    <n v="27"/>
    <m/>
    <m/>
    <m/>
    <m/>
    <m/>
    <m/>
    <m/>
    <n v="216"/>
    <n v="216"/>
    <s v="MMR012CMP045"/>
    <s v="Open"/>
    <n v="8.650380456547857E-2"/>
    <n v="0"/>
    <n v="0"/>
  </r>
  <r>
    <d v="2013-10-01T00:00:00"/>
    <x v="1"/>
    <s v="Government"/>
    <x v="0"/>
    <x v="2"/>
    <s v="Say Tha Mar Gyi"/>
    <n v="10"/>
    <m/>
    <m/>
    <n v="63"/>
    <n v="63"/>
    <m/>
    <m/>
    <m/>
    <m/>
    <m/>
    <m/>
    <m/>
    <n v="630"/>
    <n v="630"/>
    <s v="MMR012CMP045"/>
    <s v="Open"/>
    <n v="0.25230276331597917"/>
    <n v="0"/>
    <n v="0"/>
  </r>
  <r>
    <d v="2013-10-01T00:00:00"/>
    <x v="11"/>
    <s v="IRW"/>
    <x v="0"/>
    <x v="2"/>
    <s v="Say Tha Mar Gyi"/>
    <n v="8"/>
    <m/>
    <m/>
    <n v="40"/>
    <n v="40"/>
    <m/>
    <m/>
    <m/>
    <m/>
    <m/>
    <m/>
    <m/>
    <n v="320"/>
    <n v="320"/>
    <s v="MMR012CMP045"/>
    <s v="Open"/>
    <n v="0.12815378454144974"/>
    <n v="0"/>
    <n v="0"/>
  </r>
  <r>
    <d v="2013-10-01T00:00:00"/>
    <x v="12"/>
    <s v="MRCS"/>
    <x v="0"/>
    <x v="2"/>
    <s v="Say Tha Mar Gyi"/>
    <n v="8"/>
    <m/>
    <m/>
    <n v="60"/>
    <n v="60"/>
    <m/>
    <m/>
    <m/>
    <m/>
    <m/>
    <m/>
    <m/>
    <n v="480"/>
    <n v="480"/>
    <s v="MMR012CMP045"/>
    <s v="Open"/>
    <n v="0.19223067681217462"/>
    <n v="0"/>
    <n v="0"/>
  </r>
  <r>
    <d v="2013-10-01T00:00:00"/>
    <x v="10"/>
    <s v="MRF"/>
    <x v="0"/>
    <x v="2"/>
    <s v="Say Tha Mar Gyi"/>
    <n v="10"/>
    <m/>
    <m/>
    <n v="77"/>
    <n v="77"/>
    <m/>
    <m/>
    <m/>
    <m/>
    <m/>
    <m/>
    <m/>
    <n v="770"/>
    <n v="770"/>
    <s v="MMR012CMP045"/>
    <s v="Open"/>
    <n v="0.30837004405286345"/>
    <n v="0"/>
    <n v="0"/>
  </r>
  <r>
    <d v="2013-10-01T00:00:00"/>
    <x v="0"/>
    <s v="UNHCR"/>
    <x v="0"/>
    <x v="2"/>
    <s v="Say Tha Mar Gyi"/>
    <n v="8"/>
    <m/>
    <m/>
    <n v="33"/>
    <n v="33"/>
    <m/>
    <m/>
    <m/>
    <m/>
    <m/>
    <m/>
    <m/>
    <n v="264"/>
    <n v="264"/>
    <s v="MMR012CMP045"/>
    <s v="Open"/>
    <n v="0.10572687224669604"/>
    <n v="0"/>
    <n v="0"/>
  </r>
  <r>
    <d v="2013-10-01T00:00:00"/>
    <x v="5"/>
    <s v="DRC"/>
    <x v="0"/>
    <x v="1"/>
    <s v="Sin Tet Maw"/>
    <n v="8"/>
    <m/>
    <m/>
    <n v="106"/>
    <n v="106"/>
    <m/>
    <m/>
    <m/>
    <m/>
    <m/>
    <m/>
    <m/>
    <n v="848"/>
    <n v="848"/>
    <s v="MMR012CMP019"/>
    <s v="Open"/>
    <n v="1.5880149812734083"/>
    <n v="0"/>
    <n v="0"/>
  </r>
  <r>
    <d v="2013-10-01T00:00:00"/>
    <x v="0"/>
    <s v="UNHCR"/>
    <x v="0"/>
    <x v="7"/>
    <s v="Taung Paw "/>
    <n v="8"/>
    <m/>
    <m/>
    <n v="89"/>
    <n v="89"/>
    <m/>
    <m/>
    <m/>
    <m/>
    <m/>
    <m/>
    <m/>
    <n v="712"/>
    <n v="712"/>
    <s v="MMR012CMP014"/>
    <s v="Open"/>
    <n v="1.0200573065902578"/>
    <n v="0"/>
    <n v="0"/>
  </r>
  <r>
    <d v="2013-10-01T00:00:00"/>
    <x v="4"/>
    <s v="CARE"/>
    <x v="0"/>
    <x v="2"/>
    <s v="Thet Kae Pyin "/>
    <n v="8"/>
    <m/>
    <m/>
    <n v="63"/>
    <n v="63"/>
    <n v="0"/>
    <m/>
    <m/>
    <m/>
    <m/>
    <m/>
    <m/>
    <n v="504"/>
    <n v="504"/>
    <s v="MMR012CMP048"/>
    <s v="Open"/>
    <n v="0.50551654964894688"/>
    <n v="0"/>
    <n v="0"/>
  </r>
  <r>
    <d v="2013-10-01T00:00:00"/>
    <x v="1"/>
    <s v="Government"/>
    <x v="0"/>
    <x v="2"/>
    <s v="Thet Kae Pyin "/>
    <n v="8"/>
    <m/>
    <m/>
    <n v="60"/>
    <n v="60"/>
    <m/>
    <m/>
    <m/>
    <m/>
    <m/>
    <m/>
    <m/>
    <n v="480"/>
    <n v="480"/>
    <s v="MMR012CMP048"/>
    <s v="Open"/>
    <n v="0.48144433299899697"/>
    <n v="0"/>
    <n v="0"/>
  </r>
  <r>
    <d v="2013-10-01T00:00:00"/>
    <x v="10"/>
    <s v="MRF"/>
    <x v="0"/>
    <x v="2"/>
    <s v="Ohn Taw Gyi (South)"/>
    <n v="8"/>
    <m/>
    <m/>
    <n v="9"/>
    <n v="9"/>
    <m/>
    <m/>
    <m/>
    <m/>
    <m/>
    <m/>
    <m/>
    <n v="72"/>
    <n v="72"/>
    <s v="MMR012CMP116"/>
    <s v="Open"/>
    <n v="3.1914893617021274E-2"/>
    <n v="0"/>
    <n v="0"/>
  </r>
  <r>
    <d v="2013-10-01T00:00:00"/>
    <x v="1"/>
    <s v="Government"/>
    <x v="0"/>
    <x v="1"/>
    <s v="Ba Wan Chaung Wa Su"/>
    <n v="10"/>
    <m/>
    <m/>
    <n v="3"/>
    <n v="3"/>
    <m/>
    <m/>
    <m/>
    <m/>
    <m/>
    <m/>
    <m/>
    <n v="30"/>
    <n v="0"/>
    <s v="MMR012CMP015"/>
    <s v="Relocated"/>
    <n v="1.4285714285714286"/>
    <n v="0"/>
    <n v="0"/>
  </r>
  <r>
    <d v="2013-10-01T00:00:00"/>
    <x v="0"/>
    <s v="UNHCR"/>
    <x v="0"/>
    <x v="7"/>
    <s v="Kan Thar Htwat Wa"/>
    <n v="8"/>
    <m/>
    <m/>
    <n v="6"/>
    <n v="6"/>
    <m/>
    <m/>
    <m/>
    <m/>
    <m/>
    <m/>
    <m/>
    <n v="48"/>
    <n v="0"/>
    <s v="MMR012CMP013"/>
    <s v="Relocated"/>
    <n v="1.1428571428571428"/>
    <n v="0"/>
    <n v="0"/>
  </r>
  <r>
    <d v="2013-10-01T00:00:00"/>
    <x v="1"/>
    <s v="Government"/>
    <x v="0"/>
    <x v="0"/>
    <s v="Khaung Htoke"/>
    <n v="8"/>
    <m/>
    <m/>
    <n v="10"/>
    <n v="10"/>
    <m/>
    <m/>
    <m/>
    <m/>
    <m/>
    <m/>
    <m/>
    <n v="80"/>
    <n v="0"/>
    <s v="MMR012CMP030"/>
    <s v="Relocated"/>
    <n v="0.82474226804123707"/>
    <n v="0"/>
    <n v="0"/>
  </r>
  <r>
    <d v="2013-10-01T00:00:00"/>
    <x v="1"/>
    <s v="Government"/>
    <x v="0"/>
    <x v="2"/>
    <s v="Set Yone Su"/>
    <n v="10"/>
    <m/>
    <m/>
    <n v="22"/>
    <n v="22"/>
    <m/>
    <m/>
    <m/>
    <m/>
    <m/>
    <m/>
    <m/>
    <n v="220"/>
    <n v="0"/>
    <s v="MMR012CMP056"/>
    <s v="Relocated"/>
    <n v="3.0555555555555554"/>
    <n v="0"/>
    <n v="0"/>
  </r>
  <r>
    <d v="2013-10-01T00:00:00"/>
    <x v="0"/>
    <s v="UNHCR"/>
    <x v="0"/>
    <x v="2"/>
    <s v="Set Yone Su 3"/>
    <n v="8"/>
    <m/>
    <m/>
    <n v="22"/>
    <n v="22"/>
    <m/>
    <m/>
    <m/>
    <m/>
    <m/>
    <m/>
    <m/>
    <n v="176"/>
    <n v="0"/>
    <s v="MMR012CMP093"/>
    <s v="Relocated"/>
    <n v="1.1655629139072847"/>
    <n v="0"/>
    <n v="0"/>
  </r>
  <r>
    <d v="2013-10-01T00:00:00"/>
    <x v="1"/>
    <s v="Government"/>
    <x v="0"/>
    <x v="1"/>
    <s v="Ba Wan Chaung Wa Su"/>
    <n v="1"/>
    <m/>
    <m/>
    <m/>
    <m/>
    <m/>
    <n v="21"/>
    <n v="21"/>
    <m/>
    <m/>
    <m/>
    <m/>
    <n v="21"/>
    <n v="0"/>
    <s v="MMR012CMP015"/>
    <s v="Relocated"/>
    <n v="1"/>
    <n v="21"/>
    <n v="21"/>
  </r>
  <r>
    <d v="2013-10-01T00:00:00"/>
    <x v="1"/>
    <s v="Government"/>
    <x v="0"/>
    <x v="2"/>
    <s v="Sat Roe Kya 1"/>
    <n v="1"/>
    <m/>
    <m/>
    <m/>
    <m/>
    <m/>
    <n v="250"/>
    <n v="250"/>
    <m/>
    <m/>
    <m/>
    <m/>
    <n v="250"/>
    <n v="0"/>
    <s v="MMR012CMP111"/>
    <s v="Relocated"/>
    <n v="1.0040160642570282"/>
    <n v="250"/>
    <n v="250"/>
  </r>
  <r>
    <d v="2013-10-01T00:00:00"/>
    <x v="1"/>
    <s v="Government"/>
    <x v="0"/>
    <x v="2"/>
    <s v="Sat Roe Kya 2"/>
    <n v="1"/>
    <m/>
    <m/>
    <m/>
    <m/>
    <m/>
    <n v="419"/>
    <n v="419"/>
    <m/>
    <m/>
    <m/>
    <m/>
    <n v="419"/>
    <n v="0"/>
    <s v="MMR012CMP112"/>
    <s v="Relocated"/>
    <n v="1.0023923444976077"/>
    <n v="419"/>
    <n v="419"/>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8"/>
    <s v="Ah Nauk Pyin"/>
    <n v="8"/>
    <m/>
    <m/>
    <n v="4"/>
    <n v="4"/>
    <m/>
    <m/>
    <m/>
    <m/>
    <m/>
    <m/>
    <m/>
    <n v="32"/>
    <n v="0"/>
    <s v="MMR012CMP032"/>
    <s v="Returned"/>
    <n v="1"/>
    <n v="0"/>
    <n v="0"/>
  </r>
  <r>
    <d v="2013-10-01T00:00:00"/>
    <x v="1"/>
    <s v="Government"/>
    <x v="0"/>
    <x v="0"/>
    <s v="Ah Pauk Wa "/>
    <n v="8"/>
    <m/>
    <m/>
    <n v="7"/>
    <n v="7"/>
    <m/>
    <m/>
    <m/>
    <m/>
    <m/>
    <m/>
    <m/>
    <n v="56"/>
    <n v="0"/>
    <s v="MMR012CMP024"/>
    <s v="Returned"/>
    <n v="0.60869565217391308"/>
    <n v="0"/>
    <n v="0"/>
  </r>
  <r>
    <d v="2013-10-01T00:00:00"/>
    <x v="1"/>
    <s v="Government"/>
    <x v="0"/>
    <x v="4"/>
    <s v="Aung Taing"/>
    <n v="8"/>
    <m/>
    <m/>
    <n v="10"/>
    <n v="10"/>
    <m/>
    <m/>
    <m/>
    <m/>
    <m/>
    <m/>
    <m/>
    <n v="80"/>
    <n v="0"/>
    <s v="MMR012CMP006"/>
    <s v="Returned"/>
    <n v="0.93023255813953487"/>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1"/>
    <s v="Government"/>
    <x v="0"/>
    <x v="0"/>
    <s v="Let Saung Kauk"/>
    <n v="8"/>
    <m/>
    <m/>
    <n v="2"/>
    <n v="2"/>
    <m/>
    <m/>
    <m/>
    <m/>
    <m/>
    <m/>
    <m/>
    <n v="16"/>
    <n v="0"/>
    <s v="MMR012CMP020"/>
    <s v="Returned"/>
    <n v="0.88888888888888884"/>
    <n v="0"/>
    <n v="0"/>
  </r>
  <r>
    <d v="2013-10-01T00:00:00"/>
    <x v="1"/>
    <s v="Government"/>
    <x v="0"/>
    <x v="8"/>
    <s v="Nyaung Pin Gyi"/>
    <n v="8"/>
    <m/>
    <m/>
    <n v="7"/>
    <n v="7"/>
    <m/>
    <m/>
    <m/>
    <m/>
    <m/>
    <m/>
    <m/>
    <n v="56"/>
    <n v="0"/>
    <s v="MMR012CMP031"/>
    <s v="Returned"/>
    <n v="1.037037037037037"/>
    <n v="0"/>
    <n v="0"/>
  </r>
  <r>
    <d v="2013-10-01T00:00:00"/>
    <x v="1"/>
    <s v="Government"/>
    <x v="0"/>
    <x v="6"/>
    <s v="Pa Rein"/>
    <n v="8"/>
    <m/>
    <m/>
    <n v="26"/>
    <n v="26"/>
    <m/>
    <m/>
    <m/>
    <m/>
    <m/>
    <m/>
    <m/>
    <n v="208"/>
    <n v="0"/>
    <s v="MMR012CMP009"/>
    <s v="Returned"/>
    <n v="1.0196078431372548"/>
    <n v="0"/>
    <n v="0"/>
  </r>
  <r>
    <d v="2013-10-01T00:00:00"/>
    <x v="1"/>
    <s v="Government"/>
    <x v="0"/>
    <x v="4"/>
    <s v="Paik Thay"/>
    <n v="8"/>
    <m/>
    <m/>
    <n v="2"/>
    <n v="2"/>
    <m/>
    <m/>
    <m/>
    <m/>
    <m/>
    <m/>
    <m/>
    <n v="16"/>
    <n v="0"/>
    <s v="MMR012CMP001"/>
    <s v="Returned"/>
    <n v="0.84210526315789469"/>
    <n v="0"/>
    <n v="0"/>
  </r>
  <r>
    <d v="2013-10-01T00:00:00"/>
    <x v="1"/>
    <s v="Government"/>
    <x v="0"/>
    <x v="4"/>
    <s v="Sam Ba Le"/>
    <n v="8"/>
    <m/>
    <m/>
    <n v="28"/>
    <n v="28"/>
    <m/>
    <m/>
    <m/>
    <m/>
    <m/>
    <m/>
    <m/>
    <n v="224"/>
    <n v="0"/>
    <s v="MMR012CMP008"/>
    <s v="Returned"/>
    <n v="0.99555555555555553"/>
    <n v="0"/>
    <n v="0"/>
  </r>
  <r>
    <d v="2013-10-01T00:00:00"/>
    <x v="1"/>
    <s v="Government"/>
    <x v="0"/>
    <x v="4"/>
    <s v="San Htoe Tan"/>
    <n v="8"/>
    <m/>
    <m/>
    <n v="10"/>
    <n v="10"/>
    <m/>
    <m/>
    <m/>
    <m/>
    <m/>
    <m/>
    <m/>
    <n v="80"/>
    <n v="0"/>
    <s v="MMR012CMP003"/>
    <s v="Returned"/>
    <n v="0.93023255813953487"/>
    <n v="0"/>
    <n v="0"/>
  </r>
  <r>
    <d v="2013-10-01T00:00:00"/>
    <x v="1"/>
    <s v="Government"/>
    <x v="0"/>
    <x v="0"/>
    <s v="Shwe Hlaing"/>
    <n v="8"/>
    <m/>
    <m/>
    <n v="18"/>
    <n v="18"/>
    <m/>
    <m/>
    <m/>
    <m/>
    <m/>
    <m/>
    <m/>
    <n v="144"/>
    <n v="0"/>
    <s v="MMR012CMP029"/>
    <s v="Returned"/>
    <n v="1"/>
    <n v="0"/>
    <n v="0"/>
  </r>
  <r>
    <d v="2013-10-01T00:00:00"/>
    <x v="1"/>
    <s v="Government"/>
    <x v="0"/>
    <x v="0"/>
    <s v="Taung Bwe"/>
    <n v="8"/>
    <m/>
    <m/>
    <n v="8"/>
    <n v="8"/>
    <m/>
    <m/>
    <m/>
    <m/>
    <m/>
    <m/>
    <m/>
    <n v="64"/>
    <n v="0"/>
    <s v="MMR012CMP021"/>
    <s v="Returned"/>
    <n v="1.0158730158730158"/>
    <n v="0"/>
    <n v="0"/>
  </r>
  <r>
    <d v="2013-10-01T00:00:00"/>
    <x v="1"/>
    <s v="Government"/>
    <x v="0"/>
    <x v="4"/>
    <s v="Tha Dar"/>
    <n v="8"/>
    <m/>
    <m/>
    <n v="14"/>
    <n v="14"/>
    <m/>
    <m/>
    <m/>
    <m/>
    <m/>
    <m/>
    <m/>
    <n v="112"/>
    <n v="0"/>
    <s v="MMR012CMP002"/>
    <s v="Returned"/>
    <n v="0.55172413793103448"/>
    <n v="0"/>
    <n v="0"/>
  </r>
  <r>
    <d v="2013-10-01T00:00:00"/>
    <x v="1"/>
    <s v="Government"/>
    <x v="0"/>
    <x v="4"/>
    <s v="Tha Yet Oak"/>
    <n v="8"/>
    <m/>
    <m/>
    <n v="20"/>
    <n v="20"/>
    <m/>
    <m/>
    <m/>
    <m/>
    <m/>
    <m/>
    <m/>
    <n v="160"/>
    <n v="0"/>
    <s v="MMR012CMP005"/>
    <s v="Returned"/>
    <n v="0.58181818181818179"/>
    <n v="0"/>
    <n v="0"/>
  </r>
  <r>
    <d v="2013-10-01T00:00:00"/>
    <x v="1"/>
    <s v="Government"/>
    <x v="0"/>
    <x v="6"/>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08-23T00:00:00"/>
    <x v="1"/>
    <s v="Government"/>
    <x v="0"/>
    <x v="1"/>
    <s v="Kyein Ni Pyin"/>
    <n v="8"/>
    <m/>
    <m/>
    <n v="9"/>
    <n v="9"/>
    <m/>
    <m/>
    <m/>
    <m/>
    <m/>
    <m/>
    <m/>
    <n v="72"/>
    <n v="72"/>
    <s v="MMR012CMP018"/>
    <s v="Open"/>
    <n v="7.1146245059288543E-2"/>
    <n v="0"/>
    <n v="0"/>
  </r>
</pivotCacheRecords>
</file>

<file path=xl/pivotCache/pivotCacheRecords3.xml><?xml version="1.0" encoding="utf-8"?>
<pivotCacheRecords xmlns="http://schemas.openxmlformats.org/spreadsheetml/2006/main" xmlns:r="http://schemas.openxmlformats.org/officeDocument/2006/relationships" count="153">
  <r>
    <s v="Rakhine"/>
    <x v="0"/>
    <s v="Ah Nauk Ywe"/>
    <s v="MMR012CMP016"/>
    <x v="0"/>
    <n v="39"/>
    <s v="LWF"/>
    <d v="2017-05-31T00:00:00"/>
  </r>
  <r>
    <s v="Rakhine"/>
    <x v="0"/>
    <s v="Ah Nauk Ywe"/>
    <s v="MMR012CMP016"/>
    <x v="1"/>
    <n v="11"/>
    <s v="LWF"/>
    <d v="2017-05-31T00:00:00"/>
  </r>
  <r>
    <s v="Rakhine"/>
    <x v="0"/>
    <s v="Ah Nauk Ywe"/>
    <s v="MMR012CMP016"/>
    <x v="2"/>
    <n v="14"/>
    <s v="LWF"/>
    <d v="2017-05-31T00:00:00"/>
  </r>
  <r>
    <s v="Rakhine"/>
    <x v="0"/>
    <s v="Ah Nauk Ywe"/>
    <s v="MMR012CMP016"/>
    <x v="3"/>
    <n v="0"/>
    <s v="LWF"/>
    <d v="2017-05-31T00:00:00"/>
  </r>
  <r>
    <s v="Rakhine"/>
    <x v="0"/>
    <s v="Ah Nauk Ywe"/>
    <s v="MMR012CMP016"/>
    <x v="4"/>
    <n v="0"/>
    <s v="LWF"/>
    <d v="2017-05-31T00:00:00"/>
  </r>
  <r>
    <s v="Rakhine"/>
    <x v="0"/>
    <s v="Ah Nauk Ywe"/>
    <s v="MMR012CMP016"/>
    <x v="5"/>
    <n v="93"/>
    <s v="LWF"/>
    <d v="2017-05-31T00:00:00"/>
  </r>
  <r>
    <s v="Rakhine"/>
    <x v="0"/>
    <s v="Ah Nauk Ywe"/>
    <s v="MMR012CMP016"/>
    <x v="6"/>
    <n v="199"/>
    <s v="LWF"/>
    <d v="2017-05-31T00:00:00"/>
  </r>
  <r>
    <s v="Rakhine"/>
    <x v="0"/>
    <s v="Ah Nauk Ywe"/>
    <s v="MMR012CMP016"/>
    <x v="7"/>
    <n v="71"/>
    <s v="LWF"/>
    <d v="2017-05-31T00:00:00"/>
  </r>
  <r>
    <s v="Rakhine"/>
    <x v="0"/>
    <s v="Ah Nauk Ywe"/>
    <s v="MMR012CMP016"/>
    <x v="8"/>
    <n v="339"/>
    <s v="LWF"/>
    <d v="2017-05-31T00:00:00"/>
  </r>
  <r>
    <s v="Rakhine"/>
    <x v="1"/>
    <s v="Basare"/>
    <s v="MMR012CMP039"/>
    <x v="0"/>
    <n v="46"/>
    <s v="LWF"/>
    <d v="2017-05-31T00:00:00"/>
  </r>
  <r>
    <s v="Rakhine"/>
    <x v="1"/>
    <s v="Basare"/>
    <s v="MMR012CMP039"/>
    <x v="1"/>
    <n v="7"/>
    <s v="LWF"/>
    <d v="2017-05-31T00:00:00"/>
  </r>
  <r>
    <s v="Rakhine"/>
    <x v="1"/>
    <s v="Basare"/>
    <s v="MMR012CMP039"/>
    <x v="2"/>
    <n v="0"/>
    <s v="LWF"/>
    <d v="2017-05-31T00:00:00"/>
  </r>
  <r>
    <s v="Rakhine"/>
    <x v="1"/>
    <s v="Basare"/>
    <s v="MMR012CMP039"/>
    <x v="3"/>
    <n v="0"/>
    <s v="LWF"/>
    <d v="2017-05-31T00:00:00"/>
  </r>
  <r>
    <s v="Rakhine"/>
    <x v="1"/>
    <s v="Basare"/>
    <s v="MMR012CMP039"/>
    <x v="4"/>
    <n v="0"/>
    <s v="LWF"/>
    <d v="2017-05-31T00:00:00"/>
  </r>
  <r>
    <s v="Rakhine"/>
    <x v="1"/>
    <s v="Basare"/>
    <s v="MMR012CMP039"/>
    <x v="5"/>
    <n v="66"/>
    <s v="LWF"/>
    <d v="2017-05-31T00:00:00"/>
  </r>
  <r>
    <s v="Rakhine"/>
    <x v="1"/>
    <s v="Basare"/>
    <s v="MMR012CMP039"/>
    <x v="6"/>
    <n v="46"/>
    <s v="LWF"/>
    <d v="2017-05-31T00:00:00"/>
  </r>
  <r>
    <s v="Rakhine"/>
    <x v="1"/>
    <s v="Basare"/>
    <s v="MMR012CMP039"/>
    <x v="7"/>
    <n v="15"/>
    <s v="LWF"/>
    <d v="2017-05-31T00:00:00"/>
  </r>
  <r>
    <s v="Rakhine"/>
    <x v="1"/>
    <s v="Basare"/>
    <s v="MMR012CMP039"/>
    <x v="8"/>
    <n v="39"/>
    <s v="LWF"/>
    <d v="2017-05-31T00:00:00"/>
  </r>
  <r>
    <s v="Rakhine"/>
    <x v="1"/>
    <s v="Baw Du Pha 1"/>
    <s v="MMR012CMP113"/>
    <x v="0"/>
    <n v="28"/>
    <s v="DRC"/>
    <d v="2017-05-31T00:00:00"/>
  </r>
  <r>
    <s v="Rakhine"/>
    <x v="1"/>
    <s v="Baw Du Pha 1"/>
    <s v="MMR012CMP113"/>
    <x v="1"/>
    <n v="0"/>
    <s v="DRC"/>
    <d v="2017-05-31T00:00:00"/>
  </r>
  <r>
    <s v="Rakhine"/>
    <x v="1"/>
    <s v="Baw Du Pha 1"/>
    <s v="MMR012CMP113"/>
    <x v="2"/>
    <n v="40"/>
    <s v="DRC"/>
    <d v="2017-05-31T00:00:00"/>
  </r>
  <r>
    <s v="Rakhine"/>
    <x v="1"/>
    <s v="Baw Du Pha 1"/>
    <s v="MMR012CMP113"/>
    <x v="3"/>
    <n v="12"/>
    <s v="DRC"/>
    <d v="2017-05-31T00:00:00"/>
  </r>
  <r>
    <s v="Rakhine"/>
    <x v="1"/>
    <s v="Baw Du Pha 1"/>
    <s v="MMR012CMP113"/>
    <x v="4"/>
    <n v="14"/>
    <s v="DRC"/>
    <d v="2017-05-31T00:00:00"/>
  </r>
  <r>
    <s v="Rakhine"/>
    <x v="1"/>
    <s v="Baw Du Pha 1"/>
    <s v="MMR012CMP113"/>
    <x v="5"/>
    <n v="15"/>
    <s v="DRC"/>
    <d v="2017-05-31T00:00:00"/>
  </r>
  <r>
    <s v="Rakhine"/>
    <x v="1"/>
    <s v="Baw Du Pha 1"/>
    <s v="MMR012CMP113"/>
    <x v="6"/>
    <n v="125"/>
    <s v="DRC"/>
    <d v="2017-05-31T00:00:00"/>
  </r>
  <r>
    <s v="Rakhine"/>
    <x v="1"/>
    <s v="Baw Du Pha 1"/>
    <s v="MMR012CMP113"/>
    <x v="7"/>
    <n v="0"/>
    <s v="DRC"/>
    <d v="2017-05-31T00:00:00"/>
  </r>
  <r>
    <s v="Rakhine"/>
    <x v="1"/>
    <s v="Baw Du Pha 1"/>
    <s v="MMR012CMP113"/>
    <x v="8"/>
    <n v="0"/>
    <s v="DRC"/>
    <d v="2017-05-31T00:00:00"/>
  </r>
  <r>
    <s v="Rakhine"/>
    <x v="1"/>
    <s v="Baw Du Pha 2"/>
    <s v="MMR012CMP114"/>
    <x v="0"/>
    <n v="43"/>
    <s v="DRC"/>
    <d v="2017-05-31T00:00:00"/>
  </r>
  <r>
    <s v="Rakhine"/>
    <x v="1"/>
    <s v="Baw Du Pha 2"/>
    <s v="MMR012CMP114"/>
    <x v="1"/>
    <n v="0"/>
    <s v="DRC"/>
    <d v="2017-05-31T00:00:00"/>
  </r>
  <r>
    <s v="Rakhine"/>
    <x v="1"/>
    <s v="Baw Du Pha 2"/>
    <s v="MMR012CMP114"/>
    <x v="2"/>
    <n v="55"/>
    <s v="DRC"/>
    <d v="2017-05-31T00:00:00"/>
  </r>
  <r>
    <s v="Rakhine"/>
    <x v="1"/>
    <s v="Baw Du Pha 2"/>
    <s v="MMR012CMP114"/>
    <x v="3"/>
    <n v="34"/>
    <s v="DRC"/>
    <d v="2017-05-31T00:00:00"/>
  </r>
  <r>
    <s v="Rakhine"/>
    <x v="1"/>
    <s v="Baw Du Pha 2"/>
    <s v="MMR012CMP114"/>
    <x v="4"/>
    <n v="13"/>
    <s v="DRC"/>
    <d v="2017-05-31T00:00:00"/>
  </r>
  <r>
    <s v="Rakhine"/>
    <x v="1"/>
    <s v="Baw Du Pha 2"/>
    <s v="MMR012CMP114"/>
    <x v="5"/>
    <n v="26"/>
    <s v="DRC"/>
    <d v="2017-05-31T00:00:00"/>
  </r>
  <r>
    <s v="Rakhine"/>
    <x v="1"/>
    <s v="Baw Du Pha 2"/>
    <s v="MMR012CMP114"/>
    <x v="6"/>
    <n v="185"/>
    <s v="DRC"/>
    <d v="2017-05-31T00:00:00"/>
  </r>
  <r>
    <s v="Rakhine"/>
    <x v="1"/>
    <s v="Baw Du Pha 2"/>
    <s v="MMR012CMP114"/>
    <x v="7"/>
    <n v="0"/>
    <s v="DRC"/>
    <d v="2017-05-31T00:00:00"/>
  </r>
  <r>
    <s v="Rakhine"/>
    <x v="1"/>
    <s v="Baw Du Pha 2"/>
    <s v="MMR012CMP114"/>
    <x v="8"/>
    <n v="0"/>
    <s v="DRC"/>
    <d v="2017-05-31T00:00:00"/>
  </r>
  <r>
    <s v="Rakhine"/>
    <x v="1"/>
    <s v="Dar Pai"/>
    <s v="MMR012CMP041"/>
    <x v="0"/>
    <n v="94"/>
    <s v="DRC"/>
    <d v="2017-05-31T00:00:00"/>
  </r>
  <r>
    <s v="Rakhine"/>
    <x v="1"/>
    <s v="Dar Pai"/>
    <s v="MMR012CMP041"/>
    <x v="1"/>
    <n v="0"/>
    <s v="DRC"/>
    <d v="2017-05-31T00:00:00"/>
  </r>
  <r>
    <s v="Rakhine"/>
    <x v="1"/>
    <s v="Dar Pai"/>
    <s v="MMR012CMP041"/>
    <x v="2"/>
    <n v="69"/>
    <s v="DRC"/>
    <d v="2017-05-31T00:00:00"/>
  </r>
  <r>
    <s v="Rakhine"/>
    <x v="1"/>
    <s v="Dar Pai"/>
    <s v="MMR012CMP041"/>
    <x v="3"/>
    <n v="32"/>
    <s v="DRC"/>
    <d v="2017-05-31T00:00:00"/>
  </r>
  <r>
    <s v="Rakhine"/>
    <x v="1"/>
    <s v="Dar Pai"/>
    <s v="MMR012CMP041"/>
    <x v="4"/>
    <n v="40"/>
    <s v="DRC"/>
    <d v="2017-05-31T00:00:00"/>
  </r>
  <r>
    <s v="Rakhine"/>
    <x v="1"/>
    <s v="Dar Pai"/>
    <s v="MMR012CMP041"/>
    <x v="5"/>
    <n v="32"/>
    <s v="DRC"/>
    <d v="2017-05-31T00:00:00"/>
  </r>
  <r>
    <s v="Rakhine"/>
    <x v="1"/>
    <s v="Dar Pai"/>
    <s v="MMR012CMP041"/>
    <x v="6"/>
    <n v="229"/>
    <s v="DRC"/>
    <d v="2017-05-31T00:00:00"/>
  </r>
  <r>
    <s v="Rakhine"/>
    <x v="1"/>
    <s v="Dar Pai"/>
    <s v="MMR012CMP041"/>
    <x v="7"/>
    <n v="0"/>
    <s v="DRC"/>
    <d v="2017-05-31T00:00:00"/>
  </r>
  <r>
    <s v="Rakhine"/>
    <x v="1"/>
    <s v="Dar Pai"/>
    <s v="MMR012CMP041"/>
    <x v="8"/>
    <n v="0"/>
    <s v="DRC"/>
    <d v="2017-05-31T00:00:00"/>
  </r>
  <r>
    <s v="Rakhine"/>
    <x v="1"/>
    <s v="Khaung Doke Khar "/>
    <s v="MMR012CMP042"/>
    <x v="0"/>
    <n v="71"/>
    <s v="LWF"/>
    <d v="2017-05-31T00:00:00"/>
  </r>
  <r>
    <s v="Rakhine"/>
    <x v="1"/>
    <s v="Khaung Doke Khar "/>
    <s v="MMR012CMP042"/>
    <x v="1"/>
    <n v="15"/>
    <s v="LWF"/>
    <d v="2017-05-31T00:00:00"/>
  </r>
  <r>
    <s v="Rakhine"/>
    <x v="1"/>
    <s v="Khaung Doke Khar "/>
    <s v="MMR012CMP042"/>
    <x v="2"/>
    <n v="0"/>
    <s v="LWF"/>
    <d v="2017-05-31T00:00:00"/>
  </r>
  <r>
    <s v="Rakhine"/>
    <x v="1"/>
    <s v="Khaung Doke Khar "/>
    <s v="MMR012CMP042"/>
    <x v="3"/>
    <n v="0"/>
    <s v="LWF"/>
    <d v="2017-05-31T00:00:00"/>
  </r>
  <r>
    <s v="Rakhine"/>
    <x v="1"/>
    <s v="Khaung Doke Khar "/>
    <s v="MMR012CMP042"/>
    <x v="4"/>
    <n v="0"/>
    <s v="LWF"/>
    <d v="2017-05-31T00:00:00"/>
  </r>
  <r>
    <s v="Rakhine"/>
    <x v="1"/>
    <s v="Khaung Doke Khar "/>
    <s v="MMR012CMP042"/>
    <x v="5"/>
    <n v="83"/>
    <s v="LWF"/>
    <d v="2017-05-31T00:00:00"/>
  </r>
  <r>
    <s v="Rakhine"/>
    <x v="1"/>
    <s v="Khaung Doke Khar "/>
    <s v="MMR012CMP042"/>
    <x v="6"/>
    <n v="128"/>
    <s v="LWF"/>
    <d v="2017-05-31T00:00:00"/>
  </r>
  <r>
    <s v="Rakhine"/>
    <x v="1"/>
    <s v="Khaung Doke Khar "/>
    <s v="MMR012CMP042"/>
    <x v="7"/>
    <n v="45"/>
    <s v="LWF"/>
    <d v="2017-05-31T00:00:00"/>
  </r>
  <r>
    <s v="Rakhine"/>
    <x v="1"/>
    <s v="Khaung Doke Khar "/>
    <s v="MMR012CMP042"/>
    <x v="8"/>
    <n v="209"/>
    <s v="LWF"/>
    <d v="2017-05-31T00:00:00"/>
  </r>
  <r>
    <s v="Rakhine"/>
    <x v="0"/>
    <s v="Kyein Ni Pyin"/>
    <s v="MMR012CMP018"/>
    <x v="0"/>
    <n v="33"/>
    <s v="DRC"/>
    <d v="2017-05-31T00:00:00"/>
  </r>
  <r>
    <s v="Rakhine"/>
    <x v="0"/>
    <s v="Kyein Ni Pyin"/>
    <s v="MMR012CMP018"/>
    <x v="1"/>
    <n v="0"/>
    <s v="DRC"/>
    <d v="2017-05-31T00:00:00"/>
  </r>
  <r>
    <s v="Rakhine"/>
    <x v="0"/>
    <s v="Kyein Ni Pyin"/>
    <s v="MMR012CMP018"/>
    <x v="2"/>
    <n v="83"/>
    <s v="DRC"/>
    <d v="2017-05-31T00:00:00"/>
  </r>
  <r>
    <s v="Rakhine"/>
    <x v="0"/>
    <s v="Kyein Ni Pyin"/>
    <s v="MMR012CMP018"/>
    <x v="3"/>
    <n v="2"/>
    <s v="DRC"/>
    <d v="2017-05-31T00:00:00"/>
  </r>
  <r>
    <s v="Rakhine"/>
    <x v="0"/>
    <s v="Kyein Ni Pyin"/>
    <s v="MMR012CMP018"/>
    <x v="4"/>
    <n v="4"/>
    <s v="DRC"/>
    <d v="2017-05-31T00:00:00"/>
  </r>
  <r>
    <s v="Rakhine"/>
    <x v="0"/>
    <s v="Kyein Ni Pyin"/>
    <s v="MMR012CMP018"/>
    <x v="5"/>
    <n v="200"/>
    <s v="DRC"/>
    <d v="2017-05-31T00:00:00"/>
  </r>
  <r>
    <s v="Rakhine"/>
    <x v="0"/>
    <s v="Kyein Ni Pyin"/>
    <s v="MMR012CMP018"/>
    <x v="6"/>
    <n v="38"/>
    <s v="DRC"/>
    <d v="2017-05-31T00:00:00"/>
  </r>
  <r>
    <s v="Rakhine"/>
    <x v="0"/>
    <s v="Kyein Ni Pyin"/>
    <s v="MMR012CMP018"/>
    <x v="7"/>
    <n v="0"/>
    <s v="DRC"/>
    <d v="2017-05-31T00:00:00"/>
  </r>
  <r>
    <s v="Rakhine"/>
    <x v="0"/>
    <s v="Kyein Ni Pyin"/>
    <s v="MMR012CMP018"/>
    <x v="8"/>
    <n v="0"/>
    <s v="DRC"/>
    <d v="2017-05-31T00:00:00"/>
  </r>
  <r>
    <s v="Rakhine"/>
    <x v="1"/>
    <s v="Maw Ti Ngar"/>
    <s v="MMR012CMP092"/>
    <x v="0"/>
    <n v="29"/>
    <s v="NRC"/>
    <d v="2017-05-31T00:00:00"/>
  </r>
  <r>
    <s v="Rakhine"/>
    <x v="1"/>
    <s v="Maw Ti Ngar"/>
    <s v="MMR012CMP092"/>
    <x v="1"/>
    <n v="14"/>
    <s v="NRC"/>
    <d v="2017-05-31T00:00:00"/>
  </r>
  <r>
    <s v="Rakhine"/>
    <x v="1"/>
    <s v="Maw Ti Ngar"/>
    <s v="MMR012CMP092"/>
    <x v="2"/>
    <n v="52"/>
    <s v="NRC"/>
    <d v="2017-05-31T00:00:00"/>
  </r>
  <r>
    <s v="Rakhine"/>
    <x v="1"/>
    <s v="Maw Ti Ngar"/>
    <s v="MMR012CMP092"/>
    <x v="3"/>
    <n v="6"/>
    <s v="NRC"/>
    <d v="2017-05-31T00:00:00"/>
  </r>
  <r>
    <s v="Rakhine"/>
    <x v="1"/>
    <s v="Maw Ti Ngar"/>
    <s v="MMR012CMP092"/>
    <x v="4"/>
    <n v="0"/>
    <s v="NRC"/>
    <d v="2017-05-31T00:00:00"/>
  </r>
  <r>
    <s v="Rakhine"/>
    <x v="1"/>
    <s v="Maw Ti Ngar"/>
    <s v="MMR012CMP092"/>
    <x v="5"/>
    <n v="125"/>
    <s v="NRC"/>
    <d v="2017-05-31T00:00:00"/>
  </r>
  <r>
    <s v="Rakhine"/>
    <x v="1"/>
    <s v="Maw Ti Ngar"/>
    <s v="MMR012CMP092"/>
    <x v="6"/>
    <n v="112"/>
    <s v="NRC"/>
    <d v="2017-05-31T00:00:00"/>
  </r>
  <r>
    <s v="Rakhine"/>
    <x v="1"/>
    <s v="Maw Ti Ngar"/>
    <s v="MMR012CMP092"/>
    <x v="7"/>
    <n v="41"/>
    <s v="NRC"/>
    <d v="2017-05-31T00:00:00"/>
  </r>
  <r>
    <s v="Rakhine"/>
    <x v="1"/>
    <s v="Maw Ti Ngar"/>
    <s v="MMR012CMP092"/>
    <x v="8"/>
    <n v="153"/>
    <s v="NRC"/>
    <d v="2017-05-31T00:00:00"/>
  </r>
  <r>
    <s v="Rakhine"/>
    <x v="0"/>
    <s v="Nget Chaung 2"/>
    <s v="MMR012CMP017"/>
    <x v="0"/>
    <n v="38"/>
    <s v="LWF"/>
    <d v="2017-05-31T00:00:00"/>
  </r>
  <r>
    <s v="Rakhine"/>
    <x v="0"/>
    <s v="Nget Chaung 2"/>
    <s v="MMR012CMP017"/>
    <x v="1"/>
    <n v="7"/>
    <s v="LWF"/>
    <d v="2017-05-31T00:00:00"/>
  </r>
  <r>
    <s v="Rakhine"/>
    <x v="0"/>
    <s v="Nget Chaung 2"/>
    <s v="MMR012CMP017"/>
    <x v="2"/>
    <n v="8"/>
    <s v="LWF"/>
    <d v="2017-05-31T00:00:00"/>
  </r>
  <r>
    <s v="Rakhine"/>
    <x v="0"/>
    <s v="Nget Chaung 2"/>
    <s v="MMR012CMP017"/>
    <x v="3"/>
    <n v="14"/>
    <s v="LWF"/>
    <d v="2017-05-31T00:00:00"/>
  </r>
  <r>
    <s v="Rakhine"/>
    <x v="0"/>
    <s v="Nget Chaung 2"/>
    <s v="MMR012CMP017"/>
    <x v="4"/>
    <n v="57"/>
    <s v="LWF"/>
    <d v="2017-05-31T00:00:00"/>
  </r>
  <r>
    <s v="Rakhine"/>
    <x v="0"/>
    <s v="Nget Chaung 2"/>
    <s v="MMR012CMP017"/>
    <x v="5"/>
    <n v="85"/>
    <s v="LWF"/>
    <d v="2017-05-31T00:00:00"/>
  </r>
  <r>
    <s v="Rakhine"/>
    <x v="0"/>
    <s v="Nget Chaung 2"/>
    <s v="MMR012CMP017"/>
    <x v="6"/>
    <n v="116"/>
    <s v="LWF"/>
    <d v="2017-05-31T00:00:00"/>
  </r>
  <r>
    <s v="Rakhine"/>
    <x v="0"/>
    <s v="Nget Chaung 2"/>
    <s v="MMR012CMP017"/>
    <x v="7"/>
    <n v="68"/>
    <s v="LWF"/>
    <d v="2017-05-31T00:00:00"/>
  </r>
  <r>
    <s v="Rakhine"/>
    <x v="0"/>
    <s v="Nget Chaung 2"/>
    <s v="MMR012CMP017"/>
    <x v="8"/>
    <n v="234"/>
    <s v="LWF"/>
    <d v="2017-05-31T00:00:00"/>
  </r>
  <r>
    <s v="Rakhine"/>
    <x v="1"/>
    <s v="Ohn Taw Chay"/>
    <s v="MMR012CMP098"/>
    <x v="0"/>
    <n v="32"/>
    <s v="DRC"/>
    <d v="2017-05-31T00:00:00"/>
  </r>
  <r>
    <s v="Rakhine"/>
    <x v="1"/>
    <s v="Ohn Taw Chay"/>
    <s v="MMR012CMP098"/>
    <x v="1"/>
    <n v="0"/>
    <s v="DRC"/>
    <d v="2017-05-31T00:00:00"/>
  </r>
  <r>
    <s v="Rakhine"/>
    <x v="1"/>
    <s v="Ohn Taw Chay"/>
    <s v="MMR012CMP098"/>
    <x v="2"/>
    <n v="49"/>
    <s v="DRC"/>
    <d v="2017-05-31T00:00:00"/>
  </r>
  <r>
    <s v="Rakhine"/>
    <x v="1"/>
    <s v="Ohn Taw Chay"/>
    <s v="MMR012CMP098"/>
    <x v="3"/>
    <n v="1"/>
    <s v="DRC"/>
    <d v="2017-05-31T00:00:00"/>
  </r>
  <r>
    <s v="Rakhine"/>
    <x v="1"/>
    <s v="Ohn Taw Chay"/>
    <s v="MMR012CMP098"/>
    <x v="4"/>
    <n v="20"/>
    <s v="DRC"/>
    <d v="2017-05-31T00:00:00"/>
  </r>
  <r>
    <s v="Rakhine"/>
    <x v="1"/>
    <s v="Ohn Taw Chay"/>
    <s v="MMR012CMP098"/>
    <x v="5"/>
    <n v="12"/>
    <s v="DRC"/>
    <d v="2017-05-31T00:00:00"/>
  </r>
  <r>
    <s v="Rakhine"/>
    <x v="1"/>
    <s v="Ohn Taw Chay"/>
    <s v="MMR012CMP098"/>
    <x v="6"/>
    <n v="82"/>
    <s v="DRC"/>
    <d v="2017-05-31T00:00:00"/>
  </r>
  <r>
    <s v="Rakhine"/>
    <x v="1"/>
    <s v="Ohn Taw Chay"/>
    <s v="MMR012CMP098"/>
    <x v="7"/>
    <n v="0"/>
    <s v="DRC"/>
    <d v="2017-05-31T00:00:00"/>
  </r>
  <r>
    <s v="Rakhine"/>
    <x v="1"/>
    <s v="Ohn Taw Chay"/>
    <s v="MMR012CMP098"/>
    <x v="8"/>
    <n v="0"/>
    <s v="DRC"/>
    <d v="2017-05-31T00:00:00"/>
  </r>
  <r>
    <s v="Rakhine"/>
    <x v="1"/>
    <s v="Ohn Taw Gyi (North)"/>
    <s v="MMR012CMP115"/>
    <x v="0"/>
    <n v="146"/>
    <s v="DRC"/>
    <d v="2017-05-31T00:00:00"/>
  </r>
  <r>
    <s v="Rakhine"/>
    <x v="1"/>
    <s v="Ohn Taw Gyi (North)"/>
    <s v="MMR012CMP115"/>
    <x v="1"/>
    <n v="0"/>
    <s v="DRC"/>
    <d v="2017-05-31T00:00:00"/>
  </r>
  <r>
    <s v="Rakhine"/>
    <x v="1"/>
    <s v="Ohn Taw Gyi (North)"/>
    <s v="MMR012CMP115"/>
    <x v="2"/>
    <n v="161"/>
    <s v="DRC"/>
    <d v="2017-05-31T00:00:00"/>
  </r>
  <r>
    <s v="Rakhine"/>
    <x v="1"/>
    <s v="Ohn Taw Gyi (North)"/>
    <s v="MMR012CMP115"/>
    <x v="3"/>
    <n v="133"/>
    <s v="DRC"/>
    <d v="2017-05-31T00:00:00"/>
  </r>
  <r>
    <s v="Rakhine"/>
    <x v="1"/>
    <s v="Ohn Taw Gyi (North)"/>
    <s v="MMR012CMP115"/>
    <x v="4"/>
    <n v="72"/>
    <s v="DRC"/>
    <d v="2017-05-31T00:00:00"/>
  </r>
  <r>
    <s v="Rakhine"/>
    <x v="1"/>
    <s v="Ohn Taw Gyi (North)"/>
    <s v="MMR012CMP115"/>
    <x v="5"/>
    <n v="94"/>
    <s v="DRC"/>
    <d v="2017-05-31T00:00:00"/>
  </r>
  <r>
    <s v="Rakhine"/>
    <x v="1"/>
    <s v="Ohn Taw Gyi (North)"/>
    <s v="MMR012CMP115"/>
    <x v="6"/>
    <n v="587"/>
    <s v="DRC"/>
    <d v="2017-05-31T00:00:00"/>
  </r>
  <r>
    <s v="Rakhine"/>
    <x v="1"/>
    <s v="Ohn Taw Gyi (North)"/>
    <s v="MMR012CMP115"/>
    <x v="7"/>
    <n v="0"/>
    <s v="DRC"/>
    <d v="2017-05-31T00:00:00"/>
  </r>
  <r>
    <s v="Rakhine"/>
    <x v="1"/>
    <s v="Ohn Taw Gyi (North)"/>
    <s v="MMR012CMP115"/>
    <x v="8"/>
    <n v="0"/>
    <s v="DRC"/>
    <d v="2017-05-31T00:00:00"/>
  </r>
  <r>
    <s v="Rakhine"/>
    <x v="1"/>
    <s v="Ohn Taw Gyi (South)"/>
    <s v="MMR012CMP116"/>
    <x v="0"/>
    <n v="60"/>
    <s v="LWF"/>
    <d v="2017-05-31T00:00:00"/>
  </r>
  <r>
    <s v="Rakhine"/>
    <x v="1"/>
    <s v="Ohn Taw Gyi (South)"/>
    <s v="MMR012CMP116"/>
    <x v="1"/>
    <n v="28"/>
    <s v="LWF"/>
    <d v="2017-05-31T00:00:00"/>
  </r>
  <r>
    <s v="Rakhine"/>
    <x v="1"/>
    <s v="Ohn Taw Gyi (South)"/>
    <s v="MMR012CMP116"/>
    <x v="2"/>
    <n v="0"/>
    <s v="LWF"/>
    <d v="2017-05-31T00:00:00"/>
  </r>
  <r>
    <s v="Rakhine"/>
    <x v="1"/>
    <s v="Ohn Taw Gyi (South)"/>
    <s v="MMR012CMP116"/>
    <x v="3"/>
    <n v="12"/>
    <s v="LWF"/>
    <d v="2017-05-31T00:00:00"/>
  </r>
  <r>
    <s v="Rakhine"/>
    <x v="1"/>
    <s v="Ohn Taw Gyi (South)"/>
    <s v="MMR012CMP116"/>
    <x v="4"/>
    <n v="40"/>
    <s v="LWF"/>
    <d v="2017-05-31T00:00:00"/>
  </r>
  <r>
    <s v="Rakhine"/>
    <x v="1"/>
    <s v="Ohn Taw Gyi (South)"/>
    <s v="MMR012CMP116"/>
    <x v="5"/>
    <n v="146"/>
    <s v="LWF"/>
    <d v="2017-05-31T00:00:00"/>
  </r>
  <r>
    <s v="Rakhine"/>
    <x v="1"/>
    <s v="Ohn Taw Gyi (South)"/>
    <s v="MMR012CMP116"/>
    <x v="6"/>
    <n v="169"/>
    <s v="LWF"/>
    <d v="2017-05-31T00:00:00"/>
  </r>
  <r>
    <s v="Rakhine"/>
    <x v="1"/>
    <s v="Ohn Taw Gyi (South)"/>
    <s v="MMR012CMP116"/>
    <x v="7"/>
    <n v="182"/>
    <s v="LWF"/>
    <d v="2017-05-31T00:00:00"/>
  </r>
  <r>
    <s v="Rakhine"/>
    <x v="1"/>
    <s v="Ohn Taw Gyi (South)"/>
    <s v="MMR012CMP116"/>
    <x v="8"/>
    <n v="366"/>
    <s v="LWF"/>
    <d v="2017-05-31T00:00:00"/>
  </r>
  <r>
    <s v="Rakhine"/>
    <x v="1"/>
    <s v="Say Tha Mar Gyi"/>
    <s v="MMR012CMP045"/>
    <x v="0"/>
    <n v="104"/>
    <s v="DRC"/>
    <d v="2017-05-31T00:00:00"/>
  </r>
  <r>
    <s v="Rakhine"/>
    <x v="1"/>
    <s v="Say Tha Mar Gyi"/>
    <s v="MMR012CMP045"/>
    <x v="1"/>
    <n v="0"/>
    <s v="DRC"/>
    <d v="2017-05-31T00:00:00"/>
  </r>
  <r>
    <s v="Rakhine"/>
    <x v="1"/>
    <s v="Say Tha Mar Gyi"/>
    <s v="MMR012CMP045"/>
    <x v="2"/>
    <n v="144"/>
    <s v="DRC"/>
    <d v="2017-05-31T00:00:00"/>
  </r>
  <r>
    <s v="Rakhine"/>
    <x v="1"/>
    <s v="Say Tha Mar Gyi"/>
    <s v="MMR012CMP045"/>
    <x v="3"/>
    <n v="78"/>
    <s v="DRC"/>
    <d v="2017-05-31T00:00:00"/>
  </r>
  <r>
    <s v="Rakhine"/>
    <x v="1"/>
    <s v="Say Tha Mar Gyi"/>
    <s v="MMR012CMP045"/>
    <x v="4"/>
    <n v="18"/>
    <s v="DRC"/>
    <d v="2017-05-31T00:00:00"/>
  </r>
  <r>
    <s v="Rakhine"/>
    <x v="1"/>
    <s v="Say Tha Mar Gyi"/>
    <s v="MMR012CMP045"/>
    <x v="5"/>
    <n v="26"/>
    <s v="DRC"/>
    <d v="2017-05-31T00:00:00"/>
  </r>
  <r>
    <s v="Rakhine"/>
    <x v="1"/>
    <s v="Say Tha Mar Gyi"/>
    <s v="MMR012CMP045"/>
    <x v="6"/>
    <n v="467"/>
    <s v="DRC"/>
    <d v="2017-05-31T00:00:00"/>
  </r>
  <r>
    <s v="Rakhine"/>
    <x v="1"/>
    <s v="Say Tha Mar Gyi"/>
    <s v="MMR012CMP045"/>
    <x v="7"/>
    <n v="0"/>
    <s v="DRC"/>
    <d v="2017-05-31T00:00:00"/>
  </r>
  <r>
    <s v="Rakhine"/>
    <x v="1"/>
    <s v="Say Tha Mar Gyi"/>
    <s v="MMR012CMP045"/>
    <x v="8"/>
    <n v="0"/>
    <s v="DRC"/>
    <d v="2017-05-31T00:00:00"/>
  </r>
  <r>
    <s v="Rakhine"/>
    <x v="0"/>
    <s v="Sin Tet Maw"/>
    <s v="MMR012CMP019"/>
    <x v="0"/>
    <n v="10"/>
    <s v="DRC"/>
    <d v="2017-05-31T00:00:00"/>
  </r>
  <r>
    <s v="Rakhine"/>
    <x v="0"/>
    <s v="Sin Tet Maw"/>
    <s v="MMR012CMP019"/>
    <x v="1"/>
    <n v="0"/>
    <s v="DRC"/>
    <d v="2017-05-31T00:00:00"/>
  </r>
  <r>
    <s v="Rakhine"/>
    <x v="0"/>
    <s v="Sin Tet Maw"/>
    <s v="MMR012CMP019"/>
    <x v="2"/>
    <n v="37"/>
    <s v="DRC"/>
    <d v="2017-05-31T00:00:00"/>
  </r>
  <r>
    <s v="Rakhine"/>
    <x v="0"/>
    <s v="Sin Tet Maw"/>
    <s v="MMR012CMP019"/>
    <x v="3"/>
    <n v="2"/>
    <s v="DRC"/>
    <d v="2017-05-31T00:00:00"/>
  </r>
  <r>
    <s v="Rakhine"/>
    <x v="0"/>
    <s v="Sin Tet Maw"/>
    <s v="MMR012CMP019"/>
    <x v="4"/>
    <n v="3"/>
    <s v="DRC"/>
    <d v="2017-05-31T00:00:00"/>
  </r>
  <r>
    <s v="Rakhine"/>
    <x v="0"/>
    <s v="Sin Tet Maw"/>
    <s v="MMR012CMP019"/>
    <x v="5"/>
    <n v="101"/>
    <s v="DRC"/>
    <d v="2017-05-31T00:00:00"/>
  </r>
  <r>
    <s v="Rakhine"/>
    <x v="0"/>
    <s v="Sin Tet Maw"/>
    <s v="MMR012CMP019"/>
    <x v="6"/>
    <n v="1"/>
    <s v="DRC"/>
    <d v="2017-05-31T00:00:00"/>
  </r>
  <r>
    <s v="Rakhine"/>
    <x v="0"/>
    <s v="Sin Tet Maw"/>
    <s v="MMR012CMP019"/>
    <x v="7"/>
    <n v="0"/>
    <s v="DRC"/>
    <d v="2017-05-31T00:00:00"/>
  </r>
  <r>
    <s v="Rakhine"/>
    <x v="0"/>
    <s v="Sin Tet Maw"/>
    <s v="MMR012CMP019"/>
    <x v="8"/>
    <n v="0"/>
    <s v="DRC"/>
    <d v="2017-05-31T00:00:00"/>
  </r>
  <r>
    <s v="Rakhine"/>
    <x v="2"/>
    <s v="Taung Paw "/>
    <s v="MMR012CMP014"/>
    <x v="0"/>
    <n v="35"/>
    <s v="RI"/>
    <d v="2017-05-31T00:00:00"/>
  </r>
  <r>
    <s v="Rakhine"/>
    <x v="2"/>
    <s v="Taung Paw "/>
    <s v="MMR012CMP014"/>
    <x v="1"/>
    <n v="14"/>
    <s v="RI"/>
    <d v="2017-05-31T00:00:00"/>
  </r>
  <r>
    <s v="Rakhine"/>
    <x v="2"/>
    <s v="Taung Paw "/>
    <s v="MMR012CMP014"/>
    <x v="6"/>
    <n v="210"/>
    <s v="RI"/>
    <d v="2017-05-31T00:00:00"/>
  </r>
  <r>
    <s v="Rakhine"/>
    <x v="2"/>
    <s v="Taung Paw "/>
    <s v="MMR012CMP014"/>
    <x v="7"/>
    <n v="38"/>
    <s v="RI"/>
    <d v="2017-05-31T00:00:00"/>
  </r>
  <r>
    <s v="Rakhine"/>
    <x v="2"/>
    <s v="Taung Paw "/>
    <s v="MMR012CMP014"/>
    <x v="8"/>
    <n v="62"/>
    <s v="RI"/>
    <d v="2017-05-31T00:00:00"/>
  </r>
  <r>
    <s v="Rakhine"/>
    <x v="2"/>
    <s v="Taung Paw "/>
    <s v="MMR012CMP014"/>
    <x v="4"/>
    <n v="5"/>
    <s v="RI"/>
    <d v="2017-05-31T00:00:00"/>
  </r>
  <r>
    <s v="Rakhine"/>
    <x v="2"/>
    <s v="Taung Paw "/>
    <s v="MMR012CMP014"/>
    <x v="3"/>
    <n v="3"/>
    <s v="RI"/>
    <d v="2017-05-31T00:00:00"/>
  </r>
  <r>
    <s v="Rakhine"/>
    <x v="2"/>
    <s v="Taung Paw "/>
    <s v="MMR012CMP014"/>
    <x v="5"/>
    <n v="5"/>
    <s v="RI"/>
    <d v="2017-05-31T00:00:00"/>
  </r>
  <r>
    <s v="Rakhine"/>
    <x v="2"/>
    <s v="Taung Paw "/>
    <s v="MMR012CMP014"/>
    <x v="2"/>
    <n v="158"/>
    <s v="RI"/>
    <d v="2017-05-31T00:00:00"/>
  </r>
  <r>
    <s v="Rakhine"/>
    <x v="1"/>
    <s v="Thae Chaung"/>
    <s v="MMR012CMP046"/>
    <x v="0"/>
    <n v="68"/>
    <s v="LWF"/>
    <d v="2017-05-31T00:00:00"/>
  </r>
  <r>
    <s v="Rakhine"/>
    <x v="1"/>
    <s v="Thae Chaung"/>
    <s v="MMR012CMP046"/>
    <x v="1"/>
    <n v="41"/>
    <s v="LWF"/>
    <d v="2017-05-31T00:00:00"/>
  </r>
  <r>
    <s v="Rakhine"/>
    <x v="1"/>
    <s v="Thae Chaung"/>
    <s v="MMR012CMP046"/>
    <x v="2"/>
    <n v="0"/>
    <s v="LWF"/>
    <d v="2017-05-31T00:00:00"/>
  </r>
  <r>
    <s v="Rakhine"/>
    <x v="1"/>
    <s v="Thae Chaung"/>
    <s v="MMR012CMP046"/>
    <x v="3"/>
    <n v="10"/>
    <s v="LWF"/>
    <d v="2017-05-31T00:00:00"/>
  </r>
  <r>
    <s v="Rakhine"/>
    <x v="1"/>
    <s v="Thae Chaung"/>
    <s v="MMR012CMP046"/>
    <x v="4"/>
    <n v="15"/>
    <s v="LWF"/>
    <d v="2017-05-31T00:00:00"/>
  </r>
  <r>
    <s v="Rakhine"/>
    <x v="1"/>
    <s v="Thae Chaung"/>
    <s v="MMR012CMP046"/>
    <x v="5"/>
    <n v="315"/>
    <s v="LWF"/>
    <d v="2017-05-31T00:00:00"/>
  </r>
  <r>
    <s v="Rakhine"/>
    <x v="1"/>
    <s v="Thae Chaung"/>
    <s v="MMR012CMP046"/>
    <x v="6"/>
    <n v="41"/>
    <s v="LWF"/>
    <d v="2017-05-31T00:00:00"/>
  </r>
  <r>
    <s v="Rakhine"/>
    <x v="1"/>
    <s v="Thae Chaung"/>
    <s v="MMR012CMP046"/>
    <x v="7"/>
    <n v="149"/>
    <s v="LWF"/>
    <d v="2017-05-31T00:00:00"/>
  </r>
  <r>
    <s v="Rakhine"/>
    <x v="1"/>
    <s v="Thae Chaung"/>
    <s v="MMR012CMP046"/>
    <x v="8"/>
    <n v="406"/>
    <s v="LWF"/>
    <d v="2017-05-31T00:00:00"/>
  </r>
  <r>
    <s v="Rakhine"/>
    <x v="1"/>
    <s v="Thet Kae Pyin "/>
    <s v="MMR012CMP048"/>
    <x v="0"/>
    <n v="31"/>
    <s v="NRC"/>
    <d v="2017-05-31T00:00:00"/>
  </r>
  <r>
    <s v="Rakhine"/>
    <x v="1"/>
    <s v="Thet Kae Pyin "/>
    <s v="MMR012CMP048"/>
    <x v="1"/>
    <n v="10"/>
    <s v="NRC"/>
    <d v="2017-05-31T00:00:00"/>
  </r>
  <r>
    <s v="Rakhine"/>
    <x v="1"/>
    <s v="Thet Kae Pyin "/>
    <s v="MMR012CMP048"/>
    <x v="2"/>
    <n v="54"/>
    <s v="NRC"/>
    <d v="2017-05-31T00:00:00"/>
  </r>
  <r>
    <s v="Rakhine"/>
    <x v="1"/>
    <s v="Thet Kae Pyin "/>
    <s v="MMR012CMP048"/>
    <x v="3"/>
    <n v="32"/>
    <s v="NRC"/>
    <d v="2017-05-31T00:00:00"/>
  </r>
  <r>
    <s v="Rakhine"/>
    <x v="1"/>
    <s v="Thet Kae Pyin "/>
    <s v="MMR012CMP048"/>
    <x v="4"/>
    <n v="0"/>
    <s v="NRC"/>
    <d v="2017-05-31T00:00:00"/>
  </r>
  <r>
    <s v="Rakhine"/>
    <x v="1"/>
    <s v="Thet Kae Pyin "/>
    <s v="MMR012CMP048"/>
    <x v="5"/>
    <n v="48"/>
    <s v="NRC"/>
    <d v="2017-05-31T00:00:00"/>
  </r>
  <r>
    <s v="Rakhine"/>
    <x v="1"/>
    <s v="Thet Kae Pyin "/>
    <s v="MMR012CMP048"/>
    <x v="6"/>
    <n v="161"/>
    <s v="NRC"/>
    <d v="2017-05-31T00:00:00"/>
  </r>
  <r>
    <s v="Rakhine"/>
    <x v="1"/>
    <s v="Thet Kae Pyin "/>
    <s v="MMR012CMP048"/>
    <x v="7"/>
    <n v="40"/>
    <s v="NRC"/>
    <d v="2017-05-31T00:00:00"/>
  </r>
  <r>
    <s v="Rakhine"/>
    <x v="1"/>
    <s v="Thet Kae Pyin "/>
    <s v="MMR012CMP048"/>
    <x v="8"/>
    <n v="230"/>
    <s v="NRC"/>
    <d v="2017-05-31T00:00:00"/>
  </r>
</pivotCacheRecords>
</file>

<file path=xl/pivotCache/pivotCacheRecords4.xml><?xml version="1.0" encoding="utf-8"?>
<pivotCacheRecords xmlns="http://schemas.openxmlformats.org/spreadsheetml/2006/main" xmlns:r="http://schemas.openxmlformats.org/officeDocument/2006/relationships" count="204">
  <r>
    <s v="Rakhine"/>
    <x v="0"/>
    <x v="0"/>
    <s v="MMR012CMP016"/>
    <x v="0"/>
    <x v="0"/>
    <n v="410"/>
    <n v="-410"/>
    <s v="LWF"/>
    <d v="2017-05-31T00:00:00"/>
  </r>
  <r>
    <s v="Rakhine"/>
    <x v="0"/>
    <x v="0"/>
    <s v="MMR012CMP016"/>
    <x v="0"/>
    <x v="1"/>
    <n v="473"/>
    <n v="473"/>
    <s v="LWF"/>
    <d v="2017-05-31T00:00:00"/>
  </r>
  <r>
    <s v="Rakhine"/>
    <x v="0"/>
    <x v="0"/>
    <s v="MMR012CMP016"/>
    <x v="1"/>
    <x v="0"/>
    <n v="474"/>
    <n v="-474"/>
    <s v="LWF"/>
    <d v="2017-05-31T00:00:00"/>
  </r>
  <r>
    <s v="Rakhine"/>
    <x v="0"/>
    <x v="0"/>
    <s v="MMR012CMP016"/>
    <x v="1"/>
    <x v="1"/>
    <n v="401"/>
    <n v="401"/>
    <s v="LWF"/>
    <d v="2017-05-31T00:00:00"/>
  </r>
  <r>
    <s v="Rakhine"/>
    <x v="0"/>
    <x v="0"/>
    <s v="MMR012CMP016"/>
    <x v="2"/>
    <x v="0"/>
    <n v="260"/>
    <n v="-260"/>
    <s v="LWF"/>
    <d v="2017-05-31T00:00:00"/>
  </r>
  <r>
    <s v="Rakhine"/>
    <x v="0"/>
    <x v="0"/>
    <s v="MMR012CMP016"/>
    <x v="2"/>
    <x v="1"/>
    <n v="212"/>
    <n v="212"/>
    <s v="LWF"/>
    <d v="2017-05-31T00:00:00"/>
  </r>
  <r>
    <s v="Rakhine"/>
    <x v="0"/>
    <x v="0"/>
    <s v="MMR012CMP016"/>
    <x v="3"/>
    <x v="0"/>
    <n v="338"/>
    <n v="-338"/>
    <s v="LWF"/>
    <d v="2017-05-31T00:00:00"/>
  </r>
  <r>
    <s v="Rakhine"/>
    <x v="0"/>
    <x v="0"/>
    <s v="MMR012CMP016"/>
    <x v="3"/>
    <x v="1"/>
    <n v="530"/>
    <n v="530"/>
    <s v="LWF"/>
    <d v="2017-05-31T00:00:00"/>
  </r>
  <r>
    <s v="Rakhine"/>
    <x v="0"/>
    <x v="0"/>
    <s v="MMR012CMP016"/>
    <x v="4"/>
    <x v="0"/>
    <n v="507"/>
    <n v="-507"/>
    <s v="LWF"/>
    <d v="2017-05-31T00:00:00"/>
  </r>
  <r>
    <s v="Rakhine"/>
    <x v="0"/>
    <x v="0"/>
    <s v="MMR012CMP016"/>
    <x v="4"/>
    <x v="1"/>
    <n v="546"/>
    <n v="546"/>
    <s v="LWF"/>
    <d v="2017-05-31T00:00:00"/>
  </r>
  <r>
    <s v="Rakhine"/>
    <x v="0"/>
    <x v="0"/>
    <s v="MMR012CMP016"/>
    <x v="5"/>
    <x v="0"/>
    <n v="72"/>
    <n v="-72"/>
    <s v="LWF"/>
    <d v="2017-05-31T00:00:00"/>
  </r>
  <r>
    <s v="Rakhine"/>
    <x v="0"/>
    <x v="0"/>
    <s v="MMR012CMP016"/>
    <x v="5"/>
    <x v="1"/>
    <n v="57"/>
    <n v="57"/>
    <s v="LWF"/>
    <d v="2017-05-31T00:00:00"/>
  </r>
  <r>
    <s v="Rakhine"/>
    <x v="1"/>
    <x v="1"/>
    <s v="MMR012CMP113"/>
    <x v="0"/>
    <x v="0"/>
    <n v="395"/>
    <n v="-395"/>
    <s v="DRC"/>
    <d v="2017-05-31T00:00:00"/>
  </r>
  <r>
    <s v="Rakhine"/>
    <x v="1"/>
    <x v="1"/>
    <s v="MMR012CMP113"/>
    <x v="0"/>
    <x v="1"/>
    <n v="419"/>
    <n v="419"/>
    <s v="DRC"/>
    <d v="2017-05-31T00:00:00"/>
  </r>
  <r>
    <s v="Rakhine"/>
    <x v="1"/>
    <x v="1"/>
    <s v="MMR012CMP113"/>
    <x v="1"/>
    <x v="0"/>
    <n v="457"/>
    <n v="-457"/>
    <s v="DRC"/>
    <d v="2017-05-31T00:00:00"/>
  </r>
  <r>
    <s v="Rakhine"/>
    <x v="1"/>
    <x v="1"/>
    <s v="MMR012CMP113"/>
    <x v="1"/>
    <x v="1"/>
    <n v="387"/>
    <n v="387"/>
    <s v="DRC"/>
    <d v="2017-05-31T00:00:00"/>
  </r>
  <r>
    <s v="Rakhine"/>
    <x v="1"/>
    <x v="1"/>
    <s v="MMR012CMP113"/>
    <x v="2"/>
    <x v="0"/>
    <n v="360"/>
    <n v="-360"/>
    <s v="DRC"/>
    <d v="2017-05-31T00:00:00"/>
  </r>
  <r>
    <s v="Rakhine"/>
    <x v="1"/>
    <x v="1"/>
    <s v="MMR012CMP113"/>
    <x v="2"/>
    <x v="1"/>
    <n v="359"/>
    <n v="359"/>
    <s v="DRC"/>
    <d v="2017-05-31T00:00:00"/>
  </r>
  <r>
    <s v="Rakhine"/>
    <x v="1"/>
    <x v="1"/>
    <s v="MMR012CMP113"/>
    <x v="3"/>
    <x v="0"/>
    <n v="418"/>
    <n v="-418"/>
    <s v="DRC"/>
    <d v="2017-05-31T00:00:00"/>
  </r>
  <r>
    <s v="Rakhine"/>
    <x v="1"/>
    <x v="1"/>
    <s v="MMR012CMP113"/>
    <x v="3"/>
    <x v="1"/>
    <n v="513"/>
    <n v="513"/>
    <s v="DRC"/>
    <d v="2017-05-31T00:00:00"/>
  </r>
  <r>
    <s v="Rakhine"/>
    <x v="1"/>
    <x v="1"/>
    <s v="MMR012CMP113"/>
    <x v="4"/>
    <x v="0"/>
    <n v="686"/>
    <n v="-686"/>
    <s v="DRC"/>
    <d v="2017-05-31T00:00:00"/>
  </r>
  <r>
    <s v="Rakhine"/>
    <x v="1"/>
    <x v="1"/>
    <s v="MMR012CMP113"/>
    <x v="4"/>
    <x v="1"/>
    <n v="704"/>
    <n v="704"/>
    <s v="DRC"/>
    <d v="2017-05-31T00:00:00"/>
  </r>
  <r>
    <s v="Rakhine"/>
    <x v="1"/>
    <x v="1"/>
    <s v="MMR012CMP113"/>
    <x v="5"/>
    <x v="0"/>
    <n v="75"/>
    <n v="-75"/>
    <s v="DRC"/>
    <d v="2017-05-31T00:00:00"/>
  </r>
  <r>
    <s v="Rakhine"/>
    <x v="1"/>
    <x v="1"/>
    <s v="MMR012CMP113"/>
    <x v="5"/>
    <x v="1"/>
    <n v="78"/>
    <n v="78"/>
    <s v="DRC"/>
    <d v="2017-05-31T00:00:00"/>
  </r>
  <r>
    <s v="Rakhine"/>
    <x v="1"/>
    <x v="2"/>
    <s v="MMR012CMP114"/>
    <x v="0"/>
    <x v="0"/>
    <n v="395"/>
    <n v="-395"/>
    <s v="DRC"/>
    <d v="2017-05-31T00:00:00"/>
  </r>
  <r>
    <s v="Rakhine"/>
    <x v="1"/>
    <x v="2"/>
    <s v="MMR012CMP114"/>
    <x v="0"/>
    <x v="1"/>
    <n v="419"/>
    <n v="419"/>
    <s v="DRC"/>
    <d v="2017-05-31T00:00:00"/>
  </r>
  <r>
    <s v="Rakhine"/>
    <x v="1"/>
    <x v="2"/>
    <s v="MMR012CMP114"/>
    <x v="1"/>
    <x v="0"/>
    <n v="475"/>
    <n v="-475"/>
    <s v="DRC"/>
    <d v="2017-05-31T00:00:00"/>
  </r>
  <r>
    <s v="Rakhine"/>
    <x v="1"/>
    <x v="2"/>
    <s v="MMR012CMP114"/>
    <x v="1"/>
    <x v="1"/>
    <n v="387"/>
    <n v="387"/>
    <s v="DRC"/>
    <d v="2017-05-31T00:00:00"/>
  </r>
  <r>
    <s v="Rakhine"/>
    <x v="1"/>
    <x v="2"/>
    <s v="MMR012CMP114"/>
    <x v="2"/>
    <x v="0"/>
    <n v="360"/>
    <n v="-360"/>
    <s v="DRC"/>
    <d v="2017-05-31T00:00:00"/>
  </r>
  <r>
    <s v="Rakhine"/>
    <x v="1"/>
    <x v="2"/>
    <s v="MMR012CMP114"/>
    <x v="2"/>
    <x v="1"/>
    <n v="359"/>
    <n v="359"/>
    <s v="DRC"/>
    <d v="2017-05-31T00:00:00"/>
  </r>
  <r>
    <s v="Rakhine"/>
    <x v="1"/>
    <x v="2"/>
    <s v="MMR012CMP114"/>
    <x v="3"/>
    <x v="0"/>
    <n v="418"/>
    <n v="-418"/>
    <s v="DRC"/>
    <d v="2017-05-31T00:00:00"/>
  </r>
  <r>
    <s v="Rakhine"/>
    <x v="1"/>
    <x v="2"/>
    <s v="MMR012CMP114"/>
    <x v="3"/>
    <x v="1"/>
    <n v="513"/>
    <n v="513"/>
    <s v="DRC"/>
    <d v="2017-05-31T00:00:00"/>
  </r>
  <r>
    <s v="Rakhine"/>
    <x v="1"/>
    <x v="2"/>
    <s v="MMR012CMP114"/>
    <x v="4"/>
    <x v="0"/>
    <n v="686"/>
    <n v="-686"/>
    <s v="DRC"/>
    <d v="2017-05-31T00:00:00"/>
  </r>
  <r>
    <s v="Rakhine"/>
    <x v="1"/>
    <x v="2"/>
    <s v="MMR012CMP114"/>
    <x v="4"/>
    <x v="1"/>
    <n v="704"/>
    <n v="704"/>
    <s v="DRC"/>
    <d v="2017-05-31T00:00:00"/>
  </r>
  <r>
    <s v="Rakhine"/>
    <x v="1"/>
    <x v="2"/>
    <s v="MMR012CMP114"/>
    <x v="5"/>
    <x v="0"/>
    <n v="75"/>
    <n v="-75"/>
    <s v="DRC"/>
    <d v="2017-05-31T00:00:00"/>
  </r>
  <r>
    <s v="Rakhine"/>
    <x v="1"/>
    <x v="2"/>
    <s v="MMR012CMP114"/>
    <x v="5"/>
    <x v="1"/>
    <n v="78"/>
    <n v="78"/>
    <s v="DRC"/>
    <d v="2017-05-31T00:00:00"/>
  </r>
  <r>
    <s v="Rakhine"/>
    <x v="1"/>
    <x v="3"/>
    <s v="MMR012CMP041"/>
    <x v="0"/>
    <x v="0"/>
    <n v="652"/>
    <n v="-652"/>
    <s v="DRC"/>
    <d v="2017-05-31T00:00:00"/>
  </r>
  <r>
    <s v="Rakhine"/>
    <x v="1"/>
    <x v="3"/>
    <s v="MMR012CMP041"/>
    <x v="0"/>
    <x v="1"/>
    <n v="708"/>
    <n v="708"/>
    <s v="DRC"/>
    <d v="2017-05-31T00:00:00"/>
  </r>
  <r>
    <s v="Rakhine"/>
    <x v="1"/>
    <x v="3"/>
    <s v="MMR012CMP041"/>
    <x v="1"/>
    <x v="0"/>
    <n v="809"/>
    <n v="-809"/>
    <s v="DRC"/>
    <d v="2017-05-31T00:00:00"/>
  </r>
  <r>
    <s v="Rakhine"/>
    <x v="1"/>
    <x v="3"/>
    <s v="MMR012CMP041"/>
    <x v="1"/>
    <x v="1"/>
    <n v="802"/>
    <n v="802"/>
    <s v="DRC"/>
    <d v="2017-05-31T00:00:00"/>
  </r>
  <r>
    <s v="Rakhine"/>
    <x v="1"/>
    <x v="3"/>
    <s v="MMR012CMP041"/>
    <x v="2"/>
    <x v="0"/>
    <n v="648"/>
    <n v="-648"/>
    <s v="DRC"/>
    <d v="2017-05-31T00:00:00"/>
  </r>
  <r>
    <s v="Rakhine"/>
    <x v="1"/>
    <x v="3"/>
    <s v="MMR012CMP041"/>
    <x v="2"/>
    <x v="1"/>
    <n v="629"/>
    <n v="629"/>
    <s v="DRC"/>
    <d v="2017-05-31T00:00:00"/>
  </r>
  <r>
    <s v="Rakhine"/>
    <x v="1"/>
    <x v="3"/>
    <s v="MMR012CMP041"/>
    <x v="3"/>
    <x v="0"/>
    <n v="727"/>
    <n v="-727"/>
    <s v="DRC"/>
    <d v="2017-05-31T00:00:00"/>
  </r>
  <r>
    <s v="Rakhine"/>
    <x v="1"/>
    <x v="3"/>
    <s v="MMR012CMP041"/>
    <x v="3"/>
    <x v="1"/>
    <n v="876"/>
    <n v="876"/>
    <s v="DRC"/>
    <d v="2017-05-31T00:00:00"/>
  </r>
  <r>
    <s v="Rakhine"/>
    <x v="1"/>
    <x v="3"/>
    <s v="MMR012CMP041"/>
    <x v="4"/>
    <x v="0"/>
    <n v="971"/>
    <n v="-971"/>
    <s v="DRC"/>
    <d v="2017-05-31T00:00:00"/>
  </r>
  <r>
    <s v="Rakhine"/>
    <x v="1"/>
    <x v="3"/>
    <s v="MMR012CMP041"/>
    <x v="4"/>
    <x v="1"/>
    <n v="1050"/>
    <n v="1050"/>
    <s v="DRC"/>
    <d v="2017-05-31T00:00:00"/>
  </r>
  <r>
    <s v="Rakhine"/>
    <x v="1"/>
    <x v="3"/>
    <s v="MMR012CMP041"/>
    <x v="5"/>
    <x v="0"/>
    <n v="151"/>
    <n v="-151"/>
    <s v="DRC"/>
    <d v="2017-05-31T00:00:00"/>
  </r>
  <r>
    <s v="Rakhine"/>
    <x v="1"/>
    <x v="3"/>
    <s v="MMR012CMP041"/>
    <x v="5"/>
    <x v="1"/>
    <n v="159"/>
    <n v="159"/>
    <s v="DRC"/>
    <d v="2017-05-31T00:00:00"/>
  </r>
  <r>
    <s v="Rakhine"/>
    <x v="1"/>
    <x v="4"/>
    <s v="MMR012CMP042"/>
    <x v="0"/>
    <x v="0"/>
    <n v="428"/>
    <n v="-428"/>
    <s v="LWF"/>
    <d v="2017-05-31T00:00:00"/>
  </r>
  <r>
    <s v="Rakhine"/>
    <x v="1"/>
    <x v="4"/>
    <s v="MMR012CMP042"/>
    <x v="0"/>
    <x v="1"/>
    <n v="473"/>
    <n v="473"/>
    <s v="LWF"/>
    <d v="2017-05-31T00:00:00"/>
  </r>
  <r>
    <s v="Rakhine"/>
    <x v="1"/>
    <x v="4"/>
    <s v="MMR012CMP042"/>
    <x v="1"/>
    <x v="0"/>
    <n v="396"/>
    <n v="-396"/>
    <s v="LWF"/>
    <d v="2017-05-31T00:00:00"/>
  </r>
  <r>
    <s v="Rakhine"/>
    <x v="1"/>
    <x v="4"/>
    <s v="MMR012CMP042"/>
    <x v="1"/>
    <x v="1"/>
    <n v="356"/>
    <n v="356"/>
    <s v="LWF"/>
    <d v="2017-05-31T00:00:00"/>
  </r>
  <r>
    <s v="Rakhine"/>
    <x v="1"/>
    <x v="4"/>
    <s v="MMR012CMP042"/>
    <x v="2"/>
    <x v="0"/>
    <n v="345"/>
    <n v="-345"/>
    <s v="LWF"/>
    <d v="2017-05-31T00:00:00"/>
  </r>
  <r>
    <s v="Rakhine"/>
    <x v="1"/>
    <x v="4"/>
    <s v="MMR012CMP042"/>
    <x v="2"/>
    <x v="1"/>
    <n v="297"/>
    <n v="297"/>
    <s v="LWF"/>
    <d v="2017-05-31T00:00:00"/>
  </r>
  <r>
    <s v="Rakhine"/>
    <x v="1"/>
    <x v="4"/>
    <s v="MMR012CMP042"/>
    <x v="3"/>
    <x v="0"/>
    <n v="301"/>
    <n v="-301"/>
    <s v="LWF"/>
    <d v="2017-05-31T00:00:00"/>
  </r>
  <r>
    <s v="Rakhine"/>
    <x v="1"/>
    <x v="4"/>
    <s v="MMR012CMP042"/>
    <x v="3"/>
    <x v="1"/>
    <n v="473"/>
    <n v="473"/>
    <s v="LWF"/>
    <d v="2017-05-31T00:00:00"/>
  </r>
  <r>
    <s v="Rakhine"/>
    <x v="1"/>
    <x v="4"/>
    <s v="MMR012CMP042"/>
    <x v="4"/>
    <x v="0"/>
    <n v="609"/>
    <n v="-609"/>
    <s v="LWF"/>
    <d v="2017-05-31T00:00:00"/>
  </r>
  <r>
    <s v="Rakhine"/>
    <x v="1"/>
    <x v="4"/>
    <s v="MMR012CMP042"/>
    <x v="4"/>
    <x v="1"/>
    <n v="607"/>
    <n v="607"/>
    <s v="LWF"/>
    <d v="2017-05-31T00:00:00"/>
  </r>
  <r>
    <s v="Rakhine"/>
    <x v="1"/>
    <x v="4"/>
    <s v="MMR012CMP042"/>
    <x v="5"/>
    <x v="0"/>
    <n v="62"/>
    <n v="-62"/>
    <s v="LWF"/>
    <d v="2017-05-31T00:00:00"/>
  </r>
  <r>
    <s v="Rakhine"/>
    <x v="1"/>
    <x v="4"/>
    <s v="MMR012CMP042"/>
    <x v="5"/>
    <x v="1"/>
    <n v="81"/>
    <n v="81"/>
    <s v="LWF"/>
    <d v="2017-05-31T00:00:00"/>
  </r>
  <r>
    <s v="Rakhine"/>
    <x v="0"/>
    <x v="5"/>
    <s v="MMR012CMP018"/>
    <x v="0"/>
    <x v="0"/>
    <n v="612"/>
    <n v="-612"/>
    <s v="DRC"/>
    <d v="2017-05-31T00:00:00"/>
  </r>
  <r>
    <s v="Rakhine"/>
    <x v="0"/>
    <x v="5"/>
    <s v="MMR012CMP018"/>
    <x v="0"/>
    <x v="1"/>
    <n v="589"/>
    <n v="589"/>
    <s v="DRC"/>
    <d v="2017-05-31T00:00:00"/>
  </r>
  <r>
    <s v="Rakhine"/>
    <x v="0"/>
    <x v="5"/>
    <s v="MMR012CMP018"/>
    <x v="1"/>
    <x v="0"/>
    <n v="355"/>
    <n v="-355"/>
    <s v="DRC"/>
    <d v="2017-05-31T00:00:00"/>
  </r>
  <r>
    <s v="Rakhine"/>
    <x v="0"/>
    <x v="5"/>
    <s v="MMR012CMP018"/>
    <x v="1"/>
    <x v="1"/>
    <n v="297"/>
    <n v="297"/>
    <s v="DRC"/>
    <d v="2017-05-31T00:00:00"/>
  </r>
  <r>
    <s v="Rakhine"/>
    <x v="0"/>
    <x v="5"/>
    <s v="MMR012CMP018"/>
    <x v="2"/>
    <x v="0"/>
    <n v="355"/>
    <n v="-355"/>
    <s v="DRC"/>
    <d v="2017-05-31T00:00:00"/>
  </r>
  <r>
    <s v="Rakhine"/>
    <x v="0"/>
    <x v="5"/>
    <s v="MMR012CMP018"/>
    <x v="2"/>
    <x v="1"/>
    <n v="382"/>
    <n v="382"/>
    <s v="DRC"/>
    <d v="2017-05-31T00:00:00"/>
  </r>
  <r>
    <s v="Rakhine"/>
    <x v="0"/>
    <x v="5"/>
    <s v="MMR012CMP018"/>
    <x v="3"/>
    <x v="0"/>
    <n v="345"/>
    <n v="-345"/>
    <s v="DRC"/>
    <d v="2017-05-31T00:00:00"/>
  </r>
  <r>
    <s v="Rakhine"/>
    <x v="0"/>
    <x v="5"/>
    <s v="MMR012CMP018"/>
    <x v="3"/>
    <x v="1"/>
    <n v="482"/>
    <n v="482"/>
    <s v="DRC"/>
    <d v="2017-05-31T00:00:00"/>
  </r>
  <r>
    <s v="Rakhine"/>
    <x v="0"/>
    <x v="5"/>
    <s v="MMR012CMP018"/>
    <x v="4"/>
    <x v="0"/>
    <n v="599"/>
    <n v="-599"/>
    <s v="DRC"/>
    <d v="2017-05-31T00:00:00"/>
  </r>
  <r>
    <s v="Rakhine"/>
    <x v="0"/>
    <x v="5"/>
    <s v="MMR012CMP018"/>
    <x v="4"/>
    <x v="1"/>
    <n v="602"/>
    <n v="602"/>
    <s v="DRC"/>
    <d v="2017-05-31T00:00:00"/>
  </r>
  <r>
    <s v="Rakhine"/>
    <x v="0"/>
    <x v="5"/>
    <s v="MMR012CMP018"/>
    <x v="5"/>
    <x v="0"/>
    <n v="104"/>
    <n v="-104"/>
    <s v="DRC"/>
    <d v="2017-05-31T00:00:00"/>
  </r>
  <r>
    <s v="Rakhine"/>
    <x v="0"/>
    <x v="5"/>
    <s v="MMR012CMP018"/>
    <x v="5"/>
    <x v="1"/>
    <n v="96"/>
    <n v="96"/>
    <s v="DRC"/>
    <d v="2017-05-31T00:00:00"/>
  </r>
  <r>
    <s v="Rakhine"/>
    <x v="1"/>
    <x v="6"/>
    <s v="MMR012CMP092"/>
    <x v="0"/>
    <x v="0"/>
    <n v="333"/>
    <n v="-333"/>
    <s v="NRC"/>
    <d v="2017-05-31T00:00:00"/>
  </r>
  <r>
    <s v="Rakhine"/>
    <x v="1"/>
    <x v="6"/>
    <s v="MMR012CMP092"/>
    <x v="0"/>
    <x v="1"/>
    <n v="314"/>
    <n v="314"/>
    <s v="NRC"/>
    <d v="2017-05-31T00:00:00"/>
  </r>
  <r>
    <s v="Rakhine"/>
    <x v="1"/>
    <x v="6"/>
    <s v="MMR012CMP092"/>
    <x v="1"/>
    <x v="0"/>
    <n v="295"/>
    <n v="-295"/>
    <s v="NRC"/>
    <d v="2017-05-31T00:00:00"/>
  </r>
  <r>
    <s v="Rakhine"/>
    <x v="1"/>
    <x v="6"/>
    <s v="MMR012CMP092"/>
    <x v="1"/>
    <x v="1"/>
    <n v="285"/>
    <n v="285"/>
    <s v="NRC"/>
    <d v="2017-05-31T00:00:00"/>
  </r>
  <r>
    <s v="Rakhine"/>
    <x v="1"/>
    <x v="6"/>
    <s v="MMR012CMP092"/>
    <x v="2"/>
    <x v="0"/>
    <n v="236"/>
    <n v="-236"/>
    <s v="NRC"/>
    <d v="2017-05-31T00:00:00"/>
  </r>
  <r>
    <s v="Rakhine"/>
    <x v="1"/>
    <x v="6"/>
    <s v="MMR012CMP092"/>
    <x v="2"/>
    <x v="1"/>
    <n v="271"/>
    <n v="271"/>
    <s v="NRC"/>
    <d v="2017-05-31T00:00:00"/>
  </r>
  <r>
    <s v="Rakhine"/>
    <x v="1"/>
    <x v="6"/>
    <s v="MMR012CMP092"/>
    <x v="3"/>
    <x v="0"/>
    <n v="382"/>
    <n v="-382"/>
    <s v="NRC"/>
    <d v="2017-05-31T00:00:00"/>
  </r>
  <r>
    <s v="Rakhine"/>
    <x v="1"/>
    <x v="6"/>
    <s v="MMR012CMP092"/>
    <x v="3"/>
    <x v="1"/>
    <n v="285"/>
    <n v="285"/>
    <s v="NRC"/>
    <d v="2017-05-31T00:00:00"/>
  </r>
  <r>
    <s v="Rakhine"/>
    <x v="1"/>
    <x v="6"/>
    <s v="MMR012CMP092"/>
    <x v="4"/>
    <x v="0"/>
    <n v="446"/>
    <n v="-446"/>
    <s v="NRC"/>
    <d v="2017-05-31T00:00:00"/>
  </r>
  <r>
    <s v="Rakhine"/>
    <x v="1"/>
    <x v="6"/>
    <s v="MMR012CMP092"/>
    <x v="4"/>
    <x v="1"/>
    <n v="436"/>
    <n v="436"/>
    <s v="NRC"/>
    <d v="2017-05-31T00:00:00"/>
  </r>
  <r>
    <s v="Rakhine"/>
    <x v="1"/>
    <x v="6"/>
    <s v="MMR012CMP092"/>
    <x v="5"/>
    <x v="0"/>
    <n v="80"/>
    <n v="-80"/>
    <s v="NRC"/>
    <d v="2017-05-31T00:00:00"/>
  </r>
  <r>
    <s v="Rakhine"/>
    <x v="1"/>
    <x v="6"/>
    <s v="MMR012CMP092"/>
    <x v="5"/>
    <x v="1"/>
    <n v="72"/>
    <n v="72"/>
    <s v="NRC"/>
    <d v="2017-05-31T00:00:00"/>
  </r>
  <r>
    <s v="Rakhine"/>
    <x v="0"/>
    <x v="7"/>
    <s v="MMR012CMP017"/>
    <x v="0"/>
    <x v="0"/>
    <n v="552"/>
    <n v="-552"/>
    <s v="LWF"/>
    <d v="2017-05-31T00:00:00"/>
  </r>
  <r>
    <s v="Rakhine"/>
    <x v="0"/>
    <x v="7"/>
    <s v="MMR012CMP017"/>
    <x v="0"/>
    <x v="1"/>
    <n v="557"/>
    <n v="557"/>
    <s v="LWF"/>
    <d v="2017-05-31T00:00:00"/>
  </r>
  <r>
    <s v="Rakhine"/>
    <x v="0"/>
    <x v="7"/>
    <s v="MMR012CMP017"/>
    <x v="1"/>
    <x v="0"/>
    <n v="373"/>
    <n v="-373"/>
    <s v="LWF"/>
    <d v="2017-05-31T00:00:00"/>
  </r>
  <r>
    <s v="Rakhine"/>
    <x v="0"/>
    <x v="7"/>
    <s v="MMR012CMP017"/>
    <x v="1"/>
    <x v="1"/>
    <n v="329"/>
    <n v="329"/>
    <s v="LWF"/>
    <d v="2017-05-31T00:00:00"/>
  </r>
  <r>
    <s v="Rakhine"/>
    <x v="0"/>
    <x v="7"/>
    <s v="MMR012CMP017"/>
    <x v="2"/>
    <x v="0"/>
    <n v="222"/>
    <n v="-222"/>
    <s v="LWF"/>
    <d v="2017-05-31T00:00:00"/>
  </r>
  <r>
    <s v="Rakhine"/>
    <x v="0"/>
    <x v="7"/>
    <s v="MMR012CMP017"/>
    <x v="2"/>
    <x v="1"/>
    <n v="207"/>
    <n v="207"/>
    <s v="LWF"/>
    <d v="2017-05-31T00:00:00"/>
  </r>
  <r>
    <s v="Rakhine"/>
    <x v="0"/>
    <x v="7"/>
    <s v="MMR012CMP017"/>
    <x v="3"/>
    <x v="0"/>
    <n v="323"/>
    <n v="-323"/>
    <s v="LWF"/>
    <d v="2017-05-31T00:00:00"/>
  </r>
  <r>
    <s v="Rakhine"/>
    <x v="0"/>
    <x v="7"/>
    <s v="MMR012CMP017"/>
    <x v="3"/>
    <x v="1"/>
    <n v="449"/>
    <n v="449"/>
    <s v="LWF"/>
    <d v="2017-05-31T00:00:00"/>
  </r>
  <r>
    <s v="Rakhine"/>
    <x v="0"/>
    <x v="7"/>
    <s v="MMR012CMP017"/>
    <x v="4"/>
    <x v="0"/>
    <n v="433"/>
    <n v="-433"/>
    <s v="LWF"/>
    <d v="2017-05-31T00:00:00"/>
  </r>
  <r>
    <s v="Rakhine"/>
    <x v="0"/>
    <x v="7"/>
    <s v="MMR012CMP017"/>
    <x v="4"/>
    <x v="1"/>
    <n v="346"/>
    <n v="346"/>
    <s v="LWF"/>
    <d v="2017-05-31T00:00:00"/>
  </r>
  <r>
    <s v="Rakhine"/>
    <x v="0"/>
    <x v="7"/>
    <s v="MMR012CMP017"/>
    <x v="5"/>
    <x v="0"/>
    <n v="89"/>
    <n v="-89"/>
    <s v="LWF"/>
    <d v="2017-05-31T00:00:00"/>
  </r>
  <r>
    <s v="Rakhine"/>
    <x v="0"/>
    <x v="7"/>
    <s v="MMR012CMP017"/>
    <x v="5"/>
    <x v="1"/>
    <n v="66"/>
    <n v="66"/>
    <s v="LWF"/>
    <d v="2017-05-31T00:00:00"/>
  </r>
  <r>
    <s v="Rakhine"/>
    <x v="1"/>
    <x v="8"/>
    <s v="MMR012CMP098"/>
    <x v="0"/>
    <x v="0"/>
    <n v="352"/>
    <n v="-352"/>
    <s v="DRC"/>
    <d v="2017-05-31T00:00:00"/>
  </r>
  <r>
    <s v="Rakhine"/>
    <x v="1"/>
    <x v="8"/>
    <s v="MMR012CMP098"/>
    <x v="0"/>
    <x v="1"/>
    <n v="415"/>
    <n v="415"/>
    <s v="DRC"/>
    <d v="2017-05-31T00:00:00"/>
  </r>
  <r>
    <s v="Rakhine"/>
    <x v="1"/>
    <x v="8"/>
    <s v="MMR012CMP098"/>
    <x v="1"/>
    <x v="0"/>
    <n v="429"/>
    <n v="-429"/>
    <s v="DRC"/>
    <d v="2017-05-31T00:00:00"/>
  </r>
  <r>
    <s v="Rakhine"/>
    <x v="1"/>
    <x v="8"/>
    <s v="MMR012CMP098"/>
    <x v="1"/>
    <x v="1"/>
    <n v="365"/>
    <n v="365"/>
    <s v="DRC"/>
    <d v="2017-05-31T00:00:00"/>
  </r>
  <r>
    <s v="Rakhine"/>
    <x v="1"/>
    <x v="8"/>
    <s v="MMR012CMP098"/>
    <x v="2"/>
    <x v="0"/>
    <n v="259"/>
    <n v="-259"/>
    <s v="DRC"/>
    <d v="2017-05-31T00:00:00"/>
  </r>
  <r>
    <s v="Rakhine"/>
    <x v="1"/>
    <x v="8"/>
    <s v="MMR012CMP098"/>
    <x v="2"/>
    <x v="1"/>
    <n v="224"/>
    <n v="224"/>
    <s v="DRC"/>
    <d v="2017-05-31T00:00:00"/>
  </r>
  <r>
    <s v="Rakhine"/>
    <x v="1"/>
    <x v="8"/>
    <s v="MMR012CMP098"/>
    <x v="3"/>
    <x v="0"/>
    <n v="243"/>
    <n v="-243"/>
    <s v="DRC"/>
    <d v="2017-05-31T00:00:00"/>
  </r>
  <r>
    <s v="Rakhine"/>
    <x v="1"/>
    <x v="8"/>
    <s v="MMR012CMP098"/>
    <x v="3"/>
    <x v="1"/>
    <n v="291"/>
    <n v="291"/>
    <s v="DRC"/>
    <d v="2017-05-31T00:00:00"/>
  </r>
  <r>
    <s v="Rakhine"/>
    <x v="1"/>
    <x v="8"/>
    <s v="MMR012CMP098"/>
    <x v="4"/>
    <x v="0"/>
    <n v="364"/>
    <n v="-364"/>
    <s v="DRC"/>
    <d v="2017-05-31T00:00:00"/>
  </r>
  <r>
    <s v="Rakhine"/>
    <x v="1"/>
    <x v="8"/>
    <s v="MMR012CMP098"/>
    <x v="4"/>
    <x v="1"/>
    <n v="375"/>
    <n v="375"/>
    <s v="DRC"/>
    <d v="2017-05-31T00:00:00"/>
  </r>
  <r>
    <s v="Rakhine"/>
    <x v="1"/>
    <x v="8"/>
    <s v="MMR012CMP098"/>
    <x v="5"/>
    <x v="0"/>
    <n v="45"/>
    <n v="-45"/>
    <s v="DRC"/>
    <d v="2017-05-31T00:00:00"/>
  </r>
  <r>
    <s v="Rakhine"/>
    <x v="1"/>
    <x v="8"/>
    <s v="MMR012CMP098"/>
    <x v="5"/>
    <x v="1"/>
    <n v="27"/>
    <n v="27"/>
    <s v="DRC"/>
    <d v="2017-05-31T00:00:00"/>
  </r>
  <r>
    <s v="Rakhine"/>
    <x v="1"/>
    <x v="9"/>
    <s v="MMR012CMP115"/>
    <x v="0"/>
    <x v="0"/>
    <n v="1479"/>
    <n v="-1479"/>
    <s v="DRC"/>
    <d v="2017-05-31T00:00:00"/>
  </r>
  <r>
    <s v="Rakhine"/>
    <x v="1"/>
    <x v="9"/>
    <s v="MMR012CMP115"/>
    <x v="0"/>
    <x v="1"/>
    <n v="1429"/>
    <n v="1429"/>
    <s v="DRC"/>
    <d v="2017-05-31T00:00:00"/>
  </r>
  <r>
    <s v="Rakhine"/>
    <x v="1"/>
    <x v="9"/>
    <s v="MMR012CMP115"/>
    <x v="1"/>
    <x v="0"/>
    <n v="1461"/>
    <n v="-1461"/>
    <s v="DRC"/>
    <d v="2017-05-31T00:00:00"/>
  </r>
  <r>
    <s v="Rakhine"/>
    <x v="1"/>
    <x v="9"/>
    <s v="MMR012CMP115"/>
    <x v="1"/>
    <x v="1"/>
    <n v="1300"/>
    <n v="1300"/>
    <s v="DRC"/>
    <d v="2017-05-31T00:00:00"/>
  </r>
  <r>
    <s v="Rakhine"/>
    <x v="1"/>
    <x v="9"/>
    <s v="MMR012CMP115"/>
    <x v="2"/>
    <x v="0"/>
    <n v="1004"/>
    <n v="-1004"/>
    <s v="DRC"/>
    <d v="2017-05-31T00:00:00"/>
  </r>
  <r>
    <s v="Rakhine"/>
    <x v="1"/>
    <x v="9"/>
    <s v="MMR012CMP115"/>
    <x v="2"/>
    <x v="1"/>
    <n v="907"/>
    <n v="907"/>
    <s v="DRC"/>
    <d v="2017-05-31T00:00:00"/>
  </r>
  <r>
    <s v="Rakhine"/>
    <x v="1"/>
    <x v="9"/>
    <s v="MMR012CMP115"/>
    <x v="3"/>
    <x v="0"/>
    <n v="1034"/>
    <n v="-1034"/>
    <s v="DRC"/>
    <d v="2017-05-31T00:00:00"/>
  </r>
  <r>
    <s v="Rakhine"/>
    <x v="1"/>
    <x v="9"/>
    <s v="MMR012CMP115"/>
    <x v="3"/>
    <x v="1"/>
    <n v="1300"/>
    <n v="1300"/>
    <s v="DRC"/>
    <d v="2017-05-31T00:00:00"/>
  </r>
  <r>
    <s v="Rakhine"/>
    <x v="1"/>
    <x v="9"/>
    <s v="MMR012CMP115"/>
    <x v="4"/>
    <x v="0"/>
    <n v="1406"/>
    <n v="-1406"/>
    <s v="DRC"/>
    <d v="2017-05-31T00:00:00"/>
  </r>
  <r>
    <s v="Rakhine"/>
    <x v="1"/>
    <x v="9"/>
    <s v="MMR012CMP115"/>
    <x v="4"/>
    <x v="1"/>
    <n v="1562"/>
    <n v="1562"/>
    <s v="DRC"/>
    <d v="2017-05-31T00:00:00"/>
  </r>
  <r>
    <s v="Rakhine"/>
    <x v="1"/>
    <x v="9"/>
    <s v="MMR012CMP115"/>
    <x v="5"/>
    <x v="0"/>
    <n v="259"/>
    <n v="-259"/>
    <s v="DRC"/>
    <d v="2017-05-31T00:00:00"/>
  </r>
  <r>
    <s v="Rakhine"/>
    <x v="1"/>
    <x v="9"/>
    <s v="MMR012CMP115"/>
    <x v="5"/>
    <x v="1"/>
    <n v="319"/>
    <n v="319"/>
    <s v="DRC"/>
    <d v="2017-05-31T00:00:00"/>
  </r>
  <r>
    <s v="Rakhine"/>
    <x v="1"/>
    <x v="10"/>
    <s v="MMR012CMP116"/>
    <x v="0"/>
    <x v="0"/>
    <n v="1326"/>
    <n v="-1326"/>
    <s v="LWF"/>
    <d v="2017-05-31T00:00:00"/>
  </r>
  <r>
    <s v="Rakhine"/>
    <x v="1"/>
    <x v="10"/>
    <s v="MMR012CMP116"/>
    <x v="0"/>
    <x v="1"/>
    <n v="1278"/>
    <n v="1278"/>
    <s v="LWF"/>
    <d v="2017-05-31T00:00:00"/>
  </r>
  <r>
    <s v="Rakhine"/>
    <x v="1"/>
    <x v="10"/>
    <s v="MMR012CMP116"/>
    <x v="1"/>
    <x v="0"/>
    <n v="1239"/>
    <n v="-1239"/>
    <s v="LWF"/>
    <d v="2017-05-31T00:00:00"/>
  </r>
  <r>
    <s v="Rakhine"/>
    <x v="1"/>
    <x v="10"/>
    <s v="MMR012CMP116"/>
    <x v="1"/>
    <x v="1"/>
    <n v="1111"/>
    <n v="1111"/>
    <s v="LWF"/>
    <d v="2017-05-31T00:00:00"/>
  </r>
  <r>
    <s v="Rakhine"/>
    <x v="1"/>
    <x v="10"/>
    <s v="MMR012CMP116"/>
    <x v="2"/>
    <x v="0"/>
    <n v="853"/>
    <n v="-853"/>
    <s v="LWF"/>
    <d v="2017-05-31T00:00:00"/>
  </r>
  <r>
    <s v="Rakhine"/>
    <x v="1"/>
    <x v="10"/>
    <s v="MMR012CMP116"/>
    <x v="2"/>
    <x v="1"/>
    <n v="815"/>
    <n v="815"/>
    <s v="LWF"/>
    <d v="2017-05-31T00:00:00"/>
  </r>
  <r>
    <s v="Rakhine"/>
    <x v="1"/>
    <x v="10"/>
    <s v="MMR012CMP116"/>
    <x v="3"/>
    <x v="0"/>
    <n v="738"/>
    <n v="-738"/>
    <s v="LWF"/>
    <d v="2017-05-31T00:00:00"/>
  </r>
  <r>
    <s v="Rakhine"/>
    <x v="1"/>
    <x v="10"/>
    <s v="MMR012CMP116"/>
    <x v="3"/>
    <x v="1"/>
    <n v="1093"/>
    <n v="1093"/>
    <s v="LWF"/>
    <d v="2017-05-31T00:00:00"/>
  </r>
  <r>
    <s v="Rakhine"/>
    <x v="1"/>
    <x v="10"/>
    <s v="MMR012CMP116"/>
    <x v="4"/>
    <x v="0"/>
    <n v="1334"/>
    <n v="-1334"/>
    <s v="LWF"/>
    <d v="2017-05-31T00:00:00"/>
  </r>
  <r>
    <s v="Rakhine"/>
    <x v="1"/>
    <x v="10"/>
    <s v="MMR012CMP116"/>
    <x v="4"/>
    <x v="1"/>
    <n v="1519"/>
    <n v="1519"/>
    <s v="LWF"/>
    <d v="2017-05-31T00:00:00"/>
  </r>
  <r>
    <s v="Rakhine"/>
    <x v="1"/>
    <x v="10"/>
    <s v="MMR012CMP116"/>
    <x v="5"/>
    <x v="0"/>
    <n v="175"/>
    <n v="-175"/>
    <s v="LWF"/>
    <d v="2017-05-31T00:00:00"/>
  </r>
  <r>
    <s v="Rakhine"/>
    <x v="1"/>
    <x v="10"/>
    <s v="MMR012CMP116"/>
    <x v="5"/>
    <x v="1"/>
    <n v="178"/>
    <n v="178"/>
    <s v="LWF"/>
    <d v="2017-05-31T00:00:00"/>
  </r>
  <r>
    <s v="Rakhine"/>
    <x v="1"/>
    <x v="11"/>
    <s v="MMR012CMP045"/>
    <x v="0"/>
    <x v="0"/>
    <n v="1277"/>
    <n v="-1277"/>
    <s v="DRC"/>
    <d v="2017-05-31T00:00:00"/>
  </r>
  <r>
    <s v="Rakhine"/>
    <x v="1"/>
    <x v="11"/>
    <s v="MMR012CMP045"/>
    <x v="0"/>
    <x v="1"/>
    <n v="1293"/>
    <n v="1293"/>
    <s v="DRC"/>
    <d v="2017-05-31T00:00:00"/>
  </r>
  <r>
    <s v="Rakhine"/>
    <x v="1"/>
    <x v="11"/>
    <s v="MMR012CMP045"/>
    <x v="1"/>
    <x v="0"/>
    <n v="1337"/>
    <n v="-1337"/>
    <s v="DRC"/>
    <d v="2017-05-31T00:00:00"/>
  </r>
  <r>
    <s v="Rakhine"/>
    <x v="1"/>
    <x v="11"/>
    <s v="MMR012CMP045"/>
    <x v="1"/>
    <x v="1"/>
    <n v="1219"/>
    <n v="1219"/>
    <s v="DRC"/>
    <d v="2017-05-31T00:00:00"/>
  </r>
  <r>
    <s v="Rakhine"/>
    <x v="1"/>
    <x v="11"/>
    <s v="MMR012CMP045"/>
    <x v="2"/>
    <x v="0"/>
    <n v="852"/>
    <n v="-852"/>
    <s v="DRC"/>
    <d v="2017-05-31T00:00:00"/>
  </r>
  <r>
    <s v="Rakhine"/>
    <x v="1"/>
    <x v="11"/>
    <s v="MMR012CMP045"/>
    <x v="2"/>
    <x v="1"/>
    <n v="844"/>
    <n v="844"/>
    <s v="DRC"/>
    <d v="2017-05-31T00:00:00"/>
  </r>
  <r>
    <s v="Rakhine"/>
    <x v="1"/>
    <x v="11"/>
    <s v="MMR012CMP045"/>
    <x v="3"/>
    <x v="0"/>
    <n v="901"/>
    <n v="-901"/>
    <s v="DRC"/>
    <d v="2017-05-31T00:00:00"/>
  </r>
  <r>
    <s v="Rakhine"/>
    <x v="1"/>
    <x v="11"/>
    <s v="MMR012CMP045"/>
    <x v="3"/>
    <x v="1"/>
    <n v="1275"/>
    <n v="1275"/>
    <s v="DRC"/>
    <d v="2017-05-31T00:00:00"/>
  </r>
  <r>
    <s v="Rakhine"/>
    <x v="1"/>
    <x v="11"/>
    <s v="MMR012CMP045"/>
    <x v="4"/>
    <x v="0"/>
    <n v="1335"/>
    <n v="-1335"/>
    <s v="DRC"/>
    <d v="2017-05-31T00:00:00"/>
  </r>
  <r>
    <s v="Rakhine"/>
    <x v="1"/>
    <x v="11"/>
    <s v="MMR012CMP045"/>
    <x v="4"/>
    <x v="1"/>
    <n v="1475"/>
    <n v="1475"/>
    <s v="DRC"/>
    <d v="2017-05-31T00:00:00"/>
  </r>
  <r>
    <s v="Rakhine"/>
    <x v="1"/>
    <x v="11"/>
    <s v="MMR012CMP045"/>
    <x v="5"/>
    <x v="0"/>
    <n v="190"/>
    <n v="-190"/>
    <s v="DRC"/>
    <d v="2017-05-31T00:00:00"/>
  </r>
  <r>
    <s v="Rakhine"/>
    <x v="1"/>
    <x v="11"/>
    <s v="MMR012CMP045"/>
    <x v="5"/>
    <x v="1"/>
    <n v="180"/>
    <n v="180"/>
    <s v="DRC"/>
    <d v="2017-05-31T00:00:00"/>
  </r>
  <r>
    <s v="Rakhine"/>
    <x v="0"/>
    <x v="12"/>
    <s v="MMR012CMP019"/>
    <x v="0"/>
    <x v="0"/>
    <n v="206"/>
    <n v="-206"/>
    <s v="DRC"/>
    <d v="2017-05-31T00:00:00"/>
  </r>
  <r>
    <s v="Rakhine"/>
    <x v="0"/>
    <x v="12"/>
    <s v="MMR012CMP019"/>
    <x v="0"/>
    <x v="1"/>
    <n v="211"/>
    <n v="211"/>
    <s v="DRC"/>
    <d v="2017-05-31T00:00:00"/>
  </r>
  <r>
    <s v="Rakhine"/>
    <x v="0"/>
    <x v="12"/>
    <s v="MMR012CMP019"/>
    <x v="1"/>
    <x v="0"/>
    <n v="198"/>
    <n v="-198"/>
    <s v="DRC"/>
    <d v="2017-05-31T00:00:00"/>
  </r>
  <r>
    <s v="Rakhine"/>
    <x v="0"/>
    <x v="12"/>
    <s v="MMR012CMP019"/>
    <x v="1"/>
    <x v="1"/>
    <n v="218"/>
    <n v="218"/>
    <s v="DRC"/>
    <d v="2017-05-31T00:00:00"/>
  </r>
  <r>
    <s v="Rakhine"/>
    <x v="0"/>
    <x v="12"/>
    <s v="MMR012CMP019"/>
    <x v="2"/>
    <x v="0"/>
    <n v="135"/>
    <n v="-135"/>
    <s v="DRC"/>
    <d v="2017-05-31T00:00:00"/>
  </r>
  <r>
    <s v="Rakhine"/>
    <x v="0"/>
    <x v="12"/>
    <s v="MMR012CMP019"/>
    <x v="2"/>
    <x v="1"/>
    <n v="139"/>
    <n v="139"/>
    <s v="DRC"/>
    <d v="2017-05-31T00:00:00"/>
  </r>
  <r>
    <s v="Rakhine"/>
    <x v="0"/>
    <x v="12"/>
    <s v="MMR012CMP019"/>
    <x v="3"/>
    <x v="0"/>
    <n v="0"/>
    <n v="0"/>
    <s v="DRC"/>
    <d v="2017-05-31T00:00:00"/>
  </r>
  <r>
    <s v="Rakhine"/>
    <x v="0"/>
    <x v="12"/>
    <s v="MMR012CMP019"/>
    <x v="3"/>
    <x v="1"/>
    <n v="0"/>
    <n v="0"/>
    <s v="DRC"/>
    <d v="2017-05-31T00:00:00"/>
  </r>
  <r>
    <s v="Rakhine"/>
    <x v="0"/>
    <x v="12"/>
    <s v="MMR012CMP019"/>
    <x v="4"/>
    <x v="0"/>
    <n v="575"/>
    <n v="-575"/>
    <s v="DRC"/>
    <d v="2017-05-31T00:00:00"/>
  </r>
  <r>
    <s v="Rakhine"/>
    <x v="0"/>
    <x v="12"/>
    <s v="MMR012CMP019"/>
    <x v="4"/>
    <x v="1"/>
    <n v="641"/>
    <n v="641"/>
    <s v="DRC"/>
    <d v="2017-05-31T00:00:00"/>
  </r>
  <r>
    <s v="Rakhine"/>
    <x v="0"/>
    <x v="12"/>
    <s v="MMR012CMP019"/>
    <x v="5"/>
    <x v="0"/>
    <n v="35"/>
    <n v="-35"/>
    <s v="DRC"/>
    <d v="2017-05-31T00:00:00"/>
  </r>
  <r>
    <s v="Rakhine"/>
    <x v="0"/>
    <x v="12"/>
    <s v="MMR012CMP019"/>
    <x v="5"/>
    <x v="1"/>
    <n v="47"/>
    <n v="47"/>
    <s v="DRC"/>
    <d v="2017-05-31T00:00:00"/>
  </r>
  <r>
    <s v="Rakhine"/>
    <x v="2"/>
    <x v="13"/>
    <s v="MMR012CMP014"/>
    <x v="0"/>
    <x v="0"/>
    <n v="224"/>
    <n v="-224"/>
    <s v="RI"/>
    <d v="2017-05-31T00:00:00"/>
  </r>
  <r>
    <s v="Rakhine"/>
    <x v="2"/>
    <x v="13"/>
    <s v="MMR012CMP014"/>
    <x v="0"/>
    <x v="1"/>
    <n v="235"/>
    <n v="218"/>
    <s v="RI"/>
    <d v="2017-05-31T00:00:00"/>
  </r>
  <r>
    <s v="Rakhine"/>
    <x v="2"/>
    <x v="13"/>
    <s v="MMR012CMP014"/>
    <x v="1"/>
    <x v="0"/>
    <n v="236"/>
    <n v="-236"/>
    <s v="RI"/>
    <d v="2017-05-31T00:00:00"/>
  </r>
  <r>
    <s v="Rakhine"/>
    <x v="2"/>
    <x v="13"/>
    <s v="MMR012CMP014"/>
    <x v="1"/>
    <x v="1"/>
    <n v="244"/>
    <n v="244"/>
    <s v="RI"/>
    <d v="2017-05-31T00:00:00"/>
  </r>
  <r>
    <s v="Rakhine"/>
    <x v="2"/>
    <x v="13"/>
    <s v="MMR012CMP014"/>
    <x v="2"/>
    <x v="0"/>
    <n v="200"/>
    <n v="-200"/>
    <s v="RI"/>
    <d v="2017-05-31T00:00:00"/>
  </r>
  <r>
    <s v="Rakhine"/>
    <x v="2"/>
    <x v="13"/>
    <s v="MMR012CMP014"/>
    <x v="2"/>
    <x v="1"/>
    <n v="206"/>
    <n v="206"/>
    <s v="RI"/>
    <d v="2017-05-31T00:00:00"/>
  </r>
  <r>
    <s v="Rakhine"/>
    <x v="2"/>
    <x v="13"/>
    <s v="MMR012CMP014"/>
    <x v="3"/>
    <x v="0"/>
    <n v="174"/>
    <n v="-174"/>
    <s v="RI"/>
    <d v="2017-05-31T00:00:00"/>
  </r>
  <r>
    <s v="Rakhine"/>
    <x v="2"/>
    <x v="13"/>
    <s v="MMR012CMP014"/>
    <x v="3"/>
    <x v="1"/>
    <n v="248"/>
    <n v="248"/>
    <s v="RI"/>
    <d v="2017-05-31T00:00:00"/>
  </r>
  <r>
    <s v="Rakhine"/>
    <x v="2"/>
    <x v="13"/>
    <s v="MMR012CMP014"/>
    <x v="4"/>
    <x v="0"/>
    <n v="336"/>
    <n v="-336"/>
    <s v="RI"/>
    <d v="2017-05-31T00:00:00"/>
  </r>
  <r>
    <s v="Rakhine"/>
    <x v="2"/>
    <x v="13"/>
    <s v="MMR012CMP014"/>
    <x v="4"/>
    <x v="1"/>
    <n v="436"/>
    <n v="436"/>
    <s v="RI"/>
    <d v="2017-05-31T00:00:00"/>
  </r>
  <r>
    <s v="Rakhine"/>
    <x v="2"/>
    <x v="13"/>
    <s v="MMR012CMP014"/>
    <x v="5"/>
    <x v="0"/>
    <n v="62"/>
    <n v="-62"/>
    <s v="RI"/>
    <d v="2017-05-31T00:00:00"/>
  </r>
  <r>
    <s v="Rakhine"/>
    <x v="2"/>
    <x v="13"/>
    <s v="MMR012CMP014"/>
    <x v="5"/>
    <x v="1"/>
    <n v="55"/>
    <n v="55"/>
    <s v="RI"/>
    <d v="2017-05-31T00:00:00"/>
  </r>
  <r>
    <s v="Rakhine"/>
    <x v="1"/>
    <x v="14"/>
    <s v="MMR012CMP046"/>
    <x v="0"/>
    <x v="0"/>
    <n v="916"/>
    <n v="-916"/>
    <s v="LWF"/>
    <d v="2017-05-31T00:00:00"/>
  </r>
  <r>
    <s v="Rakhine"/>
    <x v="1"/>
    <x v="14"/>
    <s v="MMR012CMP046"/>
    <x v="0"/>
    <x v="1"/>
    <n v="1030"/>
    <n v="1030"/>
    <s v="LWF"/>
    <d v="2017-05-31T00:00:00"/>
  </r>
  <r>
    <s v="Rakhine"/>
    <x v="1"/>
    <x v="14"/>
    <s v="MMR012CMP046"/>
    <x v="1"/>
    <x v="0"/>
    <n v="1024"/>
    <n v="-1024"/>
    <s v="LWF"/>
    <d v="2017-05-31T00:00:00"/>
  </r>
  <r>
    <s v="Rakhine"/>
    <x v="1"/>
    <x v="14"/>
    <s v="MMR012CMP046"/>
    <x v="1"/>
    <x v="1"/>
    <n v="984"/>
    <n v="984"/>
    <s v="LWF"/>
    <d v="2017-05-31T00:00:00"/>
  </r>
  <r>
    <s v="Rakhine"/>
    <x v="1"/>
    <x v="14"/>
    <s v="MMR012CMP046"/>
    <x v="2"/>
    <x v="0"/>
    <n v="958"/>
    <n v="-958"/>
    <s v="LWF"/>
    <d v="2017-05-31T00:00:00"/>
  </r>
  <r>
    <s v="Rakhine"/>
    <x v="1"/>
    <x v="14"/>
    <s v="MMR012CMP046"/>
    <x v="2"/>
    <x v="1"/>
    <n v="922"/>
    <n v="922"/>
    <s v="LWF"/>
    <d v="2017-05-31T00:00:00"/>
  </r>
  <r>
    <s v="Rakhine"/>
    <x v="1"/>
    <x v="14"/>
    <s v="MMR012CMP046"/>
    <x v="3"/>
    <x v="0"/>
    <n v="998"/>
    <n v="-998"/>
    <s v="LWF"/>
    <d v="2017-05-31T00:00:00"/>
  </r>
  <r>
    <s v="Rakhine"/>
    <x v="1"/>
    <x v="14"/>
    <s v="MMR012CMP046"/>
    <x v="3"/>
    <x v="1"/>
    <n v="1212"/>
    <n v="1212"/>
    <s v="LWF"/>
    <d v="2017-05-31T00:00:00"/>
  </r>
  <r>
    <s v="Rakhine"/>
    <x v="1"/>
    <x v="14"/>
    <s v="MMR012CMP046"/>
    <x v="4"/>
    <x v="0"/>
    <n v="1546"/>
    <n v="-1546"/>
    <s v="LWF"/>
    <d v="2017-05-31T00:00:00"/>
  </r>
  <r>
    <s v="Rakhine"/>
    <x v="1"/>
    <x v="14"/>
    <s v="MMR012CMP046"/>
    <x v="4"/>
    <x v="1"/>
    <n v="1808"/>
    <n v="1808"/>
    <s v="LWF"/>
    <d v="2017-05-31T00:00:00"/>
  </r>
  <r>
    <s v="Rakhine"/>
    <x v="1"/>
    <x v="14"/>
    <s v="MMR012CMP046"/>
    <x v="5"/>
    <x v="0"/>
    <n v="200"/>
    <n v="-200"/>
    <s v="LWF"/>
    <d v="2017-05-31T00:00:00"/>
  </r>
  <r>
    <s v="Rakhine"/>
    <x v="1"/>
    <x v="14"/>
    <s v="MMR012CMP046"/>
    <x v="5"/>
    <x v="1"/>
    <n v="166"/>
    <n v="166"/>
    <s v="LWF"/>
    <d v="2017-05-31T00:00:00"/>
  </r>
  <r>
    <s v="Rakhine"/>
    <x v="1"/>
    <x v="15"/>
    <s v="MMR012CMP048"/>
    <x v="0"/>
    <x v="0"/>
    <n v="557"/>
    <n v="-557"/>
    <s v="NRC"/>
    <d v="2017-05-31T00:00:00"/>
  </r>
  <r>
    <s v="Rakhine"/>
    <x v="1"/>
    <x v="15"/>
    <s v="MMR012CMP048"/>
    <x v="0"/>
    <x v="1"/>
    <n v="536"/>
    <n v="536"/>
    <s v="NRC"/>
    <d v="2017-05-31T00:00:00"/>
  </r>
  <r>
    <s v="Rakhine"/>
    <x v="1"/>
    <x v="15"/>
    <s v="MMR012CMP048"/>
    <x v="1"/>
    <x v="0"/>
    <n v="485"/>
    <n v="-485"/>
    <s v="NRC"/>
    <d v="2017-05-31T00:00:00"/>
  </r>
  <r>
    <s v="Rakhine"/>
    <x v="1"/>
    <x v="15"/>
    <s v="MMR012CMP048"/>
    <x v="1"/>
    <x v="1"/>
    <n v="535"/>
    <n v="535"/>
    <s v="NRC"/>
    <d v="2017-05-31T00:00:00"/>
  </r>
  <r>
    <s v="Rakhine"/>
    <x v="1"/>
    <x v="15"/>
    <s v="MMR012CMP048"/>
    <x v="2"/>
    <x v="0"/>
    <n v="438"/>
    <n v="-438"/>
    <s v="NRC"/>
    <d v="2017-05-31T00:00:00"/>
  </r>
  <r>
    <s v="Rakhine"/>
    <x v="1"/>
    <x v="15"/>
    <s v="MMR012CMP048"/>
    <x v="2"/>
    <x v="1"/>
    <n v="439"/>
    <n v="439"/>
    <s v="NRC"/>
    <d v="2017-05-31T00:00:00"/>
  </r>
  <r>
    <s v="Rakhine"/>
    <x v="1"/>
    <x v="15"/>
    <s v="MMR012CMP048"/>
    <x v="3"/>
    <x v="0"/>
    <n v="645"/>
    <n v="-645"/>
    <s v="NRC"/>
    <d v="2017-05-31T00:00:00"/>
  </r>
  <r>
    <s v="Rakhine"/>
    <x v="1"/>
    <x v="15"/>
    <s v="MMR012CMP048"/>
    <x v="3"/>
    <x v="1"/>
    <n v="460"/>
    <n v="460"/>
    <s v="NRC"/>
    <d v="2017-05-31T00:00:00"/>
  </r>
  <r>
    <s v="Rakhine"/>
    <x v="1"/>
    <x v="15"/>
    <s v="MMR012CMP048"/>
    <x v="4"/>
    <x v="0"/>
    <n v="756"/>
    <n v="-756"/>
    <s v="NRC"/>
    <d v="2017-05-31T00:00:00"/>
  </r>
  <r>
    <s v="Rakhine"/>
    <x v="1"/>
    <x v="15"/>
    <s v="MMR012CMP048"/>
    <x v="4"/>
    <x v="1"/>
    <n v="724"/>
    <n v="724"/>
    <s v="NRC"/>
    <d v="2017-05-31T00:00:00"/>
  </r>
  <r>
    <s v="Rakhine"/>
    <x v="1"/>
    <x v="15"/>
    <s v="MMR012CMP048"/>
    <x v="5"/>
    <x v="0"/>
    <n v="134"/>
    <n v="-134"/>
    <s v="NRC"/>
    <d v="2017-05-31T00:00:00"/>
  </r>
  <r>
    <s v="Rakhine"/>
    <x v="1"/>
    <x v="15"/>
    <s v="MMR012CMP048"/>
    <x v="5"/>
    <x v="1"/>
    <n v="129"/>
    <n v="129"/>
    <s v="NRC"/>
    <d v="2017-05-31T00:00:00"/>
  </r>
  <r>
    <s v="Rakhine"/>
    <x v="1"/>
    <x v="16"/>
    <s v="MMR012CMP039"/>
    <x v="0"/>
    <x v="0"/>
    <n v="251"/>
    <n v="-251"/>
    <s v="LWF"/>
    <d v="2017-05-31T00:00:00"/>
  </r>
  <r>
    <s v="Rakhine"/>
    <x v="1"/>
    <x v="16"/>
    <s v="MMR012CMP039"/>
    <x v="0"/>
    <x v="1"/>
    <n v="219"/>
    <n v="219"/>
    <s v="LWF"/>
    <d v="2017-05-31T00:00:00"/>
  </r>
  <r>
    <s v="Rakhine"/>
    <x v="1"/>
    <x v="16"/>
    <s v="MMR012CMP039"/>
    <x v="1"/>
    <x v="0"/>
    <n v="181"/>
    <n v="-181"/>
    <s v="LWF"/>
    <d v="2017-05-31T00:00:00"/>
  </r>
  <r>
    <s v="Rakhine"/>
    <x v="1"/>
    <x v="16"/>
    <s v="MMR012CMP039"/>
    <x v="1"/>
    <x v="1"/>
    <n v="165"/>
    <n v="165"/>
    <s v="LWF"/>
    <d v="2017-05-31T00:00:00"/>
  </r>
  <r>
    <s v="Rakhine"/>
    <x v="1"/>
    <x v="16"/>
    <s v="MMR012CMP039"/>
    <x v="2"/>
    <x v="0"/>
    <n v="148"/>
    <n v="-148"/>
    <s v="LWF"/>
    <d v="2017-05-31T00:00:00"/>
  </r>
  <r>
    <s v="Rakhine"/>
    <x v="1"/>
    <x v="16"/>
    <s v="MMR012CMP039"/>
    <x v="2"/>
    <x v="1"/>
    <n v="136"/>
    <n v="136"/>
    <s v="LWF"/>
    <d v="2017-05-31T00:00:00"/>
  </r>
  <r>
    <s v="Rakhine"/>
    <x v="1"/>
    <x v="16"/>
    <s v="MMR012CMP039"/>
    <x v="3"/>
    <x v="0"/>
    <n v="141"/>
    <n v="-141"/>
    <s v="LWF"/>
    <d v="2017-05-31T00:00:00"/>
  </r>
  <r>
    <s v="Rakhine"/>
    <x v="1"/>
    <x v="16"/>
    <s v="MMR012CMP039"/>
    <x v="3"/>
    <x v="1"/>
    <n v="224"/>
    <n v="224"/>
    <s v="LWF"/>
    <d v="2017-05-31T00:00:00"/>
  </r>
  <r>
    <s v="Rakhine"/>
    <x v="1"/>
    <x v="16"/>
    <s v="MMR012CMP039"/>
    <x v="4"/>
    <x v="0"/>
    <n v="323"/>
    <n v="-323"/>
    <s v="LWF"/>
    <d v="2017-05-31T00:00:00"/>
  </r>
  <r>
    <s v="Rakhine"/>
    <x v="1"/>
    <x v="16"/>
    <s v="MMR012CMP039"/>
    <x v="4"/>
    <x v="1"/>
    <n v="339"/>
    <n v="339"/>
    <s v="LWF"/>
    <d v="2017-05-31T00:00:00"/>
  </r>
  <r>
    <s v="Rakhine"/>
    <x v="1"/>
    <x v="16"/>
    <s v="MMR012CMP039"/>
    <x v="5"/>
    <x v="0"/>
    <n v="50"/>
    <n v="-50"/>
    <s v="LWF"/>
    <d v="2017-05-31T00:00:00"/>
  </r>
  <r>
    <s v="Rakhine"/>
    <x v="1"/>
    <x v="16"/>
    <s v="MMR012CMP039"/>
    <x v="5"/>
    <x v="1"/>
    <n v="63"/>
    <n v="63"/>
    <s v="LWF"/>
    <d v="2017-05-31T00:00:00"/>
  </r>
</pivotCacheRecords>
</file>

<file path=xl/pivotCache/pivotCacheRecords5.xml><?xml version="1.0" encoding="utf-8"?>
<pivotCacheRecords xmlns="http://schemas.openxmlformats.org/spreadsheetml/2006/main" xmlns:r="http://schemas.openxmlformats.org/officeDocument/2006/relationships" count="204">
  <r>
    <x v="0"/>
    <x v="0"/>
    <s v="MMR012CMP016"/>
    <x v="0"/>
    <x v="0"/>
    <n v="410"/>
  </r>
  <r>
    <x v="0"/>
    <x v="0"/>
    <s v="MMR012CMP016"/>
    <x v="0"/>
    <x v="1"/>
    <n v="473"/>
  </r>
  <r>
    <x v="0"/>
    <x v="0"/>
    <s v="MMR012CMP016"/>
    <x v="1"/>
    <x v="0"/>
    <n v="474"/>
  </r>
  <r>
    <x v="0"/>
    <x v="0"/>
    <s v="MMR012CMP016"/>
    <x v="1"/>
    <x v="1"/>
    <n v="401"/>
  </r>
  <r>
    <x v="0"/>
    <x v="0"/>
    <s v="MMR012CMP016"/>
    <x v="2"/>
    <x v="0"/>
    <n v="260"/>
  </r>
  <r>
    <x v="0"/>
    <x v="0"/>
    <s v="MMR012CMP016"/>
    <x v="2"/>
    <x v="1"/>
    <n v="212"/>
  </r>
  <r>
    <x v="0"/>
    <x v="0"/>
    <s v="MMR012CMP016"/>
    <x v="3"/>
    <x v="0"/>
    <n v="338"/>
  </r>
  <r>
    <x v="0"/>
    <x v="0"/>
    <s v="MMR012CMP016"/>
    <x v="3"/>
    <x v="1"/>
    <n v="530"/>
  </r>
  <r>
    <x v="0"/>
    <x v="0"/>
    <s v="MMR012CMP016"/>
    <x v="4"/>
    <x v="0"/>
    <n v="507"/>
  </r>
  <r>
    <x v="0"/>
    <x v="0"/>
    <s v="MMR012CMP016"/>
    <x v="4"/>
    <x v="1"/>
    <n v="546"/>
  </r>
  <r>
    <x v="0"/>
    <x v="0"/>
    <s v="MMR012CMP016"/>
    <x v="5"/>
    <x v="0"/>
    <n v="72"/>
  </r>
  <r>
    <x v="0"/>
    <x v="0"/>
    <s v="MMR012CMP016"/>
    <x v="5"/>
    <x v="1"/>
    <n v="57"/>
  </r>
  <r>
    <x v="1"/>
    <x v="1"/>
    <s v="MMR012CMP113"/>
    <x v="0"/>
    <x v="0"/>
    <n v="395"/>
  </r>
  <r>
    <x v="1"/>
    <x v="1"/>
    <s v="MMR012CMP113"/>
    <x v="0"/>
    <x v="1"/>
    <n v="419"/>
  </r>
  <r>
    <x v="1"/>
    <x v="1"/>
    <s v="MMR012CMP113"/>
    <x v="1"/>
    <x v="0"/>
    <n v="457"/>
  </r>
  <r>
    <x v="1"/>
    <x v="1"/>
    <s v="MMR012CMP113"/>
    <x v="1"/>
    <x v="1"/>
    <n v="387"/>
  </r>
  <r>
    <x v="1"/>
    <x v="1"/>
    <s v="MMR012CMP113"/>
    <x v="2"/>
    <x v="0"/>
    <n v="360"/>
  </r>
  <r>
    <x v="1"/>
    <x v="1"/>
    <s v="MMR012CMP113"/>
    <x v="2"/>
    <x v="1"/>
    <n v="359"/>
  </r>
  <r>
    <x v="1"/>
    <x v="1"/>
    <s v="MMR012CMP113"/>
    <x v="3"/>
    <x v="0"/>
    <n v="418"/>
  </r>
  <r>
    <x v="1"/>
    <x v="1"/>
    <s v="MMR012CMP113"/>
    <x v="3"/>
    <x v="1"/>
    <n v="513"/>
  </r>
  <r>
    <x v="1"/>
    <x v="1"/>
    <s v="MMR012CMP113"/>
    <x v="4"/>
    <x v="0"/>
    <n v="686"/>
  </r>
  <r>
    <x v="1"/>
    <x v="1"/>
    <s v="MMR012CMP113"/>
    <x v="4"/>
    <x v="1"/>
    <n v="704"/>
  </r>
  <r>
    <x v="1"/>
    <x v="1"/>
    <s v="MMR012CMP113"/>
    <x v="5"/>
    <x v="0"/>
    <n v="75"/>
  </r>
  <r>
    <x v="1"/>
    <x v="1"/>
    <s v="MMR012CMP113"/>
    <x v="5"/>
    <x v="1"/>
    <n v="78"/>
  </r>
  <r>
    <x v="1"/>
    <x v="2"/>
    <s v="MMR012CMP114"/>
    <x v="0"/>
    <x v="0"/>
    <n v="395"/>
  </r>
  <r>
    <x v="1"/>
    <x v="2"/>
    <s v="MMR012CMP114"/>
    <x v="0"/>
    <x v="1"/>
    <n v="419"/>
  </r>
  <r>
    <x v="1"/>
    <x v="2"/>
    <s v="MMR012CMP114"/>
    <x v="1"/>
    <x v="0"/>
    <n v="475"/>
  </r>
  <r>
    <x v="1"/>
    <x v="2"/>
    <s v="MMR012CMP114"/>
    <x v="1"/>
    <x v="1"/>
    <n v="387"/>
  </r>
  <r>
    <x v="1"/>
    <x v="2"/>
    <s v="MMR012CMP114"/>
    <x v="2"/>
    <x v="0"/>
    <n v="360"/>
  </r>
  <r>
    <x v="1"/>
    <x v="2"/>
    <s v="MMR012CMP114"/>
    <x v="2"/>
    <x v="1"/>
    <n v="359"/>
  </r>
  <r>
    <x v="1"/>
    <x v="2"/>
    <s v="MMR012CMP114"/>
    <x v="3"/>
    <x v="0"/>
    <n v="418"/>
  </r>
  <r>
    <x v="1"/>
    <x v="2"/>
    <s v="MMR012CMP114"/>
    <x v="3"/>
    <x v="1"/>
    <n v="513"/>
  </r>
  <r>
    <x v="1"/>
    <x v="2"/>
    <s v="MMR012CMP114"/>
    <x v="4"/>
    <x v="0"/>
    <n v="686"/>
  </r>
  <r>
    <x v="1"/>
    <x v="2"/>
    <s v="MMR012CMP114"/>
    <x v="4"/>
    <x v="1"/>
    <n v="704"/>
  </r>
  <r>
    <x v="1"/>
    <x v="2"/>
    <s v="MMR012CMP114"/>
    <x v="5"/>
    <x v="0"/>
    <n v="75"/>
  </r>
  <r>
    <x v="1"/>
    <x v="2"/>
    <s v="MMR012CMP114"/>
    <x v="5"/>
    <x v="1"/>
    <n v="78"/>
  </r>
  <r>
    <x v="1"/>
    <x v="3"/>
    <s v="MMR012CMP041"/>
    <x v="0"/>
    <x v="0"/>
    <n v="652"/>
  </r>
  <r>
    <x v="1"/>
    <x v="3"/>
    <s v="MMR012CMP041"/>
    <x v="0"/>
    <x v="1"/>
    <n v="708"/>
  </r>
  <r>
    <x v="1"/>
    <x v="3"/>
    <s v="MMR012CMP041"/>
    <x v="1"/>
    <x v="0"/>
    <n v="809"/>
  </r>
  <r>
    <x v="1"/>
    <x v="3"/>
    <s v="MMR012CMP041"/>
    <x v="1"/>
    <x v="1"/>
    <n v="802"/>
  </r>
  <r>
    <x v="1"/>
    <x v="3"/>
    <s v="MMR012CMP041"/>
    <x v="2"/>
    <x v="0"/>
    <n v="648"/>
  </r>
  <r>
    <x v="1"/>
    <x v="3"/>
    <s v="MMR012CMP041"/>
    <x v="2"/>
    <x v="1"/>
    <n v="629"/>
  </r>
  <r>
    <x v="1"/>
    <x v="3"/>
    <s v="MMR012CMP041"/>
    <x v="3"/>
    <x v="0"/>
    <n v="727"/>
  </r>
  <r>
    <x v="1"/>
    <x v="3"/>
    <s v="MMR012CMP041"/>
    <x v="3"/>
    <x v="1"/>
    <n v="876"/>
  </r>
  <r>
    <x v="1"/>
    <x v="3"/>
    <s v="MMR012CMP041"/>
    <x v="4"/>
    <x v="0"/>
    <n v="971"/>
  </r>
  <r>
    <x v="1"/>
    <x v="3"/>
    <s v="MMR012CMP041"/>
    <x v="4"/>
    <x v="1"/>
    <n v="1050"/>
  </r>
  <r>
    <x v="1"/>
    <x v="3"/>
    <s v="MMR012CMP041"/>
    <x v="5"/>
    <x v="0"/>
    <n v="151"/>
  </r>
  <r>
    <x v="1"/>
    <x v="3"/>
    <s v="MMR012CMP041"/>
    <x v="5"/>
    <x v="1"/>
    <n v="159"/>
  </r>
  <r>
    <x v="1"/>
    <x v="4"/>
    <s v="MMR012CMP042"/>
    <x v="0"/>
    <x v="0"/>
    <n v="428"/>
  </r>
  <r>
    <x v="1"/>
    <x v="4"/>
    <s v="MMR012CMP042"/>
    <x v="0"/>
    <x v="1"/>
    <n v="473"/>
  </r>
  <r>
    <x v="1"/>
    <x v="4"/>
    <s v="MMR012CMP042"/>
    <x v="1"/>
    <x v="0"/>
    <n v="396"/>
  </r>
  <r>
    <x v="1"/>
    <x v="4"/>
    <s v="MMR012CMP042"/>
    <x v="1"/>
    <x v="1"/>
    <n v="356"/>
  </r>
  <r>
    <x v="1"/>
    <x v="4"/>
    <s v="MMR012CMP042"/>
    <x v="2"/>
    <x v="0"/>
    <n v="345"/>
  </r>
  <r>
    <x v="1"/>
    <x v="4"/>
    <s v="MMR012CMP042"/>
    <x v="2"/>
    <x v="1"/>
    <n v="297"/>
  </r>
  <r>
    <x v="1"/>
    <x v="4"/>
    <s v="MMR012CMP042"/>
    <x v="3"/>
    <x v="0"/>
    <n v="301"/>
  </r>
  <r>
    <x v="1"/>
    <x v="4"/>
    <s v="MMR012CMP042"/>
    <x v="3"/>
    <x v="1"/>
    <n v="473"/>
  </r>
  <r>
    <x v="1"/>
    <x v="4"/>
    <s v="MMR012CMP042"/>
    <x v="4"/>
    <x v="0"/>
    <n v="609"/>
  </r>
  <r>
    <x v="1"/>
    <x v="4"/>
    <s v="MMR012CMP042"/>
    <x v="4"/>
    <x v="1"/>
    <n v="607"/>
  </r>
  <r>
    <x v="1"/>
    <x v="4"/>
    <s v="MMR012CMP042"/>
    <x v="5"/>
    <x v="0"/>
    <n v="62"/>
  </r>
  <r>
    <x v="1"/>
    <x v="4"/>
    <s v="MMR012CMP042"/>
    <x v="5"/>
    <x v="1"/>
    <n v="81"/>
  </r>
  <r>
    <x v="0"/>
    <x v="5"/>
    <s v="MMR012CMP018"/>
    <x v="0"/>
    <x v="0"/>
    <n v="612"/>
  </r>
  <r>
    <x v="0"/>
    <x v="5"/>
    <s v="MMR012CMP018"/>
    <x v="0"/>
    <x v="1"/>
    <n v="589"/>
  </r>
  <r>
    <x v="0"/>
    <x v="5"/>
    <s v="MMR012CMP018"/>
    <x v="1"/>
    <x v="0"/>
    <n v="355"/>
  </r>
  <r>
    <x v="0"/>
    <x v="5"/>
    <s v="MMR012CMP018"/>
    <x v="1"/>
    <x v="1"/>
    <n v="297"/>
  </r>
  <r>
    <x v="0"/>
    <x v="5"/>
    <s v="MMR012CMP018"/>
    <x v="2"/>
    <x v="0"/>
    <n v="355"/>
  </r>
  <r>
    <x v="0"/>
    <x v="5"/>
    <s v="MMR012CMP018"/>
    <x v="2"/>
    <x v="1"/>
    <n v="382"/>
  </r>
  <r>
    <x v="0"/>
    <x v="5"/>
    <s v="MMR012CMP018"/>
    <x v="3"/>
    <x v="0"/>
    <n v="345"/>
  </r>
  <r>
    <x v="0"/>
    <x v="5"/>
    <s v="MMR012CMP018"/>
    <x v="3"/>
    <x v="1"/>
    <n v="482"/>
  </r>
  <r>
    <x v="0"/>
    <x v="5"/>
    <s v="MMR012CMP018"/>
    <x v="4"/>
    <x v="0"/>
    <n v="599"/>
  </r>
  <r>
    <x v="0"/>
    <x v="5"/>
    <s v="MMR012CMP018"/>
    <x v="4"/>
    <x v="1"/>
    <n v="602"/>
  </r>
  <r>
    <x v="0"/>
    <x v="5"/>
    <s v="MMR012CMP018"/>
    <x v="5"/>
    <x v="0"/>
    <n v="104"/>
  </r>
  <r>
    <x v="0"/>
    <x v="5"/>
    <s v="MMR012CMP018"/>
    <x v="5"/>
    <x v="1"/>
    <n v="96"/>
  </r>
  <r>
    <x v="1"/>
    <x v="6"/>
    <s v="MMR012CMP092"/>
    <x v="0"/>
    <x v="0"/>
    <n v="333"/>
  </r>
  <r>
    <x v="1"/>
    <x v="6"/>
    <s v="MMR012CMP092"/>
    <x v="0"/>
    <x v="1"/>
    <n v="314"/>
  </r>
  <r>
    <x v="1"/>
    <x v="6"/>
    <s v="MMR012CMP092"/>
    <x v="1"/>
    <x v="0"/>
    <n v="295"/>
  </r>
  <r>
    <x v="1"/>
    <x v="6"/>
    <s v="MMR012CMP092"/>
    <x v="1"/>
    <x v="1"/>
    <n v="285"/>
  </r>
  <r>
    <x v="1"/>
    <x v="6"/>
    <s v="MMR012CMP092"/>
    <x v="2"/>
    <x v="0"/>
    <n v="236"/>
  </r>
  <r>
    <x v="1"/>
    <x v="6"/>
    <s v="MMR012CMP092"/>
    <x v="2"/>
    <x v="1"/>
    <n v="271"/>
  </r>
  <r>
    <x v="1"/>
    <x v="6"/>
    <s v="MMR012CMP092"/>
    <x v="3"/>
    <x v="0"/>
    <n v="382"/>
  </r>
  <r>
    <x v="1"/>
    <x v="6"/>
    <s v="MMR012CMP092"/>
    <x v="3"/>
    <x v="1"/>
    <n v="285"/>
  </r>
  <r>
    <x v="1"/>
    <x v="6"/>
    <s v="MMR012CMP092"/>
    <x v="4"/>
    <x v="0"/>
    <n v="446"/>
  </r>
  <r>
    <x v="1"/>
    <x v="6"/>
    <s v="MMR012CMP092"/>
    <x v="4"/>
    <x v="1"/>
    <n v="436"/>
  </r>
  <r>
    <x v="1"/>
    <x v="6"/>
    <s v="MMR012CMP092"/>
    <x v="5"/>
    <x v="0"/>
    <n v="80"/>
  </r>
  <r>
    <x v="1"/>
    <x v="6"/>
    <s v="MMR012CMP092"/>
    <x v="5"/>
    <x v="1"/>
    <n v="72"/>
  </r>
  <r>
    <x v="0"/>
    <x v="7"/>
    <s v="MMR012CMP017"/>
    <x v="0"/>
    <x v="0"/>
    <n v="552"/>
  </r>
  <r>
    <x v="0"/>
    <x v="7"/>
    <s v="MMR012CMP017"/>
    <x v="0"/>
    <x v="1"/>
    <n v="557"/>
  </r>
  <r>
    <x v="0"/>
    <x v="7"/>
    <s v="MMR012CMP017"/>
    <x v="1"/>
    <x v="0"/>
    <n v="373"/>
  </r>
  <r>
    <x v="0"/>
    <x v="7"/>
    <s v="MMR012CMP017"/>
    <x v="1"/>
    <x v="1"/>
    <n v="329"/>
  </r>
  <r>
    <x v="0"/>
    <x v="7"/>
    <s v="MMR012CMP017"/>
    <x v="2"/>
    <x v="0"/>
    <n v="222"/>
  </r>
  <r>
    <x v="0"/>
    <x v="7"/>
    <s v="MMR012CMP017"/>
    <x v="2"/>
    <x v="1"/>
    <n v="207"/>
  </r>
  <r>
    <x v="0"/>
    <x v="7"/>
    <s v="MMR012CMP017"/>
    <x v="3"/>
    <x v="0"/>
    <n v="323"/>
  </r>
  <r>
    <x v="0"/>
    <x v="7"/>
    <s v="MMR012CMP017"/>
    <x v="3"/>
    <x v="1"/>
    <n v="449"/>
  </r>
  <r>
    <x v="0"/>
    <x v="7"/>
    <s v="MMR012CMP017"/>
    <x v="4"/>
    <x v="0"/>
    <n v="433"/>
  </r>
  <r>
    <x v="0"/>
    <x v="7"/>
    <s v="MMR012CMP017"/>
    <x v="4"/>
    <x v="1"/>
    <n v="346"/>
  </r>
  <r>
    <x v="0"/>
    <x v="7"/>
    <s v="MMR012CMP017"/>
    <x v="5"/>
    <x v="0"/>
    <n v="89"/>
  </r>
  <r>
    <x v="0"/>
    <x v="7"/>
    <s v="MMR012CMP017"/>
    <x v="5"/>
    <x v="1"/>
    <n v="66"/>
  </r>
  <r>
    <x v="1"/>
    <x v="8"/>
    <s v="MMR012CMP098"/>
    <x v="0"/>
    <x v="0"/>
    <n v="352"/>
  </r>
  <r>
    <x v="1"/>
    <x v="8"/>
    <s v="MMR012CMP098"/>
    <x v="0"/>
    <x v="1"/>
    <n v="415"/>
  </r>
  <r>
    <x v="1"/>
    <x v="8"/>
    <s v="MMR012CMP098"/>
    <x v="1"/>
    <x v="0"/>
    <n v="429"/>
  </r>
  <r>
    <x v="1"/>
    <x v="8"/>
    <s v="MMR012CMP098"/>
    <x v="1"/>
    <x v="1"/>
    <n v="365"/>
  </r>
  <r>
    <x v="1"/>
    <x v="8"/>
    <s v="MMR012CMP098"/>
    <x v="2"/>
    <x v="0"/>
    <n v="259"/>
  </r>
  <r>
    <x v="1"/>
    <x v="8"/>
    <s v="MMR012CMP098"/>
    <x v="2"/>
    <x v="1"/>
    <n v="224"/>
  </r>
  <r>
    <x v="1"/>
    <x v="8"/>
    <s v="MMR012CMP098"/>
    <x v="3"/>
    <x v="0"/>
    <n v="243"/>
  </r>
  <r>
    <x v="1"/>
    <x v="8"/>
    <s v="MMR012CMP098"/>
    <x v="3"/>
    <x v="1"/>
    <n v="291"/>
  </r>
  <r>
    <x v="1"/>
    <x v="8"/>
    <s v="MMR012CMP098"/>
    <x v="4"/>
    <x v="0"/>
    <n v="364"/>
  </r>
  <r>
    <x v="1"/>
    <x v="8"/>
    <s v="MMR012CMP098"/>
    <x v="4"/>
    <x v="1"/>
    <n v="375"/>
  </r>
  <r>
    <x v="1"/>
    <x v="8"/>
    <s v="MMR012CMP098"/>
    <x v="5"/>
    <x v="0"/>
    <n v="45"/>
  </r>
  <r>
    <x v="1"/>
    <x v="8"/>
    <s v="MMR012CMP098"/>
    <x v="5"/>
    <x v="1"/>
    <n v="27"/>
  </r>
  <r>
    <x v="1"/>
    <x v="9"/>
    <s v="MMR012CMP115"/>
    <x v="0"/>
    <x v="0"/>
    <n v="1479"/>
  </r>
  <r>
    <x v="1"/>
    <x v="9"/>
    <s v="MMR012CMP115"/>
    <x v="0"/>
    <x v="1"/>
    <n v="1429"/>
  </r>
  <r>
    <x v="1"/>
    <x v="9"/>
    <s v="MMR012CMP115"/>
    <x v="1"/>
    <x v="0"/>
    <n v="1461"/>
  </r>
  <r>
    <x v="1"/>
    <x v="9"/>
    <s v="MMR012CMP115"/>
    <x v="1"/>
    <x v="1"/>
    <n v="1300"/>
  </r>
  <r>
    <x v="1"/>
    <x v="9"/>
    <s v="MMR012CMP115"/>
    <x v="2"/>
    <x v="0"/>
    <n v="1004"/>
  </r>
  <r>
    <x v="1"/>
    <x v="9"/>
    <s v="MMR012CMP115"/>
    <x v="2"/>
    <x v="1"/>
    <n v="907"/>
  </r>
  <r>
    <x v="1"/>
    <x v="9"/>
    <s v="MMR012CMP115"/>
    <x v="3"/>
    <x v="0"/>
    <n v="1034"/>
  </r>
  <r>
    <x v="1"/>
    <x v="9"/>
    <s v="MMR012CMP115"/>
    <x v="3"/>
    <x v="1"/>
    <n v="1300"/>
  </r>
  <r>
    <x v="1"/>
    <x v="9"/>
    <s v="MMR012CMP115"/>
    <x v="4"/>
    <x v="0"/>
    <n v="1406"/>
  </r>
  <r>
    <x v="1"/>
    <x v="9"/>
    <s v="MMR012CMP115"/>
    <x v="4"/>
    <x v="1"/>
    <n v="1562"/>
  </r>
  <r>
    <x v="1"/>
    <x v="9"/>
    <s v="MMR012CMP115"/>
    <x v="5"/>
    <x v="0"/>
    <n v="259"/>
  </r>
  <r>
    <x v="1"/>
    <x v="9"/>
    <s v="MMR012CMP115"/>
    <x v="5"/>
    <x v="1"/>
    <n v="319"/>
  </r>
  <r>
    <x v="1"/>
    <x v="10"/>
    <s v="MMR012CMP116"/>
    <x v="0"/>
    <x v="0"/>
    <n v="1326"/>
  </r>
  <r>
    <x v="1"/>
    <x v="10"/>
    <s v="MMR012CMP116"/>
    <x v="0"/>
    <x v="1"/>
    <n v="1278"/>
  </r>
  <r>
    <x v="1"/>
    <x v="10"/>
    <s v="MMR012CMP116"/>
    <x v="1"/>
    <x v="0"/>
    <n v="1239"/>
  </r>
  <r>
    <x v="1"/>
    <x v="10"/>
    <s v="MMR012CMP116"/>
    <x v="1"/>
    <x v="1"/>
    <n v="1111"/>
  </r>
  <r>
    <x v="1"/>
    <x v="10"/>
    <s v="MMR012CMP116"/>
    <x v="2"/>
    <x v="0"/>
    <n v="853"/>
  </r>
  <r>
    <x v="1"/>
    <x v="10"/>
    <s v="MMR012CMP116"/>
    <x v="2"/>
    <x v="1"/>
    <n v="815"/>
  </r>
  <r>
    <x v="1"/>
    <x v="10"/>
    <s v="MMR012CMP116"/>
    <x v="3"/>
    <x v="0"/>
    <n v="738"/>
  </r>
  <r>
    <x v="1"/>
    <x v="10"/>
    <s v="MMR012CMP116"/>
    <x v="3"/>
    <x v="1"/>
    <n v="1093"/>
  </r>
  <r>
    <x v="1"/>
    <x v="10"/>
    <s v="MMR012CMP116"/>
    <x v="4"/>
    <x v="0"/>
    <n v="1334"/>
  </r>
  <r>
    <x v="1"/>
    <x v="10"/>
    <s v="MMR012CMP116"/>
    <x v="4"/>
    <x v="1"/>
    <n v="1519"/>
  </r>
  <r>
    <x v="1"/>
    <x v="10"/>
    <s v="MMR012CMP116"/>
    <x v="5"/>
    <x v="0"/>
    <n v="175"/>
  </r>
  <r>
    <x v="1"/>
    <x v="10"/>
    <s v="MMR012CMP116"/>
    <x v="5"/>
    <x v="1"/>
    <n v="178"/>
  </r>
  <r>
    <x v="1"/>
    <x v="11"/>
    <s v="MMR012CMP045"/>
    <x v="0"/>
    <x v="0"/>
    <n v="1277"/>
  </r>
  <r>
    <x v="1"/>
    <x v="11"/>
    <s v="MMR012CMP045"/>
    <x v="0"/>
    <x v="1"/>
    <n v="1293"/>
  </r>
  <r>
    <x v="1"/>
    <x v="11"/>
    <s v="MMR012CMP045"/>
    <x v="1"/>
    <x v="0"/>
    <n v="1337"/>
  </r>
  <r>
    <x v="1"/>
    <x v="11"/>
    <s v="MMR012CMP045"/>
    <x v="1"/>
    <x v="1"/>
    <n v="1219"/>
  </r>
  <r>
    <x v="1"/>
    <x v="11"/>
    <s v="MMR012CMP045"/>
    <x v="2"/>
    <x v="0"/>
    <n v="852"/>
  </r>
  <r>
    <x v="1"/>
    <x v="11"/>
    <s v="MMR012CMP045"/>
    <x v="2"/>
    <x v="1"/>
    <n v="844"/>
  </r>
  <r>
    <x v="1"/>
    <x v="11"/>
    <s v="MMR012CMP045"/>
    <x v="3"/>
    <x v="0"/>
    <n v="901"/>
  </r>
  <r>
    <x v="1"/>
    <x v="11"/>
    <s v="MMR012CMP045"/>
    <x v="3"/>
    <x v="1"/>
    <n v="1275"/>
  </r>
  <r>
    <x v="1"/>
    <x v="11"/>
    <s v="MMR012CMP045"/>
    <x v="4"/>
    <x v="0"/>
    <n v="1335"/>
  </r>
  <r>
    <x v="1"/>
    <x v="11"/>
    <s v="MMR012CMP045"/>
    <x v="4"/>
    <x v="1"/>
    <n v="1475"/>
  </r>
  <r>
    <x v="1"/>
    <x v="11"/>
    <s v="MMR012CMP045"/>
    <x v="5"/>
    <x v="0"/>
    <n v="190"/>
  </r>
  <r>
    <x v="1"/>
    <x v="11"/>
    <s v="MMR012CMP045"/>
    <x v="5"/>
    <x v="1"/>
    <n v="180"/>
  </r>
  <r>
    <x v="0"/>
    <x v="12"/>
    <s v="MMR012CMP019"/>
    <x v="0"/>
    <x v="0"/>
    <n v="206"/>
  </r>
  <r>
    <x v="0"/>
    <x v="12"/>
    <s v="MMR012CMP019"/>
    <x v="0"/>
    <x v="1"/>
    <n v="211"/>
  </r>
  <r>
    <x v="0"/>
    <x v="12"/>
    <s v="MMR012CMP019"/>
    <x v="1"/>
    <x v="0"/>
    <n v="198"/>
  </r>
  <r>
    <x v="0"/>
    <x v="12"/>
    <s v="MMR012CMP019"/>
    <x v="1"/>
    <x v="1"/>
    <n v="218"/>
  </r>
  <r>
    <x v="0"/>
    <x v="12"/>
    <s v="MMR012CMP019"/>
    <x v="2"/>
    <x v="0"/>
    <n v="135"/>
  </r>
  <r>
    <x v="0"/>
    <x v="12"/>
    <s v="MMR012CMP019"/>
    <x v="2"/>
    <x v="1"/>
    <n v="139"/>
  </r>
  <r>
    <x v="0"/>
    <x v="12"/>
    <s v="MMR012CMP019"/>
    <x v="3"/>
    <x v="0"/>
    <n v="0"/>
  </r>
  <r>
    <x v="0"/>
    <x v="12"/>
    <s v="MMR012CMP019"/>
    <x v="3"/>
    <x v="1"/>
    <n v="0"/>
  </r>
  <r>
    <x v="0"/>
    <x v="12"/>
    <s v="MMR012CMP019"/>
    <x v="4"/>
    <x v="0"/>
    <n v="575"/>
  </r>
  <r>
    <x v="0"/>
    <x v="12"/>
    <s v="MMR012CMP019"/>
    <x v="4"/>
    <x v="1"/>
    <n v="641"/>
  </r>
  <r>
    <x v="0"/>
    <x v="12"/>
    <s v="MMR012CMP019"/>
    <x v="5"/>
    <x v="0"/>
    <n v="35"/>
  </r>
  <r>
    <x v="0"/>
    <x v="12"/>
    <s v="MMR012CMP019"/>
    <x v="5"/>
    <x v="1"/>
    <n v="47"/>
  </r>
  <r>
    <x v="2"/>
    <x v="13"/>
    <s v="MMR012CMP014"/>
    <x v="0"/>
    <x v="0"/>
    <n v="224"/>
  </r>
  <r>
    <x v="2"/>
    <x v="13"/>
    <s v="MMR012CMP014"/>
    <x v="0"/>
    <x v="1"/>
    <n v="235"/>
  </r>
  <r>
    <x v="2"/>
    <x v="13"/>
    <s v="MMR012CMP014"/>
    <x v="1"/>
    <x v="0"/>
    <n v="236"/>
  </r>
  <r>
    <x v="2"/>
    <x v="13"/>
    <s v="MMR012CMP014"/>
    <x v="1"/>
    <x v="1"/>
    <n v="244"/>
  </r>
  <r>
    <x v="2"/>
    <x v="13"/>
    <s v="MMR012CMP014"/>
    <x v="2"/>
    <x v="0"/>
    <n v="200"/>
  </r>
  <r>
    <x v="2"/>
    <x v="13"/>
    <s v="MMR012CMP014"/>
    <x v="2"/>
    <x v="1"/>
    <n v="206"/>
  </r>
  <r>
    <x v="2"/>
    <x v="13"/>
    <s v="MMR012CMP014"/>
    <x v="3"/>
    <x v="0"/>
    <n v="174"/>
  </r>
  <r>
    <x v="2"/>
    <x v="13"/>
    <s v="MMR012CMP014"/>
    <x v="3"/>
    <x v="1"/>
    <n v="248"/>
  </r>
  <r>
    <x v="2"/>
    <x v="13"/>
    <s v="MMR012CMP014"/>
    <x v="4"/>
    <x v="0"/>
    <n v="336"/>
  </r>
  <r>
    <x v="2"/>
    <x v="13"/>
    <s v="MMR012CMP014"/>
    <x v="4"/>
    <x v="1"/>
    <n v="436"/>
  </r>
  <r>
    <x v="2"/>
    <x v="13"/>
    <s v="MMR012CMP014"/>
    <x v="5"/>
    <x v="0"/>
    <n v="62"/>
  </r>
  <r>
    <x v="2"/>
    <x v="13"/>
    <s v="MMR012CMP014"/>
    <x v="5"/>
    <x v="1"/>
    <n v="55"/>
  </r>
  <r>
    <x v="1"/>
    <x v="14"/>
    <s v="MMR012CMP046"/>
    <x v="0"/>
    <x v="0"/>
    <n v="916"/>
  </r>
  <r>
    <x v="1"/>
    <x v="14"/>
    <s v="MMR012CMP046"/>
    <x v="0"/>
    <x v="1"/>
    <n v="1030"/>
  </r>
  <r>
    <x v="1"/>
    <x v="14"/>
    <s v="MMR012CMP046"/>
    <x v="1"/>
    <x v="0"/>
    <n v="1024"/>
  </r>
  <r>
    <x v="1"/>
    <x v="14"/>
    <s v="MMR012CMP046"/>
    <x v="1"/>
    <x v="1"/>
    <n v="984"/>
  </r>
  <r>
    <x v="1"/>
    <x v="14"/>
    <s v="MMR012CMP046"/>
    <x v="2"/>
    <x v="0"/>
    <n v="958"/>
  </r>
  <r>
    <x v="1"/>
    <x v="14"/>
    <s v="MMR012CMP046"/>
    <x v="2"/>
    <x v="1"/>
    <n v="922"/>
  </r>
  <r>
    <x v="1"/>
    <x v="14"/>
    <s v="MMR012CMP046"/>
    <x v="3"/>
    <x v="0"/>
    <n v="998"/>
  </r>
  <r>
    <x v="1"/>
    <x v="14"/>
    <s v="MMR012CMP046"/>
    <x v="3"/>
    <x v="1"/>
    <n v="1212"/>
  </r>
  <r>
    <x v="1"/>
    <x v="14"/>
    <s v="MMR012CMP046"/>
    <x v="4"/>
    <x v="0"/>
    <n v="1546"/>
  </r>
  <r>
    <x v="1"/>
    <x v="14"/>
    <s v="MMR012CMP046"/>
    <x v="4"/>
    <x v="1"/>
    <n v="1808"/>
  </r>
  <r>
    <x v="1"/>
    <x v="14"/>
    <s v="MMR012CMP046"/>
    <x v="5"/>
    <x v="0"/>
    <n v="200"/>
  </r>
  <r>
    <x v="1"/>
    <x v="14"/>
    <s v="MMR012CMP046"/>
    <x v="5"/>
    <x v="1"/>
    <n v="166"/>
  </r>
  <r>
    <x v="1"/>
    <x v="15"/>
    <s v="MMR012CMP048"/>
    <x v="0"/>
    <x v="0"/>
    <n v="557"/>
  </r>
  <r>
    <x v="1"/>
    <x v="15"/>
    <s v="MMR012CMP048"/>
    <x v="0"/>
    <x v="1"/>
    <n v="536"/>
  </r>
  <r>
    <x v="1"/>
    <x v="15"/>
    <s v="MMR012CMP048"/>
    <x v="1"/>
    <x v="0"/>
    <n v="485"/>
  </r>
  <r>
    <x v="1"/>
    <x v="15"/>
    <s v="MMR012CMP048"/>
    <x v="1"/>
    <x v="1"/>
    <n v="535"/>
  </r>
  <r>
    <x v="1"/>
    <x v="15"/>
    <s v="MMR012CMP048"/>
    <x v="2"/>
    <x v="0"/>
    <n v="438"/>
  </r>
  <r>
    <x v="1"/>
    <x v="15"/>
    <s v="MMR012CMP048"/>
    <x v="2"/>
    <x v="1"/>
    <n v="439"/>
  </r>
  <r>
    <x v="1"/>
    <x v="15"/>
    <s v="MMR012CMP048"/>
    <x v="3"/>
    <x v="0"/>
    <n v="645"/>
  </r>
  <r>
    <x v="1"/>
    <x v="15"/>
    <s v="MMR012CMP048"/>
    <x v="3"/>
    <x v="1"/>
    <n v="460"/>
  </r>
  <r>
    <x v="1"/>
    <x v="15"/>
    <s v="MMR012CMP048"/>
    <x v="4"/>
    <x v="0"/>
    <n v="756"/>
  </r>
  <r>
    <x v="1"/>
    <x v="15"/>
    <s v="MMR012CMP048"/>
    <x v="4"/>
    <x v="1"/>
    <n v="724"/>
  </r>
  <r>
    <x v="1"/>
    <x v="15"/>
    <s v="MMR012CMP048"/>
    <x v="5"/>
    <x v="0"/>
    <n v="134"/>
  </r>
  <r>
    <x v="1"/>
    <x v="15"/>
    <s v="MMR012CMP048"/>
    <x v="5"/>
    <x v="1"/>
    <n v="129"/>
  </r>
  <r>
    <x v="1"/>
    <x v="16"/>
    <s v="MMR012CMP039"/>
    <x v="0"/>
    <x v="0"/>
    <n v="251"/>
  </r>
  <r>
    <x v="1"/>
    <x v="16"/>
    <s v="MMR012CMP039"/>
    <x v="0"/>
    <x v="1"/>
    <n v="219"/>
  </r>
  <r>
    <x v="1"/>
    <x v="16"/>
    <s v="MMR012CMP039"/>
    <x v="1"/>
    <x v="0"/>
    <n v="181"/>
  </r>
  <r>
    <x v="1"/>
    <x v="16"/>
    <s v="MMR012CMP039"/>
    <x v="1"/>
    <x v="1"/>
    <n v="165"/>
  </r>
  <r>
    <x v="1"/>
    <x v="16"/>
    <s v="MMR012CMP039"/>
    <x v="2"/>
    <x v="0"/>
    <n v="148"/>
  </r>
  <r>
    <x v="1"/>
    <x v="16"/>
    <s v="MMR012CMP039"/>
    <x v="2"/>
    <x v="1"/>
    <n v="136"/>
  </r>
  <r>
    <x v="1"/>
    <x v="16"/>
    <s v="MMR012CMP039"/>
    <x v="3"/>
    <x v="0"/>
    <n v="141"/>
  </r>
  <r>
    <x v="1"/>
    <x v="16"/>
    <s v="MMR012CMP039"/>
    <x v="3"/>
    <x v="1"/>
    <n v="224"/>
  </r>
  <r>
    <x v="1"/>
    <x v="16"/>
    <s v="MMR012CMP039"/>
    <x v="4"/>
    <x v="0"/>
    <n v="323"/>
  </r>
  <r>
    <x v="1"/>
    <x v="16"/>
    <s v="MMR012CMP039"/>
    <x v="4"/>
    <x v="1"/>
    <n v="339"/>
  </r>
  <r>
    <x v="1"/>
    <x v="16"/>
    <s v="MMR012CMP039"/>
    <x v="5"/>
    <x v="0"/>
    <n v="50"/>
  </r>
  <r>
    <x v="1"/>
    <x v="16"/>
    <s v="MMR012CMP039"/>
    <x v="5"/>
    <x v="1"/>
    <n v="63"/>
  </r>
</pivotCacheRecords>
</file>

<file path=xl/pivotCache/pivotCacheRecords6.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7.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7-01-31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7-01-31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7-01-31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7-01-31T00:00:00"/>
    <s v="140 HH (900 IDPs) displaced in 2012 / Increase of 10 new borns (Aug 2016) "/>
    <x v="0"/>
    <n v="0"/>
  </r>
  <r>
    <x v="0"/>
    <x v="0"/>
    <s v="MMR012"/>
    <s v="Maungdaw"/>
    <s v="MMR012D002"/>
    <x v="0"/>
    <s v="MMR012009"/>
    <s v="Laung Don"/>
    <s v="MMR012009025"/>
    <s v="Laung Done Zay Di Pyin"/>
    <n v="197868"/>
    <x v="4"/>
    <x v="4"/>
    <n v="92.338031000000001"/>
    <n v="21.066663999999999"/>
    <m/>
    <n v="8"/>
    <n v="58"/>
    <n v="7.375"/>
    <s v="Accessible by All"/>
    <s v="IDP"/>
    <x v="0"/>
    <m/>
    <m/>
    <x v="0"/>
    <s v="Muslim"/>
    <x v="0"/>
    <s v="Rural"/>
    <x v="0"/>
    <x v="0"/>
    <s v="Camp/Community Leader"/>
    <s v="Estimate"/>
    <d v="2017-01-31T00:00:00"/>
    <m/>
    <x v="0"/>
    <n v="0"/>
  </r>
  <r>
    <x v="0"/>
    <x v="0"/>
    <s v="MMR012"/>
    <s v="Maungdaw"/>
    <s v="MMR012D002"/>
    <x v="0"/>
    <s v="MMR012009"/>
    <s v="Myo Thu Gyi"/>
    <s v="MMR012009063"/>
    <s v="Ywar Haung"/>
    <n v="197990"/>
    <x v="5"/>
    <x v="5"/>
    <n v="92.401293999999993"/>
    <n v="20.824517"/>
    <m/>
    <n v="10"/>
    <n v="57"/>
    <n v="7"/>
    <s v="Accessible by All"/>
    <s v="IDP"/>
    <x v="0"/>
    <m/>
    <m/>
    <x v="0"/>
    <s v="Muslim"/>
    <x v="0"/>
    <s v="Urban"/>
    <x v="0"/>
    <x v="0"/>
    <s v="Camp/Community Leader"/>
    <s v="Estimate"/>
    <d v="2017-01-31T00:00:00"/>
    <s v="63 HH (369 IDPs) displaced in 2012 / 50 HH (316 IDPs) returned in 2013&amp;14 / 3 HH (20 IDPs) departed in 2015"/>
    <x v="0"/>
    <n v="0"/>
  </r>
  <r>
    <x v="0"/>
    <x v="0"/>
    <s v="MMR012"/>
    <s v="Maungdaw"/>
    <s v="MMR012D002"/>
    <x v="0"/>
    <s v="MMR012009"/>
    <s v="Myo Thu Gyi"/>
    <s v="MMR012009063"/>
    <s v="Lay Maing Ward"/>
    <s v="MMR012009701506"/>
    <x v="6"/>
    <x v="6"/>
    <n v="92.416683000000006"/>
    <n v="20.833831"/>
    <m/>
    <n v="35"/>
    <n v="243"/>
    <n v="7.5384615384615383"/>
    <s v="Accessible by All"/>
    <s v="IDP"/>
    <x v="0"/>
    <m/>
    <m/>
    <x v="0"/>
    <s v="Muslim"/>
    <x v="0"/>
    <s v="Urban"/>
    <x v="0"/>
    <x v="0"/>
    <s v="Camp/Community Leader"/>
    <s v="Estimate"/>
    <d v="2017-01-31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7"/>
    <x v="7"/>
    <n v="92.367852999999997"/>
    <n v="20.825306000000001"/>
    <m/>
    <n v="4"/>
    <n v="30"/>
    <n v="7.6"/>
    <s v="Accessible by All"/>
    <s v="IDP"/>
    <x v="0"/>
    <m/>
    <m/>
    <x v="0"/>
    <s v="Muslim"/>
    <x v="0"/>
    <s v="Urban"/>
    <x v="0"/>
    <x v="0"/>
    <s v="Camp/Community Leader"/>
    <s v="Estimate"/>
    <d v="2017-01-31T00:00:00"/>
    <s v="8 HH, 62 IDPs displaced in 2012._x000a_3 families ( 24 people) returned in 2013/2014._x000a_1 family ( 8 people) settled in 2015."/>
    <x v="0"/>
    <n v="0"/>
  </r>
  <r>
    <x v="0"/>
    <x v="0"/>
    <s v="MMR012"/>
    <s v="Sittwe"/>
    <s v="MMR012D001"/>
    <x v="1"/>
    <s v="MMR012007"/>
    <s v="Pein Hne Chaung"/>
    <s v="MMR012007049"/>
    <s v="Kyauk Pyin Seik"/>
    <n v="197537"/>
    <x v="8"/>
    <x v="8"/>
    <n v="92.985095000000001"/>
    <n v="20.108101999999999"/>
    <m/>
    <n v="1238"/>
    <n v="4280"/>
    <n v="3.7019064124783361"/>
    <s v="Accessible by All"/>
    <s v="IDP"/>
    <x v="1"/>
    <m/>
    <m/>
    <x v="0"/>
    <s v="Muslim"/>
    <x v="0"/>
    <s v="Rural"/>
    <x v="1"/>
    <x v="1"/>
    <s v="Individual Household"/>
    <s v="Household Headcount Survey"/>
    <d v="2017-03-31T00:00:00"/>
    <s v="Source by CCCM Site Profile-May,2017"/>
    <x v="1"/>
    <n v="0.62035541195476573"/>
  </r>
  <r>
    <x v="0"/>
    <x v="0"/>
    <s v="MMR012"/>
    <s v="Sittwe"/>
    <s v="MMR012D001"/>
    <x v="2"/>
    <s v="MMR012001"/>
    <s v="San Pya Ward"/>
    <s v="MMR012002701"/>
    <s v="Ah Nauk San Pya Ward"/>
    <s v="MMR012001701522"/>
    <x v="9"/>
    <x v="9"/>
    <n v="92.875814000000005"/>
    <n v="20.128488999999998"/>
    <m/>
    <n v="397"/>
    <n v="2240"/>
    <n v="5.1612090680100753"/>
    <s v="Accessible by All"/>
    <s v="IDP"/>
    <x v="1"/>
    <m/>
    <m/>
    <x v="0"/>
    <s v="Muslim"/>
    <x v="0"/>
    <s v="Rural"/>
    <x v="1"/>
    <x v="1"/>
    <s v="Individual Household"/>
    <s v="Household Headcount Survey"/>
    <d v="2017-03-31T00:00:00"/>
    <s v="Source by CCCM Site Profile-May,2017"/>
    <x v="1"/>
    <n v="1"/>
  </r>
  <r>
    <x v="0"/>
    <x v="0"/>
    <s v="MMR012"/>
    <s v="Sittwe"/>
    <s v="MMR012D001"/>
    <x v="2"/>
    <s v="MMR012001"/>
    <s v="Khaung Doke Kar"/>
    <s v="MMR012001025"/>
    <s v="Baw Du Hpa"/>
    <n v="196192"/>
    <x v="10"/>
    <x v="10"/>
    <n v="92.804803000000007"/>
    <n v="20.182987000000001"/>
    <m/>
    <n v="41"/>
    <n v="226"/>
    <n v="5.5121951219512191"/>
    <s v="Accessible by All"/>
    <s v="IDP"/>
    <x v="2"/>
    <m/>
    <m/>
    <x v="0"/>
    <s v="Muslim"/>
    <x v="0"/>
    <s v="Rural"/>
    <x v="0"/>
    <x v="0"/>
    <s v="Camp/Community Leader"/>
    <s v="Estimate"/>
    <d v="2017-01-31T00:00:00"/>
    <m/>
    <x v="0"/>
    <n v="0"/>
  </r>
  <r>
    <x v="0"/>
    <x v="0"/>
    <s v="MMR012"/>
    <s v="Sittwe"/>
    <s v="MMR012D001"/>
    <x v="2"/>
    <s v="MMR012001"/>
    <s v="Khaung Doke Kar"/>
    <s v="MMR012001025"/>
    <s v="Baw Du Hpa"/>
    <n v="196192"/>
    <x v="11"/>
    <x v="11"/>
    <n v="92.813028000000003"/>
    <n v="20.179417000000001"/>
    <m/>
    <n v="1011"/>
    <n v="4890"/>
    <n v="4.8655967903711135"/>
    <s v="Accessible by All"/>
    <s v="IDP"/>
    <x v="1"/>
    <m/>
    <m/>
    <x v="0"/>
    <s v="Muslim"/>
    <x v="0"/>
    <s v="Rural"/>
    <x v="1"/>
    <x v="2"/>
    <s v="Individual Household"/>
    <s v="Household Headcount Survey"/>
    <d v="2017-03-31T00:00:00"/>
    <s v="Source by CCCM Site Profile-May2017"/>
    <x v="2"/>
    <n v="1"/>
  </r>
  <r>
    <x v="0"/>
    <x v="0"/>
    <s v="MMR012"/>
    <s v="Kyaukpyu"/>
    <s v="MMR012D003"/>
    <x v="3"/>
    <s v="MMR012013"/>
    <s v="Kha Maung Chi Taing"/>
    <s v="MMR012013020"/>
    <s v="No (6) Ward"/>
    <s v="MMR012013701506"/>
    <x v="12"/>
    <x v="12"/>
    <n v="93.857592999999994"/>
    <n v="19.088283000000001"/>
    <m/>
    <n v="57"/>
    <n v="187"/>
    <n v="3.1166666666666667"/>
    <s v="Accessible by All"/>
    <s v="IDP"/>
    <x v="1"/>
    <m/>
    <m/>
    <x v="0"/>
    <s v="Muslim"/>
    <x v="0"/>
    <s v="Urban"/>
    <x v="0"/>
    <x v="0"/>
    <s v="Camp/Community Leader"/>
    <s v="Estimate"/>
    <d v="2017-01-31T00:00:00"/>
    <s v="Decrease of 3HH who moved to YNG (April 2016)"/>
    <x v="0"/>
    <n v="1"/>
  </r>
  <r>
    <x v="0"/>
    <x v="0"/>
    <s v="MMR012"/>
    <s v="Sittwe"/>
    <s v="MMR012D001"/>
    <x v="2"/>
    <s v="MMR012001"/>
    <s v="Khaung Doke Kar"/>
    <s v="MMR012001025"/>
    <s v="Baw Du Hpa"/>
    <n v="196192"/>
    <x v="13"/>
    <x v="13"/>
    <n v="92.807552000000001"/>
    <n v="20.181405999999999"/>
    <m/>
    <n v="1289"/>
    <n v="6967"/>
    <n v="5.3330763299922896"/>
    <s v="Accessible by All"/>
    <s v="IDP"/>
    <x v="1"/>
    <m/>
    <m/>
    <x v="0"/>
    <s v="Muslim"/>
    <x v="0"/>
    <s v="Rural"/>
    <x v="1"/>
    <x v="2"/>
    <s v="Individual Household"/>
    <s v="Household Headcount Survey"/>
    <d v="2017-03-31T00:00:00"/>
    <s v="Source by CCCM Site Profile-May2017"/>
    <x v="2"/>
    <n v="1"/>
  </r>
  <r>
    <x v="0"/>
    <x v="0"/>
    <s v="MMR012"/>
    <s v="Sittwe"/>
    <s v="MMR012D001"/>
    <x v="2"/>
    <s v="MMR012001"/>
    <s v="Bu May"/>
    <s v="MMR012001027"/>
    <s v="Dar Paing Ywar Thit"/>
    <n v="196206"/>
    <x v="14"/>
    <x v="14"/>
    <n v="92.827427"/>
    <n v="20.16846"/>
    <m/>
    <n v="1431"/>
    <n v="8208"/>
    <n v="5.8618468146027203"/>
    <s v="Accessible by All"/>
    <s v="IDP"/>
    <x v="1"/>
    <m/>
    <m/>
    <x v="0"/>
    <s v="Muslim"/>
    <x v="0"/>
    <s v="Rural"/>
    <x v="1"/>
    <x v="2"/>
    <s v="Individual Household"/>
    <s v="Household Headcount Survey"/>
    <d v="2017-03-31T00:00:00"/>
    <s v="Source by CCCM Site Profile-May2017"/>
    <x v="2"/>
    <n v="1"/>
  </r>
  <r>
    <x v="0"/>
    <x v="0"/>
    <s v="MMR012"/>
    <s v="Sittwe"/>
    <s v="MMR012D001"/>
    <x v="2"/>
    <s v="MMR012001"/>
    <s v="Bu May"/>
    <s v="MMR012001027"/>
    <s v="Dar Paing Ywar Thit"/>
    <n v="196206"/>
    <x v="15"/>
    <x v="15"/>
    <n v="92.830074999999994"/>
    <n v="20.167421999999998"/>
    <m/>
    <n v="518"/>
    <n v="2951"/>
    <n v="5.6969111969111967"/>
    <s v="Accessible by All"/>
    <s v="IDP"/>
    <x v="2"/>
    <m/>
    <m/>
    <x v="0"/>
    <s v="Muslim"/>
    <x v="0"/>
    <s v="Rural"/>
    <x v="0"/>
    <x v="0"/>
    <s v="Camp/Community Leader"/>
    <s v="Estimate"/>
    <d v="2017-01-31T00:00:00"/>
    <m/>
    <x v="0"/>
    <n v="0"/>
  </r>
  <r>
    <x v="0"/>
    <x v="0"/>
    <s v="MMR012"/>
    <s v="Sittwe"/>
    <s v="MMR012D001"/>
    <x v="4"/>
    <s v="MMR012004"/>
    <s v="Wa Kin"/>
    <s v="MMR012004028"/>
    <s v="Ni Din"/>
    <n v="196829"/>
    <x v="16"/>
    <x v="16"/>
    <n v="92.965980999999999"/>
    <n v="20.865687000000001"/>
    <m/>
    <n v="85"/>
    <n v="546"/>
    <n v="6.8"/>
    <s v="Accessible by All"/>
    <s v="IDP"/>
    <x v="0"/>
    <s v="Yes"/>
    <m/>
    <x v="0"/>
    <s v="Muslim"/>
    <x v="0"/>
    <s v="Rural"/>
    <x v="0"/>
    <x v="0"/>
    <s v="Camp/Community Leader"/>
    <s v="Household survey"/>
    <d v="2017-01-31T00:00:00"/>
    <s v="Increased of 15 IDPs (April) - UNHCR Protection"/>
    <x v="0"/>
    <n v="0.84705882352941175"/>
  </r>
  <r>
    <x v="0"/>
    <x v="0"/>
    <s v="MMR012"/>
    <s v="Sittwe"/>
    <s v="MMR012D001"/>
    <x v="2"/>
    <s v="MMR012001"/>
    <s v="Khaung Doke Kar"/>
    <s v="MMR012001025"/>
    <s v="Khaung Doke Kar"/>
    <n v="196191"/>
    <x v="17"/>
    <x v="17"/>
    <n v="92.823166999999998"/>
    <n v="20.181778000000001"/>
    <m/>
    <n v="799"/>
    <n v="4428"/>
    <n v="5.4411027568922306"/>
    <s v="Accessible by All"/>
    <s v="IDP"/>
    <x v="1"/>
    <m/>
    <m/>
    <x v="0"/>
    <s v="Muslim"/>
    <x v="0"/>
    <s v="Rural"/>
    <x v="1"/>
    <x v="1"/>
    <s v="Individual Household"/>
    <s v="Household Headcount Survey"/>
    <d v="2017-03-31T00:00:00"/>
    <s v="Source by CCCM Site Profile-May,2017"/>
    <x v="1"/>
    <n v="1"/>
  </r>
  <r>
    <x v="0"/>
    <x v="0"/>
    <s v="MMR012"/>
    <s v="Sittwe"/>
    <s v="MMR012D001"/>
    <x v="5"/>
    <s v="MMR012008"/>
    <s v="Koe Tan Kauk"/>
    <s v="MMR012008031"/>
    <s v="Chein Khar Li (Ku Lar)"/>
    <n v="197651"/>
    <x v="18"/>
    <x v="18"/>
    <n v="92.660360999999995"/>
    <n v="20.408453000000002"/>
    <m/>
    <n v="217"/>
    <n v="1297"/>
    <n v="5.8853211009174311"/>
    <s v="Accessible by All"/>
    <s v="IDP"/>
    <x v="1"/>
    <m/>
    <m/>
    <x v="0"/>
    <s v="Muslim"/>
    <x v="0"/>
    <s v="Rural"/>
    <x v="0"/>
    <x v="0"/>
    <s v="Camp/Community Leader"/>
    <s v="Estimate"/>
    <d v="2017-01-31T00:00:00"/>
    <m/>
    <x v="0"/>
    <n v="0.88479262672811065"/>
  </r>
  <r>
    <x v="0"/>
    <x v="0"/>
    <s v="MMR012"/>
    <s v="Sittwe"/>
    <s v="MMR012D001"/>
    <x v="5"/>
    <s v="MMR012008"/>
    <s v="Koe Tan Kauk"/>
    <s v="MMR012008031"/>
    <s v="Koe Tan Kauk Ywar Ma"/>
    <n v="197652"/>
    <x v="19"/>
    <x v="19"/>
    <n v="92.639589000000001"/>
    <n v="20.447261000000001"/>
    <m/>
    <n v="193"/>
    <n v="961"/>
    <n v="4.624365482233503"/>
    <s v="Accessible by All"/>
    <s v="IDP"/>
    <x v="1"/>
    <m/>
    <m/>
    <x v="0"/>
    <s v="Muslim"/>
    <x v="0"/>
    <s v="Rural"/>
    <x v="0"/>
    <x v="0"/>
    <s v="Camp/Community Leader"/>
    <s v="Estimate"/>
    <d v="2017-01-31T00:00:00"/>
    <m/>
    <x v="0"/>
    <n v="1"/>
  </r>
  <r>
    <x v="0"/>
    <x v="0"/>
    <s v="MMR012"/>
    <s v="Sittwe"/>
    <s v="MMR012D001"/>
    <x v="5"/>
    <s v="MMR012008"/>
    <s v="Chut Pyin"/>
    <s v="MMR012008006"/>
    <s v="Chut Pyin"/>
    <n v="197590"/>
    <x v="20"/>
    <x v="20"/>
    <n v="92.640022000000002"/>
    <n v="20.569219"/>
    <m/>
    <n v="251"/>
    <n v="1308"/>
    <n v="4.9240000000000004"/>
    <s v="Accessible by All"/>
    <s v="IDP"/>
    <x v="0"/>
    <m/>
    <m/>
    <x v="0"/>
    <s v="Muslim"/>
    <x v="0"/>
    <s v="Rural"/>
    <x v="0"/>
    <x v="0"/>
    <s v="Camp/Community Leader"/>
    <s v="Estimate"/>
    <d v="2017-01-31T00:00:00"/>
    <m/>
    <x v="0"/>
    <n v="0"/>
  </r>
  <r>
    <x v="0"/>
    <x v="0"/>
    <s v="MMR012"/>
    <s v="Sittwe"/>
    <s v="MMR012D001"/>
    <x v="1"/>
    <s v="MMR012007"/>
    <s v="Pein Hne Chaung"/>
    <s v="MMR012007049"/>
    <s v="Kyein Ni Pyin"/>
    <s v="197533"/>
    <x v="21"/>
    <x v="21"/>
    <n v="93.010368999999997"/>
    <n v="20.090183"/>
    <m/>
    <n v="1012"/>
    <n v="5125"/>
    <n v="4.8249227600411899"/>
    <s v="Accessible by All"/>
    <s v="IDP"/>
    <x v="1"/>
    <m/>
    <m/>
    <x v="0"/>
    <s v="Muslim"/>
    <x v="0"/>
    <s v="Rural"/>
    <x v="1"/>
    <x v="2"/>
    <m/>
    <s v="Household Headcount Survey"/>
    <d v="2017-03-31T00:00:00"/>
    <s v="Source by CCCM Site Profile-May2017"/>
    <x v="2"/>
    <n v="0.95652173913043481"/>
  </r>
  <r>
    <x v="0"/>
    <x v="0"/>
    <s v="MMR012"/>
    <s v="Sittwe"/>
    <s v="MMR012D001"/>
    <x v="2"/>
    <s v="MMR012001"/>
    <s v="Bu May"/>
    <s v="MMR012001027"/>
    <s v="Bu May"/>
    <n v="196200"/>
    <x v="22"/>
    <x v="22"/>
    <n v="92.831000000000003"/>
    <n v="20.185917"/>
    <m/>
    <n v="622"/>
    <n v="3435"/>
    <n v="5.3717948717948714"/>
    <s v="Accessible by All"/>
    <s v="IDP"/>
    <x v="1"/>
    <m/>
    <m/>
    <x v="0"/>
    <s v="Muslim"/>
    <x v="0"/>
    <s v="Rural"/>
    <x v="1"/>
    <x v="3"/>
    <s v="Individual Household"/>
    <s v="Household Headcount Survey"/>
    <d v="2017-03-31T00:00:00"/>
    <m/>
    <x v="3"/>
    <n v="1"/>
  </r>
  <r>
    <x v="0"/>
    <x v="0"/>
    <s v="MMR012"/>
    <s v="Sittwe"/>
    <s v="MMR012D001"/>
    <x v="1"/>
    <s v="MMR012007"/>
    <s v="Pon Nar Gyi"/>
    <s v="MMR012007012"/>
    <s v="Cha Eik"/>
    <s v="197414"/>
    <x v="23"/>
    <x v="23"/>
    <n v="93.154551999999995"/>
    <n v="20.073437999999999"/>
    <m/>
    <n v="856"/>
    <n v="3946"/>
    <n v="4.7418321588725201"/>
    <s v="Accessible by All"/>
    <s v="IDP"/>
    <x v="1"/>
    <m/>
    <m/>
    <x v="0"/>
    <s v="Muslim"/>
    <x v="0"/>
    <s v="Rural"/>
    <x v="1"/>
    <x v="1"/>
    <m/>
    <s v="Household Headcount Survey"/>
    <d v="2017-03-31T00:00:00"/>
    <s v="Source by CCCM Site Profile-May,2017"/>
    <x v="1"/>
    <n v="0"/>
  </r>
  <r>
    <x v="0"/>
    <x v="0"/>
    <s v="MMR012"/>
    <s v="Sittwe"/>
    <s v="MMR012D001"/>
    <x v="2"/>
    <s v="MMR012001"/>
    <s v="Say Tha Mar"/>
    <s v="MMR012001010"/>
    <s v="Ohn Taw Shey"/>
    <n v="196158"/>
    <x v="24"/>
    <x v="24"/>
    <n v="92.774193999999994"/>
    <n v="20.206778"/>
    <m/>
    <n v="681"/>
    <n v="3408"/>
    <n v="5.221879815100154"/>
    <s v="Accessible by All"/>
    <s v="IDP"/>
    <x v="1"/>
    <m/>
    <m/>
    <x v="0"/>
    <s v="Muslim"/>
    <x v="0"/>
    <s v="Rural"/>
    <x v="1"/>
    <x v="2"/>
    <s v="Individual Household"/>
    <s v="Household Headcount Survey"/>
    <d v="2017-03-31T00:00:00"/>
    <s v="Source by CCCM Site Profile-May2017"/>
    <x v="2"/>
    <n v="0.9397944199706314"/>
  </r>
  <r>
    <x v="0"/>
    <x v="0"/>
    <s v="MMR012"/>
    <s v="Sittwe"/>
    <s v="MMR012D001"/>
    <x v="2"/>
    <s v="MMR012001"/>
    <s v="Khaung Doke Kar"/>
    <s v="MMR012001025"/>
    <s v="Baw Du Hpa"/>
    <n v="196192"/>
    <x v="25"/>
    <x v="25"/>
    <n v="92.798880999999994"/>
    <n v="20.18994"/>
    <m/>
    <n v="2640"/>
    <n v="13655"/>
    <n v="5.1939901103081016"/>
    <s v="Accessible by All"/>
    <s v="IDP"/>
    <x v="1"/>
    <m/>
    <m/>
    <x v="0"/>
    <s v="Muslim"/>
    <x v="0"/>
    <s v="Rural"/>
    <x v="1"/>
    <x v="2"/>
    <s v="Individual Household"/>
    <s v="Household Headcount Survey"/>
    <d v="2017-03-31T00:00:00"/>
    <s v="Source by CCCM Site Profile-May2017"/>
    <x v="2"/>
    <n v="1"/>
  </r>
  <r>
    <x v="0"/>
    <x v="0"/>
    <s v="MMR012"/>
    <s v="Kyaukpyu"/>
    <s v="MMR012D003"/>
    <x v="6"/>
    <s v="MMR012011"/>
    <s v="Taung Yin"/>
    <s v="MMR012011002"/>
    <s v="Ka Nyin Taw"/>
    <n v="198469"/>
    <x v="26"/>
    <x v="26"/>
    <n v="93.552452000000002"/>
    <n v="19.421102000000001"/>
    <m/>
    <n v="65"/>
    <n v="327"/>
    <n v="5.0307692307692307"/>
    <s v="Accessible by All"/>
    <s v="IDP"/>
    <x v="1"/>
    <m/>
    <m/>
    <x v="1"/>
    <s v="Buddhist"/>
    <x v="1"/>
    <s v="Rural"/>
    <x v="0"/>
    <x v="0"/>
    <s v="Camp/Community Leader"/>
    <s v="Estimate"/>
    <d v="2017-01-31T00:00:00"/>
    <m/>
    <x v="0"/>
    <n v="0.86153846153846159"/>
  </r>
  <r>
    <x v="0"/>
    <x v="0"/>
    <s v="MMR012"/>
    <s v="Kyaukpyu"/>
    <s v="MMR012D003"/>
    <x v="6"/>
    <s v="MMR012011"/>
    <s v="Gone Chein"/>
    <s v="MMR012011006"/>
    <s v="Say Poke Kay"/>
    <n v="198486"/>
    <x v="27"/>
    <x v="27"/>
    <n v="93.512326000000002"/>
    <n v="19.424576999999999"/>
    <m/>
    <n v="427"/>
    <n v="1274"/>
    <n v="2.9836065573770494"/>
    <s v="Accessible by All"/>
    <s v="IDP"/>
    <x v="1"/>
    <m/>
    <m/>
    <x v="0"/>
    <s v="Muslim"/>
    <x v="0"/>
    <s v="Rural"/>
    <x v="0"/>
    <x v="0"/>
    <s v="Camp/Community Leader"/>
    <s v="Estimate"/>
    <d v="2017-01-31T00:00:00"/>
    <m/>
    <x v="0"/>
    <n v="0.99297423887587821"/>
  </r>
  <r>
    <x v="0"/>
    <x v="0"/>
    <s v="MMR012"/>
    <s v="Kyaukpyu"/>
    <s v="MMR012D003"/>
    <x v="3"/>
    <s v="MMR012013"/>
    <s v="Kha Maung Chi Taing"/>
    <s v="MMR012013020"/>
    <s v="Kha Maung Chay Taing"/>
    <s v="198950"/>
    <x v="28"/>
    <x v="28"/>
    <n v="93.865170000000006"/>
    <n v="19.091054"/>
    <m/>
    <n v="18"/>
    <n v="77"/>
    <n v="4.2777777777777777"/>
    <s v="Accessible by All"/>
    <s v="IDP"/>
    <x v="0"/>
    <m/>
    <m/>
    <x v="1"/>
    <s v="Buddhist"/>
    <x v="1"/>
    <s v="Rural"/>
    <x v="0"/>
    <x v="0"/>
    <s v="Camp/Community Leader"/>
    <s v="Estimate"/>
    <d v="2017-01-31T00:00:00"/>
    <m/>
    <x v="0"/>
    <n v="0"/>
  </r>
  <r>
    <x v="0"/>
    <x v="0"/>
    <s v="MMR012"/>
    <s v="Sittwe"/>
    <s v="MMR012D001"/>
    <x v="2"/>
    <s v="MMR012001"/>
    <s v="Khaung Doke Kar"/>
    <s v="MMR012001025"/>
    <s v="Baw Du Hpa"/>
    <n v="196192"/>
    <x v="29"/>
    <x v="29"/>
    <n v="92.802295999999998"/>
    <n v="20.185092000000001"/>
    <m/>
    <n v="2256"/>
    <n v="11659"/>
    <n v="5.2180115916183683"/>
    <s v="Accessible by All"/>
    <s v="IDP"/>
    <x v="1"/>
    <m/>
    <m/>
    <x v="0"/>
    <s v="Muslim"/>
    <x v="0"/>
    <s v="Rural"/>
    <x v="1"/>
    <x v="1"/>
    <s v="Individual Household"/>
    <s v="Household Headcount Survey"/>
    <d v="2017-03-31T00:00:00"/>
    <s v="Source by CCCM Site Profile-May,2017"/>
    <x v="1"/>
    <n v="1"/>
  </r>
  <r>
    <x v="0"/>
    <x v="0"/>
    <s v="MMR012"/>
    <s v="Sittwe"/>
    <s v="MMR012D001"/>
    <x v="2"/>
    <s v="MMR012001"/>
    <s v="Say Tha Mar"/>
    <s v="MMR012001010"/>
    <s v="Say Tha Mar Gyi"/>
    <n v="196154"/>
    <x v="30"/>
    <x v="30"/>
    <n v="92.792479999999998"/>
    <n v="20.202525000000001"/>
    <m/>
    <n v="2497"/>
    <n v="12273"/>
    <n v="4.9991789819376029"/>
    <s v="Accessible by All"/>
    <s v="IDP"/>
    <x v="1"/>
    <m/>
    <m/>
    <x v="0"/>
    <s v="Muslim"/>
    <x v="0"/>
    <s v="Rural"/>
    <x v="1"/>
    <x v="2"/>
    <s v="Individual Household"/>
    <s v="Household Headcount Survey"/>
    <d v="2017-03-31T00:00:00"/>
    <s v="Source by CCCM Site Profile-May2017"/>
    <x v="2"/>
    <n v="1"/>
  </r>
  <r>
    <x v="0"/>
    <x v="0"/>
    <s v="MMR012"/>
    <s v="Sittwe"/>
    <s v="MMR012D001"/>
    <x v="1"/>
    <s v="MMR012007"/>
    <s v="Sin Tet Maw"/>
    <s v="MMR012007051"/>
    <s v="Sin Tet Maw (Ku Lar)"/>
    <n v="197548"/>
    <x v="31"/>
    <x v="31"/>
    <n v="92.993758999999997"/>
    <n v="20.064226000000001"/>
    <m/>
    <n v="534"/>
    <n v="2683"/>
    <n v="3.7519500780031203"/>
    <s v="Accessible by All"/>
    <s v="IDP"/>
    <x v="1"/>
    <m/>
    <m/>
    <x v="2"/>
    <s v="Muslim"/>
    <x v="2"/>
    <s v="Rural"/>
    <x v="1"/>
    <x v="2"/>
    <s v="Individual Household"/>
    <s v="Household Headcount Survey"/>
    <d v="2017-03-31T00:00:00"/>
    <s v="Source by CCCM Site Profile-May2017"/>
    <x v="2"/>
    <n v="1"/>
  </r>
  <r>
    <x v="0"/>
    <x v="0"/>
    <s v="MMR012"/>
    <s v="Sittwe"/>
    <s v="MMR012D001"/>
    <x v="7"/>
    <s v="MMR012006"/>
    <s v="Ah Ngu"/>
    <s v="MMR012006001"/>
    <s v="Pyin Taw Che"/>
    <n v="217973"/>
    <x v="32"/>
    <x v="32"/>
    <n v="93.370037999999994"/>
    <n v="20.037655000000001"/>
    <m/>
    <n v="698"/>
    <n v="2656"/>
    <n v="4.043413173652695"/>
    <s v="Accessible by All"/>
    <s v="IDP"/>
    <x v="1"/>
    <m/>
    <m/>
    <x v="0"/>
    <s v="Muslim"/>
    <x v="0"/>
    <s v="Urban"/>
    <x v="0"/>
    <x v="4"/>
    <s v="Individual Household"/>
    <s v="Household Headcount Survey"/>
    <d v="2017-03-31T00:00:00"/>
    <s v="Decreased 29 HH and -64 IDPs by CCCM Site Profile-March,2017"/>
    <x v="4"/>
    <n v="1"/>
  </r>
  <r>
    <x v="0"/>
    <x v="0"/>
    <s v="MMR012"/>
    <s v="Sittwe"/>
    <s v="MMR012D001"/>
    <x v="2"/>
    <s v="MMR012001"/>
    <s v="Bu May"/>
    <s v="MMR012001027"/>
    <s v="Thea Chaung Ku Lar"/>
    <n v="196211"/>
    <x v="33"/>
    <x v="33"/>
    <n v="92.839416999999997"/>
    <n v="20.1585"/>
    <m/>
    <n v="2145"/>
    <n v="11764"/>
    <n v="5.4372960372960373"/>
    <s v="Accessible by All"/>
    <s v="IDP"/>
    <x v="0"/>
    <m/>
    <m/>
    <x v="0"/>
    <s v="Muslim"/>
    <x v="0"/>
    <s v="Rural"/>
    <x v="1"/>
    <x v="1"/>
    <s v="Individual Household"/>
    <s v="Household Headcount Survey"/>
    <d v="2017-03-31T00:00:00"/>
    <s v="Source by CCCM Site Profile-March,2017"/>
    <x v="1"/>
    <n v="0"/>
  </r>
  <r>
    <x v="0"/>
    <x v="0"/>
    <s v="MMR012"/>
    <s v="Sittwe"/>
    <s v="MMR012D001"/>
    <x v="2"/>
    <s v="MMR012001"/>
    <s v="Bu May"/>
    <s v="MMR012001027"/>
    <s v="Kha War De Ywar Haung"/>
    <n v="196186"/>
    <x v="34"/>
    <x v="34"/>
    <n v="92.831879000000001"/>
    <n v="20.179939999999998"/>
    <m/>
    <n v="997"/>
    <n v="5838"/>
    <n v="5.7479674796747968"/>
    <s v="Accessible by All"/>
    <s v="IDP"/>
    <x v="1"/>
    <m/>
    <m/>
    <x v="0"/>
    <s v="Muslim"/>
    <x v="0"/>
    <s v="Rural"/>
    <x v="1"/>
    <x v="3"/>
    <s v="Individual Household"/>
    <s v="Household Headcount Survey"/>
    <d v="2017-03-31T00:00:00"/>
    <s v="Increased 5 IDPs by CCCM Site Profile-March,2017"/>
    <x v="3"/>
    <n v="0.9869608826479439"/>
  </r>
  <r>
    <x v="0"/>
    <x v="0"/>
    <s v="MMR012"/>
    <s v="Sittwe"/>
    <s v="MMR012D001"/>
    <x v="2"/>
    <s v="MMR012001"/>
    <s v="Bu May"/>
    <s v="MMR012001027"/>
    <s v="Kha War De Ywar Haung"/>
    <n v="196186"/>
    <x v="35"/>
    <x v="35"/>
    <n v="92.842230000000001"/>
    <n v="20.181742"/>
    <m/>
    <n v="496"/>
    <n v="2942"/>
    <n v="5.931451612903226"/>
    <s v="Accessible by All"/>
    <s v="IDP"/>
    <x v="2"/>
    <m/>
    <m/>
    <x v="0"/>
    <s v="Muslim"/>
    <x v="0"/>
    <s v="Rural"/>
    <x v="0"/>
    <x v="0"/>
    <s v="Camp/Community Leader"/>
    <s v="Estimate"/>
    <d v="2017-01-31T00:00:00"/>
    <m/>
    <x v="0"/>
    <n v="0"/>
  </r>
  <r>
    <x v="1"/>
    <x v="0"/>
    <s v="MMR012"/>
    <s v="Sittwe"/>
    <s v="MMR012D001"/>
    <x v="1"/>
    <s v="MMR012007"/>
    <s v="Pon Nar Gyi"/>
    <s v="MMR012007012"/>
    <s v="Cha Eik"/>
    <s v="197414"/>
    <x v="36"/>
    <x v="23"/>
    <n v="93.154551999999995"/>
    <n v="20.073437999999999"/>
    <m/>
    <n v="891"/>
    <n v="4239"/>
    <n v="4.7418321588725201"/>
    <s v="Accessible by All"/>
    <m/>
    <x v="3"/>
    <m/>
    <m/>
    <x v="0"/>
    <s v="Muslim"/>
    <x v="0"/>
    <s v="Rural"/>
    <x v="2"/>
    <x v="5"/>
    <s v="Individual Household"/>
    <s v="Household Headcount Survey"/>
    <d v="2017-01-31T00:00:00"/>
    <s v="891 HH (4,239 IDPs) relocated to Individual Housing (July 2016) / Increase of 49 IDPs (September 2016) as update of LWF."/>
    <x v="5"/>
    <n v="0"/>
  </r>
  <r>
    <x v="1"/>
    <x v="0"/>
    <s v="MMR012"/>
    <s v="Sittwe"/>
    <s v="MMR012D001"/>
    <x v="2"/>
    <s v="MMR012001"/>
    <s v="Set Yon Su Ward"/>
    <s v="MMR012001701"/>
    <s v="Set Yon Su Ward"/>
    <s v="MMR012001701526"/>
    <x v="37"/>
    <x v="36"/>
    <n v="92.879138999999995"/>
    <n v="20.155805999999998"/>
    <m/>
    <n v="151"/>
    <n v="654"/>
    <n v="4.2384105960264904"/>
    <s v="Accessible by All"/>
    <m/>
    <x v="3"/>
    <m/>
    <m/>
    <x v="1"/>
    <s v="Buddhist"/>
    <x v="1"/>
    <s v="Urban"/>
    <x v="2"/>
    <x v="5"/>
    <s v="Individual Household"/>
    <s v="Household Headcount Survey"/>
    <d v="2017-01-31T00:00:00"/>
    <s v="Relocated to Individual Housing (Jan 2016) / Increase of 14 IDPs (April 2016)"/>
    <x v="5"/>
    <n v="1"/>
  </r>
  <r>
    <x v="1"/>
    <x v="0"/>
    <s v="MMR012"/>
    <s v="Sittwe"/>
    <s v="MMR012D001"/>
    <x v="4"/>
    <s v="MMR012004"/>
    <s v="Khaung Toke"/>
    <s v="MMR012004030"/>
    <s v="Khaung Toke (Ku Lar)"/>
    <n v="196838"/>
    <x v="38"/>
    <x v="37"/>
    <n v="93.006497999999993"/>
    <n v="20.886997999999998"/>
    <m/>
    <n v="97"/>
    <n v="557"/>
    <n v="5.9381443298969074"/>
    <s v="Accessible by All"/>
    <m/>
    <x v="3"/>
    <s v="Yes"/>
    <m/>
    <x v="0"/>
    <s v="Muslim"/>
    <x v="0"/>
    <s v="Rural"/>
    <x v="2"/>
    <x v="5"/>
    <s v="Camp/Community Leader"/>
    <s v="Household survey"/>
    <d v="2017-01-31T00:00:00"/>
    <s v="Relocated to Individual Housing (Jan 2016)"/>
    <x v="5"/>
    <n v="0.82474226804123707"/>
  </r>
  <r>
    <x v="1"/>
    <x v="0"/>
    <s v="MMR012"/>
    <s v="Sittwe"/>
    <s v="MMR012D001"/>
    <x v="8"/>
    <s v="MMR012003"/>
    <s v="Sin Oe"/>
    <s v="MMR012003006"/>
    <s v="Raw Ma Ni"/>
    <n v="196441"/>
    <x v="39"/>
    <x v="38"/>
    <n v="93.239519999999999"/>
    <n v="20.61692"/>
    <m/>
    <n v="10"/>
    <n v="64"/>
    <n v="6.4"/>
    <s v="Accessible by All"/>
    <m/>
    <x v="3"/>
    <s v="No"/>
    <m/>
    <x v="3"/>
    <s v="Buddhist"/>
    <x v="3"/>
    <s v="Rural"/>
    <x v="2"/>
    <x v="5"/>
    <s v="Camp/Community Leader"/>
    <s v="Estimate"/>
    <d v="2017-01-31T00:00:00"/>
    <s v="Relocated to Individual Housing (Jan 2016)"/>
    <x v="5"/>
    <n v="1"/>
  </r>
  <r>
    <x v="1"/>
    <x v="0"/>
    <s v="MMR012"/>
    <s v="Sittwe"/>
    <s v="MMR012D001"/>
    <x v="8"/>
    <s v="MMR012003"/>
    <s v="Oke Kar Kyaw"/>
    <s v="MMR012003024"/>
    <s v="Thi Kyar"/>
    <n v="196501"/>
    <x v="40"/>
    <x v="39"/>
    <n v="93.246863000000005"/>
    <n v="20.495086000000001"/>
    <m/>
    <n v="31"/>
    <n v="131"/>
    <n v="4.225806451612903"/>
    <s v="Accessible by All"/>
    <m/>
    <x v="3"/>
    <s v="No"/>
    <m/>
    <x v="1"/>
    <s v="Buddhist"/>
    <x v="1"/>
    <s v="Rural"/>
    <x v="2"/>
    <x v="5"/>
    <s v="Camp/Community Leader"/>
    <s v="Estimate"/>
    <d v="2017-01-31T00:00:00"/>
    <s v="Relocated to Individual Housing (Jan 2016)"/>
    <x v="5"/>
    <n v="1"/>
  </r>
  <r>
    <x v="1"/>
    <x v="0"/>
    <s v="MMR012"/>
    <s v="Sittwe"/>
    <s v="MMR012D001"/>
    <x v="1"/>
    <s v="MMR012007"/>
    <s v="Urban"/>
    <s v="MMR012007701"/>
    <s v="Ba Wan Chaung Wa Su Ward"/>
    <s v="MMR012007701504"/>
    <x v="41"/>
    <x v="40"/>
    <n v="93.067891000000003"/>
    <n v="20.173468"/>
    <m/>
    <n v="21"/>
    <n v="122"/>
    <n v="5.8095238095238093"/>
    <s v="Accessible by All"/>
    <m/>
    <x v="3"/>
    <m/>
    <m/>
    <x v="1"/>
    <s v="Buddhist"/>
    <x v="1"/>
    <s v="Urban"/>
    <x v="2"/>
    <x v="5"/>
    <s v="Individual Household"/>
    <s v="Household Headcount Survey"/>
    <d v="2017-01-31T00:00:00"/>
    <s v="Relocated in Individual Housing (Jan 2016)"/>
    <x v="5"/>
    <n v="1"/>
  </r>
  <r>
    <x v="1"/>
    <x v="0"/>
    <s v="MMR012"/>
    <s v="Sittwe"/>
    <s v="MMR012D001"/>
    <x v="2"/>
    <s v="MMR012001"/>
    <s v="Urban"/>
    <s v="MMR012001701"/>
    <s v="Sut Yoe Kya Ward"/>
    <s v="MMR012001701531"/>
    <x v="42"/>
    <x v="41"/>
    <n v="92.887277999999995"/>
    <n v="20.151471999999998"/>
    <m/>
    <n v="249"/>
    <n v="1282"/>
    <n v="5.1485943775100402"/>
    <s v="Accessible by All"/>
    <m/>
    <x v="3"/>
    <m/>
    <m/>
    <x v="1"/>
    <s v="Buddhist"/>
    <x v="1"/>
    <s v="Urban"/>
    <x v="2"/>
    <x v="5"/>
    <s v="Individual Household"/>
    <s v="Household Headcount Survey"/>
    <d v="2017-01-31T00:00:00"/>
    <s v="Relocated to Individual Housing (Jan 2016)"/>
    <x v="5"/>
    <n v="1"/>
  </r>
  <r>
    <x v="1"/>
    <x v="0"/>
    <s v="MMR012"/>
    <s v="Sittwe"/>
    <s v="MMR012D001"/>
    <x v="2"/>
    <s v="MMR012001"/>
    <s v="Urban"/>
    <s v="MMR012001701"/>
    <s v="Sut Yoe Kya Ward"/>
    <s v="MMR012001701531"/>
    <x v="43"/>
    <x v="42"/>
    <n v="92.887277999999995"/>
    <n v="20.151471999999998"/>
    <m/>
    <n v="418"/>
    <n v="2200"/>
    <n v="5.2631578947368425"/>
    <s v="Accessible by All"/>
    <m/>
    <x v="3"/>
    <m/>
    <m/>
    <x v="1"/>
    <s v="Buddhist"/>
    <x v="1"/>
    <s v="Urban"/>
    <x v="2"/>
    <x v="5"/>
    <s v="Individual Household"/>
    <s v="Household Headcount Survey"/>
    <d v="2017-01-31T00:00:00"/>
    <s v="Relocated to Individual Housing (Jan 2016)"/>
    <x v="5"/>
    <n v="1"/>
  </r>
  <r>
    <x v="1"/>
    <x v="0"/>
    <s v="MMR012"/>
    <s v="Sittwe"/>
    <s v="MMR012D001"/>
    <x v="2"/>
    <s v="MMR012001"/>
    <s v="Set Yon Su Ward"/>
    <s v="MMR012001701"/>
    <s v="Set Yon Su Ward"/>
    <s v="MMR012001701526"/>
    <x v="44"/>
    <x v="43"/>
    <n v="92.880319999999998"/>
    <n v="20.148584"/>
    <m/>
    <n v="72"/>
    <n v="462"/>
    <n v="6.416666666666667"/>
    <s v="Accessible by All"/>
    <m/>
    <x v="3"/>
    <m/>
    <m/>
    <x v="3"/>
    <s v="Buddhist"/>
    <x v="3"/>
    <s v="Urban"/>
    <x v="2"/>
    <x v="5"/>
    <s v="Individual Household"/>
    <s v="Household Headcount Survey"/>
    <d v="2017-01-31T00:00:00"/>
    <s v="Relocated to Individual Housing (Jan 2016)"/>
    <x v="5"/>
    <n v="1"/>
  </r>
  <r>
    <x v="1"/>
    <x v="0"/>
    <s v="MMR012"/>
    <s v="Sittwe"/>
    <s v="MMR012D001"/>
    <x v="7"/>
    <s v="MMR012006"/>
    <s v="Urban"/>
    <s v="MMR012006701"/>
    <s v="Kan Thar Htwet Wa Ward"/>
    <s v="MMR012006701502"/>
    <x v="45"/>
    <x v="44"/>
    <n v="93.373951000000005"/>
    <n v="20.041981"/>
    <m/>
    <n v="42"/>
    <n v="204"/>
    <n v="4.8292682926829267"/>
    <s v="Accessible by All"/>
    <m/>
    <x v="3"/>
    <m/>
    <m/>
    <x v="1"/>
    <s v="Buddhist"/>
    <x v="1"/>
    <s v="Urban"/>
    <x v="2"/>
    <x v="5"/>
    <s v="Individual Household"/>
    <s v="Household Headcount Survey"/>
    <d v="2017-01-31T00:00:00"/>
    <s v="Relocated to Individual Housing (July 2016)"/>
    <x v="5"/>
    <n v="1"/>
  </r>
  <r>
    <x v="2"/>
    <x v="0"/>
    <s v="MMR012"/>
    <s v="Maungdaw"/>
    <s v="MMR012D002"/>
    <x v="0"/>
    <s v="MMR012009"/>
    <s v="Myo Ma (East) Ward"/>
    <s v="MMR012009701"/>
    <s v="Myo Ma (East) Ward"/>
    <s v="MMR012009701504"/>
    <x v="46"/>
    <x v="45"/>
    <n v="92.362196999999995"/>
    <n v="20.824777999999998"/>
    <m/>
    <n v="17"/>
    <n v="109"/>
    <n v="6.166666666666667"/>
    <s v="Accessible by All"/>
    <s v="IDP"/>
    <x v="4"/>
    <m/>
    <m/>
    <x v="0"/>
    <s v="Muslim"/>
    <x v="0"/>
    <s v="Urban"/>
    <x v="2"/>
    <x v="0"/>
    <s v="Camp/Community Leader"/>
    <s v="Estimate"/>
    <d v="2017-01-31T00:00:00"/>
    <s v="18 HH (112 IDPs) displaced in 2012 / 11 HH (72 IDPs) returned in 2013&amp;14 / 1 HH (3 IDPs) departed in 2015 / 6 HH (37 IDPs) returned in 2016 "/>
    <x v="0"/>
    <n v="0"/>
  </r>
  <r>
    <x v="2"/>
    <x v="0"/>
    <s v="MMR012"/>
    <s v="Sittwe"/>
    <s v="MMR012D001"/>
    <x v="4"/>
    <s v="MMR012004"/>
    <s v="Ah Pauk Wa"/>
    <s v="MMR012004064"/>
    <s v="Ah Pauk Wa"/>
    <n v="196946"/>
    <x v="47"/>
    <x v="46"/>
    <n v="92.961841000000007"/>
    <n v="20.720213000000001"/>
    <m/>
    <n v="92"/>
    <n v="559"/>
    <n v="6.0760869565217392"/>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Ah Lel"/>
    <n v="196786"/>
    <x v="48"/>
    <x v="47"/>
    <n v="93.003204999999994"/>
    <n v="20.921424999999999"/>
    <m/>
    <n v="24"/>
    <n v="140"/>
    <n v="6.0869565217391308"/>
    <s v="Accessible by All"/>
    <m/>
    <x v="3"/>
    <s v="Yes"/>
    <m/>
    <x v="0"/>
    <s v="Muslim"/>
    <x v="0"/>
    <s v="Rural"/>
    <x v="2"/>
    <x v="5"/>
    <s v="Camp/Community Leader"/>
    <s v="Estimate"/>
    <d v="2017-01-31T00:00:00"/>
    <s v="Returned in Individual Housing (Jan 2016)"/>
    <x v="5"/>
    <n v="1"/>
  </r>
  <r>
    <x v="2"/>
    <x v="0"/>
    <s v="MMR012"/>
    <s v="Sittwe"/>
    <s v="MMR012D001"/>
    <x v="4"/>
    <s v="MMR012004"/>
    <s v="Ah Lel Kyun"/>
    <s v="MMR012004031"/>
    <s v="Ah Lel Kyun Ku Lar"/>
    <n v="196842"/>
    <x v="49"/>
    <x v="48"/>
    <n v="93.014349999999993"/>
    <n v="20.896740000000001"/>
    <m/>
    <n v="14"/>
    <n v="84"/>
    <n v="6"/>
    <s v="Accessible by All"/>
    <m/>
    <x v="3"/>
    <s v="Yes"/>
    <m/>
    <x v="0"/>
    <s v="Muslim"/>
    <x v="0"/>
    <s v="Rural"/>
    <x v="2"/>
    <x v="5"/>
    <s v="Camp/Community Leader"/>
    <s v="Estimate"/>
    <d v="2017-01-31T00:00:00"/>
    <s v="Returned in Individual Housing (Jan 2016)"/>
    <x v="5"/>
    <n v="1"/>
  </r>
  <r>
    <x v="2"/>
    <x v="0"/>
    <s v="MMR012"/>
    <s v="Sittwe"/>
    <s v="MMR012D001"/>
    <x v="4"/>
    <s v="MMR012004"/>
    <s v="Goke Pi Htaunt"/>
    <s v="MMR012004074"/>
    <s v="Goke Pi Htaunt (Ku Lar)"/>
    <n v="196972"/>
    <x v="50"/>
    <x v="49"/>
    <n v="93.014089999999996"/>
    <n v="20.713259999999998"/>
    <m/>
    <n v="116"/>
    <n v="802"/>
    <n v="6.8879310344827589"/>
    <s v="Accessible by All"/>
    <m/>
    <x v="3"/>
    <s v="Yes"/>
    <m/>
    <x v="0"/>
    <s v="Muslim"/>
    <x v="0"/>
    <s v="Rural"/>
    <x v="2"/>
    <x v="5"/>
    <s v="Camp/Community Leader"/>
    <s v="Household survey"/>
    <d v="2017-01-31T00:00:00"/>
    <s v="Returned in Individual Housing (Jan 2016)"/>
    <x v="5"/>
    <n v="0.68965517241379315"/>
  </r>
  <r>
    <x v="2"/>
    <x v="0"/>
    <s v="MMR012"/>
    <s v="Sittwe"/>
    <s v="MMR012D001"/>
    <x v="4"/>
    <s v="MMR012004"/>
    <s v="Doke Kan Chaung"/>
    <s v="MMR012004063"/>
    <s v="In Bar Yi"/>
    <n v="196945"/>
    <x v="51"/>
    <x v="50"/>
    <n v="93.009900000000002"/>
    <n v="20.696819999999999"/>
    <m/>
    <n v="236"/>
    <n v="1524"/>
    <n v="6.4576271186440675"/>
    <s v="Accessible by All"/>
    <m/>
    <x v="3"/>
    <s v="Yes"/>
    <m/>
    <x v="0"/>
    <s v="Muslim"/>
    <x v="0"/>
    <s v="Rural"/>
    <x v="2"/>
    <x v="5"/>
    <s v="Camp/Community Leader"/>
    <s v="Household survey"/>
    <d v="2017-01-31T00:00:00"/>
    <s v="Returned in Individual Housing (Jan 2016)"/>
    <x v="5"/>
    <n v="0.98305084745762716"/>
  </r>
  <r>
    <x v="2"/>
    <x v="0"/>
    <s v="MMR012"/>
    <s v="Sittwe"/>
    <s v="MMR012D001"/>
    <x v="4"/>
    <s v="MMR012004"/>
    <s v="Hpa Yar Paung"/>
    <s v="MMR012004046"/>
    <s v="Taung Pauk"/>
    <n v="196873"/>
    <x v="52"/>
    <x v="51"/>
    <n v="92.982675999999998"/>
    <n v="20.805734000000001"/>
    <m/>
    <n v="18"/>
    <n v="157"/>
    <n v="8.7222222222222214"/>
    <s v="Accessible by All"/>
    <m/>
    <x v="3"/>
    <s v="Yes"/>
    <m/>
    <x v="0"/>
    <s v="Muslim"/>
    <x v="0"/>
    <s v="Rural"/>
    <x v="2"/>
    <x v="5"/>
    <s v="Camp/Community Leader"/>
    <s v="Estimate"/>
    <d v="2017-01-31T00:00:00"/>
    <s v="Returned in Individual Housing (Jan 2016)"/>
    <x v="5"/>
    <n v="1"/>
  </r>
  <r>
    <x v="2"/>
    <x v="0"/>
    <s v="MMR012"/>
    <s v="Sittwe"/>
    <s v="MMR012D001"/>
    <x v="4"/>
    <s v="MMR012004"/>
    <s v="Sin Oe Chaing"/>
    <s v="MMR012004069"/>
    <s v="Shwe Hlaing Ku Lar"/>
    <n v="196868"/>
    <x v="53"/>
    <x v="52"/>
    <n v="92.987399999999994"/>
    <n v="20.78332"/>
    <m/>
    <n v="144"/>
    <n v="1006"/>
    <n v="7.1388888888888893"/>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Ku Lar Taung Bway"/>
    <n v="196789"/>
    <x v="54"/>
    <x v="53"/>
    <n v="93.000815000000003"/>
    <n v="20.929649000000001"/>
    <m/>
    <n v="63"/>
    <n v="414"/>
    <n v="6.67741935483871"/>
    <s v="Accessible by All"/>
    <m/>
    <x v="3"/>
    <s v="Yes"/>
    <m/>
    <x v="0"/>
    <s v="Muslim"/>
    <x v="0"/>
    <s v="Rural"/>
    <x v="2"/>
    <x v="5"/>
    <s v="Camp/Community Leader"/>
    <s v="Estimate"/>
    <d v="2017-01-31T00:00:00"/>
    <s v="Returned in Individual Housing (Jan 2016)"/>
    <x v="5"/>
    <n v="1"/>
  </r>
  <r>
    <x v="2"/>
    <x v="0"/>
    <s v="MMR012"/>
    <s v="Sittwe"/>
    <s v="MMR012D001"/>
    <x v="4"/>
    <s v="MMR012004"/>
    <s v="Ah Pauk Wa"/>
    <s v="MMR012004064"/>
    <s v="Yun Nyar"/>
    <n v="196952"/>
    <x v="55"/>
    <x v="54"/>
    <n v="92.969350000000006"/>
    <n v="20.727589999999999"/>
    <m/>
    <n v="112"/>
    <n v="738"/>
    <n v="6.5625"/>
    <s v="Accessible by All"/>
    <m/>
    <x v="3"/>
    <s v="Yes"/>
    <m/>
    <x v="0"/>
    <s v="Muslim"/>
    <x v="0"/>
    <s v="Rural"/>
    <x v="2"/>
    <x v="5"/>
    <s v="Camp/Community Leader"/>
    <s v="Household survey"/>
    <d v="2017-01-31T00:00:00"/>
    <s v="Returned in Individual Housing (Jan 2016)"/>
    <x v="5"/>
    <n v="1"/>
  </r>
  <r>
    <x v="2"/>
    <x v="0"/>
    <s v="MMR012"/>
    <s v="Sittwe"/>
    <s v="MMR012D001"/>
    <x v="9"/>
    <s v="MMR012005"/>
    <s v="Na Yan"/>
    <s v="MMR012005010"/>
    <s v="Sat Yon Maw (Ku Lar)"/>
    <n v="197023"/>
    <x v="56"/>
    <x v="55"/>
    <n v="93.314695"/>
    <n v="20.409645000000001"/>
    <m/>
    <n v="17"/>
    <n v="72"/>
    <n v="4"/>
    <s v="Accessible by All"/>
    <m/>
    <x v="3"/>
    <s v="No"/>
    <m/>
    <x v="1"/>
    <s v="Buddhist"/>
    <x v="1"/>
    <s v="Rural"/>
    <x v="2"/>
    <x v="5"/>
    <s v="Camp/Community Leader"/>
    <s v="Estimate"/>
    <d v="2017-01-31T00:00:00"/>
    <s v="Returned in Individual Housing (Jan 2016)"/>
    <x v="5"/>
    <n v="1"/>
  </r>
  <r>
    <x v="2"/>
    <x v="0"/>
    <s v="MMR012"/>
    <s v="Sittwe"/>
    <s v="MMR012D001"/>
    <x v="9"/>
    <s v="MMR012005"/>
    <s v="Sa Par Htar"/>
    <s v="MMR012005032"/>
    <s v="Aung Taing"/>
    <n v="197150"/>
    <x v="57"/>
    <x v="56"/>
    <n v="93.299485000000004"/>
    <n v="20.480898"/>
    <m/>
    <n v="86"/>
    <n v="444"/>
    <n v="5.7674418604651159"/>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Kin Seik"/>
    <n v="196984"/>
    <x v="58"/>
    <x v="57"/>
    <n v="93.271642"/>
    <n v="20.377523"/>
    <m/>
    <n v="19"/>
    <n v="142"/>
    <n v="7.4736842105263159"/>
    <s v="Accessible by All"/>
    <m/>
    <x v="3"/>
    <s v="Yes"/>
    <m/>
    <x v="0"/>
    <s v="Muslim"/>
    <x v="0"/>
    <s v="Rural"/>
    <x v="2"/>
    <x v="5"/>
    <s v="Camp/Community Leader"/>
    <s v="Estimate"/>
    <d v="2017-01-31T00:00:00"/>
    <s v="Returned in Individual Housing (Jan 2016)"/>
    <x v="5"/>
    <n v="1"/>
  </r>
  <r>
    <x v="2"/>
    <x v="0"/>
    <s v="MMR012"/>
    <s v="Sittwe"/>
    <s v="MMR012D001"/>
    <x v="9"/>
    <s v="MMR012005"/>
    <s v="San Bar Lay"/>
    <s v="MMR012005009"/>
    <s v="Zi War"/>
    <n v="197025"/>
    <x v="59"/>
    <x v="58"/>
    <n v="93.313627999999994"/>
    <n v="20.407971"/>
    <m/>
    <n v="225"/>
    <n v="1377"/>
    <n v="5.8577777777777778"/>
    <s v="Accessible by All"/>
    <m/>
    <x v="3"/>
    <s v="Yes"/>
    <m/>
    <x v="0"/>
    <s v="Muslim"/>
    <x v="0"/>
    <s v="Rural"/>
    <x v="2"/>
    <x v="5"/>
    <s v="Camp/Community Leader"/>
    <s v="Household survey"/>
    <d v="2017-01-31T00:00:00"/>
    <s v="Returned in Individual Housing (Jan 2016)"/>
    <x v="5"/>
    <n v="1"/>
  </r>
  <r>
    <x v="2"/>
    <x v="0"/>
    <s v="MMR012"/>
    <s v="Sittwe"/>
    <s v="MMR012D001"/>
    <x v="9"/>
    <s v="MMR012005"/>
    <s v="Chaik Taung"/>
    <s v="MMR012005003"/>
    <s v="San Htoe Tan"/>
    <n v="196995"/>
    <x v="60"/>
    <x v="59"/>
    <n v="93.249669999999995"/>
    <n v="20.39902"/>
    <m/>
    <n v="86"/>
    <n v="476"/>
    <n v="6.058139534883721"/>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Thar Dar"/>
    <n v="196997"/>
    <x v="61"/>
    <x v="60"/>
    <n v="93.257272"/>
    <n v="20.392137999999999"/>
    <m/>
    <n v="203"/>
    <n v="1420"/>
    <n v="5.3529411764705879"/>
    <s v="Accessible by All"/>
    <m/>
    <x v="3"/>
    <s v="Yes"/>
    <m/>
    <x v="0"/>
    <s v="Muslim"/>
    <x v="0"/>
    <s v="Rural"/>
    <x v="2"/>
    <x v="5"/>
    <s v="Camp/Community Leader"/>
    <s v="Household survey"/>
    <d v="2017-01-31T00:00:00"/>
    <s v="Returned in Individual Housing (Jan 2016)"/>
    <x v="5"/>
    <n v="1"/>
  </r>
  <r>
    <x v="2"/>
    <x v="0"/>
    <s v="MMR012"/>
    <s v="Sittwe"/>
    <s v="MMR012D001"/>
    <x v="9"/>
    <s v="MMR012005"/>
    <s v="Tha Yet Oke"/>
    <s v="MMR012005017"/>
    <s v="Tha Yet Oke"/>
    <n v="197062"/>
    <x v="62"/>
    <x v="61"/>
    <n v="93.258573999999996"/>
    <n v="20.587142"/>
    <m/>
    <n v="275"/>
    <n v="1707"/>
    <n v="5.9527272727272731"/>
    <s v="Accessible by All"/>
    <m/>
    <x v="3"/>
    <s v="Yes"/>
    <m/>
    <x v="0"/>
    <s v="Muslim"/>
    <x v="0"/>
    <s v="Rural"/>
    <x v="2"/>
    <x v="5"/>
    <s v="Camp/Community Leader"/>
    <s v="Household survey"/>
    <d v="2017-01-31T00:00:00"/>
    <s v="Returned in Individual Housing (Jan 2016)"/>
    <x v="5"/>
    <n v="1"/>
  </r>
  <r>
    <x v="2"/>
    <x v="0"/>
    <s v="MMR012"/>
    <s v="Sittwe"/>
    <s v="MMR012D001"/>
    <x v="8"/>
    <s v="MMR012003"/>
    <s v="Pu Rein"/>
    <s v="MMR012003004"/>
    <s v="Pu Rein"/>
    <n v="196428"/>
    <x v="63"/>
    <x v="62"/>
    <n v="93.245551000000006"/>
    <n v="20.576577"/>
    <m/>
    <n v="204"/>
    <n v="1265"/>
    <n v="5.5245098039215685"/>
    <s v="Accessible by All"/>
    <m/>
    <x v="3"/>
    <s v="Yes"/>
    <m/>
    <x v="0"/>
    <s v="Muslim"/>
    <x v="0"/>
    <s v="Rural"/>
    <x v="2"/>
    <x v="5"/>
    <s v="Camp/Community Leader"/>
    <s v="Household survey"/>
    <d v="2017-01-31T00:00:00"/>
    <s v="Returned in Individual Housing (Jan 2016)"/>
    <x v="5"/>
    <n v="1"/>
  </r>
  <r>
    <x v="2"/>
    <x v="0"/>
    <s v="MMR012"/>
    <s v="Sittwe"/>
    <s v="MMR012D001"/>
    <x v="8"/>
    <s v="MMR012003"/>
    <s v="Yin Thei"/>
    <s v="MMR012003026"/>
    <s v="Yin Thei"/>
    <n v="196507"/>
    <x v="64"/>
    <x v="63"/>
    <n v="93.217039999999997"/>
    <n v="20.501757999999999"/>
    <m/>
    <n v="365"/>
    <n v="2366"/>
    <n v="6.4821917808219176"/>
    <s v="Accessible by All"/>
    <m/>
    <x v="3"/>
    <s v="Yes"/>
    <m/>
    <x v="0"/>
    <s v="Muslim"/>
    <x v="0"/>
    <s v="Rural"/>
    <x v="2"/>
    <x v="5"/>
    <s v="Camp/Community Leader"/>
    <s v="Household survey"/>
    <d v="2017-01-31T00:00:00"/>
    <s v="Returned in Individual Housing (Jan 2016)"/>
    <x v="5"/>
    <n v="1"/>
  </r>
  <r>
    <x v="2"/>
    <x v="0"/>
    <s v="MMR012"/>
    <s v="Sittwe"/>
    <s v="MMR012D001"/>
    <x v="5"/>
    <s v="MMR012008"/>
    <s v="Ah Nauk Pyin"/>
    <s v="MMR012008072"/>
    <s v="Ah Nauk Pyin"/>
    <n v="197763"/>
    <x v="65"/>
    <x v="64"/>
    <n v="92.781294000000003"/>
    <n v="20.399269"/>
    <m/>
    <n v="32"/>
    <n v="157"/>
    <n v="5.21875"/>
    <s v="Accessible by All"/>
    <m/>
    <x v="3"/>
    <m/>
    <m/>
    <x v="0"/>
    <s v="Muslim"/>
    <x v="0"/>
    <s v="Rural"/>
    <x v="2"/>
    <x v="5"/>
    <s v="Camp/Community Leader"/>
    <s v="Estimate"/>
    <d v="2017-01-31T00:00:00"/>
    <s v="Returned in Individual Housing (Jan 2016)"/>
    <x v="5"/>
    <n v="1"/>
  </r>
  <r>
    <x v="2"/>
    <x v="0"/>
    <s v="MMR012"/>
    <s v="Sittwe"/>
    <s v="MMR012D001"/>
    <x v="5"/>
    <s v="MMR012008"/>
    <s v="Nyaung Pin Gyi"/>
    <s v="MMR012008082"/>
    <s v="Nyaung Pin Gyi (Ku Lar)"/>
    <n v="197780"/>
    <x v="66"/>
    <x v="65"/>
    <n v="92.785706000000005"/>
    <n v="20.335864000000001"/>
    <m/>
    <n v="54"/>
    <n v="332"/>
    <n v="6.2857142857142856"/>
    <s v="Accessible by All"/>
    <m/>
    <x v="3"/>
    <m/>
    <m/>
    <x v="0"/>
    <s v="Muslim"/>
    <x v="0"/>
    <s v="Rural"/>
    <x v="2"/>
    <x v="5"/>
    <s v="Camp/Community Leader"/>
    <s v="Estimate"/>
    <d v="2017-01-31T00:00:00"/>
    <s v="Returned in Individual Housing (Jan 2016)"/>
    <x v="5"/>
    <n v="1"/>
  </r>
  <r>
    <x v="3"/>
    <x v="0"/>
    <s v="MMR012"/>
    <s v="Maungdaw"/>
    <s v="MMR012D002"/>
    <x v="0"/>
    <s v="MMR012009"/>
    <s v="Ba Gone Nar"/>
    <s v="MMR012009066"/>
    <s v="Baw Di Kone(No standard name yet"/>
    <n v="217897"/>
    <x v="67"/>
    <x v="66"/>
    <n v="92.416263999999998"/>
    <n v="20.796128"/>
    <m/>
    <m/>
    <m/>
    <n v="0"/>
    <s v="Accessible by All"/>
    <s v="IDP"/>
    <x v="1"/>
    <m/>
    <m/>
    <x v="0"/>
    <m/>
    <x v="4"/>
    <m/>
    <x v="2"/>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1"/>
    <m/>
    <m/>
    <x v="0"/>
    <m/>
    <x v="4"/>
    <m/>
    <x v="2"/>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1"/>
    <m/>
    <m/>
    <x v="0"/>
    <m/>
    <x v="4"/>
    <m/>
    <x v="2"/>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1"/>
    <m/>
    <m/>
    <x v="0"/>
    <m/>
    <x v="4"/>
    <m/>
    <x v="2"/>
    <x v="6"/>
    <s v="Camp/Community Leader"/>
    <s v="Estimate"/>
    <d v="2013-09-03T00:00:00"/>
    <s v="Population (HH=26/ Ind=138)"/>
    <x v="6"/>
    <n v="0"/>
  </r>
  <r>
    <x v="3"/>
    <x v="0"/>
    <s v="MMR012"/>
    <s v="Maungdaw"/>
    <s v="MMR012D002"/>
    <x v="0"/>
    <s v="MMR012009"/>
    <s v="NA"/>
    <s v="NA"/>
    <s v="NA"/>
    <s v="NA"/>
    <x v="71"/>
    <x v="70"/>
    <s v="NA"/>
    <s v="NA"/>
    <m/>
    <m/>
    <m/>
    <n v="0"/>
    <s v="Accessible by All"/>
    <s v="IDP"/>
    <x v="1"/>
    <m/>
    <m/>
    <x v="0"/>
    <m/>
    <x v="4"/>
    <m/>
    <x v="2"/>
    <x v="6"/>
    <s v="Camp/Community Leader"/>
    <s v="Estimate"/>
    <d v="2013-09-03T00:00:00"/>
    <m/>
    <x v="6"/>
    <n v="0"/>
  </r>
  <r>
    <x v="3"/>
    <x v="0"/>
    <s v="MMR012"/>
    <s v="Maungdaw"/>
    <s v="MMR012D002"/>
    <x v="0"/>
    <s v="MMR012009"/>
    <s v="NA"/>
    <s v="NA"/>
    <s v="NA"/>
    <s v="NA"/>
    <x v="72"/>
    <x v="71"/>
    <s v="NA"/>
    <s v="NA"/>
    <m/>
    <m/>
    <m/>
    <n v="0"/>
    <s v="Accessible by All"/>
    <s v="IDP"/>
    <x v="1"/>
    <m/>
    <m/>
    <x v="0"/>
    <m/>
    <x v="4"/>
    <m/>
    <x v="2"/>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1"/>
    <m/>
    <m/>
    <x v="0"/>
    <m/>
    <x v="4"/>
    <m/>
    <x v="2"/>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1"/>
    <m/>
    <m/>
    <x v="0"/>
    <m/>
    <x v="4"/>
    <m/>
    <x v="2"/>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2"/>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2"/>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2"/>
    <x v="6"/>
    <s v="Camp/Community Leader"/>
    <s v="Estimate"/>
    <d v="2013-10-01T00:00:00"/>
    <m/>
    <x v="6"/>
    <n v="0"/>
  </r>
  <r>
    <x v="3"/>
    <x v="0"/>
    <s v="MMR012"/>
    <m/>
    <m/>
    <x v="9"/>
    <s v="MMR012005"/>
    <s v="Shwe Ta Mar"/>
    <s v="MMR012005018"/>
    <s v="Na Ga Yar Pyin"/>
    <n v="197063"/>
    <x v="78"/>
    <x v="77"/>
    <n v="93.258476000000002"/>
    <n v="20.554084"/>
    <m/>
    <m/>
    <m/>
    <n v="0"/>
    <s v="Accessible by All"/>
    <s v="IDP"/>
    <x v="0"/>
    <m/>
    <m/>
    <x v="0"/>
    <m/>
    <x v="4"/>
    <m/>
    <x v="2"/>
    <x v="6"/>
    <s v="Camp/Community Leader"/>
    <s v="Estimate"/>
    <d v="2013-09-03T00:00:00"/>
    <s v="Population (HH=10/ Ind=80)"/>
    <x v="6"/>
    <n v="0"/>
  </r>
  <r>
    <x v="3"/>
    <x v="0"/>
    <s v="MMR012"/>
    <m/>
    <m/>
    <x v="9"/>
    <s v="MMR012005"/>
    <s v="San Bar Lay"/>
    <s v="MMR012005009"/>
    <s v="Thay Kan"/>
    <n v="197021"/>
    <x v="79"/>
    <x v="78"/>
    <n v="93.321956999999998"/>
    <n v="20.403735999999999"/>
    <m/>
    <m/>
    <m/>
    <n v="0"/>
    <s v="Accessible by All"/>
    <s v="IDP"/>
    <x v="0"/>
    <m/>
    <m/>
    <x v="0"/>
    <m/>
    <x v="4"/>
    <m/>
    <x v="2"/>
    <x v="6"/>
    <s v="Camp/Community Leader"/>
    <s v="Estimate"/>
    <d v="2013-09-03T00:00:00"/>
    <s v="Population (HH=15/ Ind=79)"/>
    <x v="6"/>
    <n v="0"/>
  </r>
  <r>
    <x v="3"/>
    <x v="0"/>
    <s v="MMR012"/>
    <s v="Sittwe"/>
    <s v="MMR012D001"/>
    <x v="8"/>
    <s v="MMR012003"/>
    <s v="Urban"/>
    <s v="MMR012003701"/>
    <m/>
    <m/>
    <x v="80"/>
    <x v="79"/>
    <n v="93.187995999999998"/>
    <n v="20.589569000000001"/>
    <s v="0"/>
    <m/>
    <m/>
    <n v="0"/>
    <s v="Accessible by All"/>
    <s v="IDP"/>
    <x v="5"/>
    <m/>
    <m/>
    <x v="0"/>
    <m/>
    <x v="4"/>
    <m/>
    <x v="2"/>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2"/>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2"/>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2"/>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2"/>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2"/>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2"/>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2"/>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2"/>
    <x v="6"/>
    <s v="Camp/Community Leader"/>
    <s v="Estimate"/>
    <d v="2013-09-03T00:00:00"/>
    <m/>
    <x v="6"/>
    <n v="0"/>
  </r>
  <r>
    <x v="3"/>
    <x v="0"/>
    <s v="MMR012"/>
    <s v="Sittwe"/>
    <s v="MMR012D001"/>
    <x v="2"/>
    <s v="MMR012001"/>
    <m/>
    <m/>
    <m/>
    <m/>
    <x v="89"/>
    <x v="88"/>
    <n v="92.893904000000006"/>
    <n v="20.146673"/>
    <m/>
    <m/>
    <m/>
    <n v="0"/>
    <s v="Accessible by All"/>
    <s v="IDP"/>
    <x v="5"/>
    <m/>
    <m/>
    <x v="0"/>
    <m/>
    <x v="4"/>
    <m/>
    <x v="2"/>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2"/>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2"/>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2"/>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2"/>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2"/>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2"/>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2"/>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2"/>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2"/>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1"/>
    <m/>
    <m/>
    <x v="0"/>
    <m/>
    <x v="4"/>
    <m/>
    <x v="2"/>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1"/>
    <m/>
    <m/>
    <x v="0"/>
    <m/>
    <x v="4"/>
    <m/>
    <x v="2"/>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1"/>
    <m/>
    <m/>
    <x v="0"/>
    <m/>
    <x v="4"/>
    <m/>
    <x v="2"/>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1"/>
    <m/>
    <m/>
    <x v="0"/>
    <m/>
    <x v="4"/>
    <m/>
    <x v="2"/>
    <x v="6"/>
    <s v="Camp/Community Leader"/>
    <s v="Estimate"/>
    <d v="2013-10-01T00:00:00"/>
    <m/>
    <x v="6"/>
    <n v="0"/>
  </r>
  <r>
    <x v="3"/>
    <x v="0"/>
    <s v="MMR012"/>
    <s v="Sittwe"/>
    <s v="MMR012D001"/>
    <x v="2"/>
    <s v="MMR012001"/>
    <s v="Bu May"/>
    <s v="MMR012001027"/>
    <s v="Hman Zi"/>
    <n v="196207"/>
    <x v="103"/>
    <x v="102"/>
    <n v="92.826407000000003"/>
    <n v="20.175169"/>
    <m/>
    <m/>
    <m/>
    <n v="0"/>
    <s v="Accessible by All"/>
    <s v="IDP"/>
    <x v="1"/>
    <m/>
    <m/>
    <x v="0"/>
    <m/>
    <x v="4"/>
    <m/>
    <x v="2"/>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1"/>
    <m/>
    <m/>
    <x v="0"/>
    <m/>
    <x v="4"/>
    <m/>
    <x v="2"/>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1"/>
    <m/>
    <m/>
    <x v="0"/>
    <m/>
    <x v="4"/>
    <m/>
    <x v="2"/>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1"/>
    <m/>
    <m/>
    <x v="0"/>
    <m/>
    <x v="4"/>
    <m/>
    <x v="2"/>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1"/>
    <m/>
    <m/>
    <x v="0"/>
    <m/>
    <x v="4"/>
    <m/>
    <x v="2"/>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1"/>
    <m/>
    <m/>
    <x v="0"/>
    <m/>
    <x v="4"/>
    <m/>
    <x v="2"/>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1"/>
    <m/>
    <m/>
    <x v="0"/>
    <m/>
    <x v="4"/>
    <m/>
    <x v="2"/>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1"/>
    <m/>
    <m/>
    <x v="0"/>
    <m/>
    <x v="4"/>
    <m/>
    <x v="2"/>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2"/>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2"/>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2"/>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2"/>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2"/>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2"/>
    <m/>
    <m/>
    <x v="0"/>
    <m/>
    <x v="5"/>
    <m/>
    <x v="2"/>
    <x v="5"/>
    <m/>
    <m/>
    <d v="2015-10-01T00:00:00"/>
    <s v="LWF reported Thea Chaung Camp and Thea Chaung host families as a combine one (Thea Chaung)"/>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1"/>
        <item x="2"/>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6"/>
        <item x="4"/>
        <item x="0"/>
        <item x="9"/>
        <item x="8"/>
        <item x="7"/>
        <item x="1"/>
        <item x="3"/>
        <item x="5"/>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1"/>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1"/>
        <item h="1"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1374">
      <pivotArea outline="0" fieldPosition="0">
        <references count="1">
          <reference field="4294967294" count="1">
            <x v="1"/>
          </reference>
        </references>
      </pivotArea>
    </format>
    <format dxfId="1373">
      <pivotArea outline="0" fieldPosition="0">
        <references count="1">
          <reference field="4294967294" count="1">
            <x v="0"/>
          </reference>
        </references>
      </pivotArea>
    </format>
    <format dxfId="1372">
      <pivotArea field="5" type="button" dataOnly="0" labelOnly="1" outline="0" axis="axisRow" fieldPosition="0"/>
    </format>
    <format dxfId="1371">
      <pivotArea field="11" type="button" dataOnly="0" labelOnly="1" outline="0" axis="axisRow" fieldPosition="1"/>
    </format>
    <format dxfId="1370">
      <pivotArea field="12" type="button" dataOnly="0" labelOnly="1" outline="0" axis="axisRow" fieldPosition="2"/>
    </format>
    <format dxfId="1369">
      <pivotArea field="28" type="button" dataOnly="0" labelOnly="1" outline="0" axis="axisRow" fieldPosition="4"/>
    </format>
    <format dxfId="1368">
      <pivotArea field="29" type="button" dataOnly="0" labelOnly="1" outline="0" axis="axisRow" fieldPosition="3"/>
    </format>
    <format dxfId="1367">
      <pivotArea dataOnly="0" labelOnly="1" outline="0" fieldPosition="0">
        <references count="1">
          <reference field="4294967294" count="2">
            <x v="0"/>
            <x v="1"/>
          </reference>
        </references>
      </pivotArea>
    </format>
    <format dxfId="1366">
      <pivotArea type="all" dataOnly="0" outline="0" fieldPosition="0"/>
    </format>
    <format dxfId="1365">
      <pivotArea outline="0" collapsedLevelsAreSubtotals="1" fieldPosition="0"/>
    </format>
    <format dxfId="1364">
      <pivotArea dataOnly="0" labelOnly="1" outline="0" fieldPosition="0">
        <references count="1">
          <reference field="5" count="7">
            <x v="0"/>
            <x v="1"/>
            <x v="3"/>
            <x v="4"/>
            <x v="5"/>
            <x v="6"/>
            <x v="7"/>
          </reference>
        </references>
      </pivotArea>
    </format>
    <format dxfId="1363">
      <pivotArea dataOnly="0" labelOnly="1" outline="0" fieldPosition="0">
        <references count="1">
          <reference field="5" count="7" defaultSubtotal="1">
            <x v="0"/>
            <x v="1"/>
            <x v="3"/>
            <x v="4"/>
            <x v="5"/>
            <x v="6"/>
            <x v="7"/>
          </reference>
        </references>
      </pivotArea>
    </format>
    <format dxfId="1362">
      <pivotArea dataOnly="0" labelOnly="1" grandRow="1" outline="0" fieldPosition="0"/>
    </format>
    <format dxfId="1361">
      <pivotArea dataOnly="0" labelOnly="1" outline="0" fieldPosition="0">
        <references count="2">
          <reference field="5" count="1" selected="0">
            <x v="0"/>
          </reference>
          <reference field="11" count="1">
            <x v="60"/>
          </reference>
        </references>
      </pivotArea>
    </format>
    <format dxfId="1360">
      <pivotArea dataOnly="0" labelOnly="1" outline="0" fieldPosition="0">
        <references count="2">
          <reference field="5" count="1" selected="0">
            <x v="1"/>
          </reference>
          <reference field="11" count="9">
            <x v="16"/>
            <x v="27"/>
            <x v="33"/>
            <x v="56"/>
            <x v="62"/>
            <x v="92"/>
            <x v="103"/>
            <x v="109"/>
            <x v="114"/>
          </reference>
        </references>
      </pivotArea>
    </format>
    <format dxfId="1359">
      <pivotArea dataOnly="0" labelOnly="1" outline="0" fieldPosition="0">
        <references count="2">
          <reference field="5" count="1" selected="0">
            <x v="3"/>
          </reference>
          <reference field="11" count="3">
            <x v="4"/>
            <x v="45"/>
            <x v="90"/>
          </reference>
        </references>
      </pivotArea>
    </format>
    <format dxfId="1358">
      <pivotArea dataOnly="0" labelOnly="1" outline="0" fieldPosition="0">
        <references count="2">
          <reference field="5" count="1" selected="0">
            <x v="4"/>
          </reference>
          <reference field="11" count="2">
            <x v="75"/>
            <x v="76"/>
          </reference>
        </references>
      </pivotArea>
    </format>
    <format dxfId="1357">
      <pivotArea dataOnly="0" labelOnly="1" outline="0" fieldPosition="0">
        <references count="2">
          <reference field="5" count="1" selected="0">
            <x v="5"/>
          </reference>
          <reference field="11" count="3">
            <x v="0"/>
            <x v="20"/>
            <x v="42"/>
          </reference>
        </references>
      </pivotArea>
    </format>
    <format dxfId="1356">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1355">
      <pivotArea dataOnly="0" labelOnly="1" outline="0" fieldPosition="0">
        <references count="2">
          <reference field="5" count="1" selected="0">
            <x v="7"/>
          </reference>
          <reference field="11" count="2">
            <x v="36"/>
            <x v="95"/>
          </reference>
        </references>
      </pivotArea>
    </format>
    <format dxfId="1354">
      <pivotArea dataOnly="0" labelOnly="1" outline="0" fieldPosition="0">
        <references count="3">
          <reference field="5" count="1" selected="0">
            <x v="0"/>
          </reference>
          <reference field="11" count="1" selected="0">
            <x v="60"/>
          </reference>
          <reference field="12" count="1">
            <x v="22"/>
          </reference>
        </references>
      </pivotArea>
    </format>
    <format dxfId="1353">
      <pivotArea dataOnly="0" labelOnly="1" outline="0" fieldPosition="0">
        <references count="3">
          <reference field="5" count="1" selected="0">
            <x v="1"/>
          </reference>
          <reference field="11" count="1" selected="0">
            <x v="16"/>
          </reference>
          <reference field="12" count="1">
            <x v="82"/>
          </reference>
        </references>
      </pivotArea>
    </format>
    <format dxfId="1352">
      <pivotArea dataOnly="0" labelOnly="1" outline="0" fieldPosition="0">
        <references count="3">
          <reference field="5" count="1" selected="0">
            <x v="1"/>
          </reference>
          <reference field="11" count="1" selected="0">
            <x v="27"/>
          </reference>
          <reference field="12" count="1">
            <x v="86"/>
          </reference>
        </references>
      </pivotArea>
    </format>
    <format dxfId="1351">
      <pivotArea dataOnly="0" labelOnly="1" outline="0" fieldPosition="0">
        <references count="3">
          <reference field="5" count="1" selected="0">
            <x v="1"/>
          </reference>
          <reference field="11" count="1" selected="0">
            <x v="33"/>
          </reference>
          <reference field="12" count="1">
            <x v="108"/>
          </reference>
        </references>
      </pivotArea>
    </format>
    <format dxfId="1350">
      <pivotArea dataOnly="0" labelOnly="1" outline="0" fieldPosition="0">
        <references count="3">
          <reference field="5" count="1" selected="0">
            <x v="1"/>
          </reference>
          <reference field="11" count="1" selected="0">
            <x v="56"/>
          </reference>
          <reference field="12" count="1">
            <x v="81"/>
          </reference>
        </references>
      </pivotArea>
    </format>
    <format dxfId="1349">
      <pivotArea dataOnly="0" labelOnly="1" outline="0" fieldPosition="0">
        <references count="3">
          <reference field="5" count="1" selected="0">
            <x v="1"/>
          </reference>
          <reference field="11" count="1" selected="0">
            <x v="62"/>
          </reference>
          <reference field="12" count="1">
            <x v="80"/>
          </reference>
        </references>
      </pivotArea>
    </format>
    <format dxfId="1348">
      <pivotArea dataOnly="0" labelOnly="1" outline="0" fieldPosition="0">
        <references count="3">
          <reference field="5" count="1" selected="0">
            <x v="1"/>
          </reference>
          <reference field="11" count="1" selected="0">
            <x v="92"/>
          </reference>
          <reference field="12" count="1">
            <x v="92"/>
          </reference>
        </references>
      </pivotArea>
    </format>
    <format dxfId="1347">
      <pivotArea dataOnly="0" labelOnly="1" outline="0" fieldPosition="0">
        <references count="3">
          <reference field="5" count="1" selected="0">
            <x v="1"/>
          </reference>
          <reference field="11" count="1" selected="0">
            <x v="103"/>
          </reference>
          <reference field="12" count="1">
            <x v="84"/>
          </reference>
        </references>
      </pivotArea>
    </format>
    <format dxfId="1346">
      <pivotArea dataOnly="0" labelOnly="1" outline="0" fieldPosition="0">
        <references count="3">
          <reference field="5" count="1" selected="0">
            <x v="1"/>
          </reference>
          <reference field="11" count="1" selected="0">
            <x v="109"/>
          </reference>
          <reference field="12" count="1">
            <x v="93"/>
          </reference>
        </references>
      </pivotArea>
    </format>
    <format dxfId="1345">
      <pivotArea dataOnly="0" labelOnly="1" outline="0" fieldPosition="0">
        <references count="3">
          <reference field="5" count="1" selected="0">
            <x v="1"/>
          </reference>
          <reference field="11" count="1" selected="0">
            <x v="114"/>
          </reference>
          <reference field="12" count="1">
            <x v="83"/>
          </reference>
        </references>
      </pivotArea>
    </format>
    <format dxfId="1344">
      <pivotArea dataOnly="0" labelOnly="1" outline="0" fieldPosition="0">
        <references count="3">
          <reference field="5" count="1" selected="0">
            <x v="3"/>
          </reference>
          <reference field="11" count="1" selected="0">
            <x v="4"/>
          </reference>
          <reference field="12" count="1">
            <x v="15"/>
          </reference>
        </references>
      </pivotArea>
    </format>
    <format dxfId="1343">
      <pivotArea dataOnly="0" labelOnly="1" outline="0" fieldPosition="0">
        <references count="3">
          <reference field="5" count="1" selected="0">
            <x v="3"/>
          </reference>
          <reference field="11" count="1" selected="0">
            <x v="45"/>
          </reference>
          <reference field="12" count="1">
            <x v="17"/>
          </reference>
        </references>
      </pivotArea>
    </format>
    <format dxfId="1342">
      <pivotArea dataOnly="0" labelOnly="1" outline="0" fieldPosition="0">
        <references count="3">
          <reference field="5" count="1" selected="0">
            <x v="3"/>
          </reference>
          <reference field="11" count="1" selected="0">
            <x v="90"/>
          </reference>
          <reference field="12" count="1">
            <x v="18"/>
          </reference>
        </references>
      </pivotArea>
    </format>
    <format dxfId="1341">
      <pivotArea dataOnly="0" labelOnly="1" outline="0" fieldPosition="0">
        <references count="3">
          <reference field="5" count="1" selected="0">
            <x v="4"/>
          </reference>
          <reference field="11" count="1" selected="0">
            <x v="75"/>
          </reference>
          <reference field="12" count="1">
            <x v="37"/>
          </reference>
        </references>
      </pivotArea>
    </format>
    <format dxfId="1340">
      <pivotArea dataOnly="0" labelOnly="1" outline="0" fieldPosition="0">
        <references count="3">
          <reference field="5" count="1" selected="0">
            <x v="4"/>
          </reference>
          <reference field="11" count="1" selected="0">
            <x v="76"/>
          </reference>
          <reference field="12" count="1">
            <x v="36"/>
          </reference>
        </references>
      </pivotArea>
    </format>
    <format dxfId="1339">
      <pivotArea dataOnly="0" labelOnly="1" outline="0" fieldPosition="0">
        <references count="3">
          <reference field="5" count="1" selected="0">
            <x v="5"/>
          </reference>
          <reference field="11" count="1" selected="0">
            <x v="0"/>
          </reference>
          <reference field="12" count="1">
            <x v="33"/>
          </reference>
        </references>
      </pivotArea>
    </format>
    <format dxfId="1338">
      <pivotArea dataOnly="0" labelOnly="1" outline="0" fieldPosition="0">
        <references count="3">
          <reference field="5" count="1" selected="0">
            <x v="5"/>
          </reference>
          <reference field="11" count="1" selected="0">
            <x v="20"/>
          </reference>
          <reference field="12" count="1">
            <x v="32"/>
          </reference>
        </references>
      </pivotArea>
    </format>
    <format dxfId="1337">
      <pivotArea dataOnly="0" labelOnly="1" outline="0" fieldPosition="0">
        <references count="3">
          <reference field="5" count="1" selected="0">
            <x v="5"/>
          </reference>
          <reference field="11" count="1" selected="0">
            <x v="42"/>
          </reference>
          <reference field="12" count="1">
            <x v="104"/>
          </reference>
        </references>
      </pivotArea>
    </format>
    <format dxfId="1336">
      <pivotArea dataOnly="0" labelOnly="1" outline="0" fieldPosition="0">
        <references count="3">
          <reference field="5" count="1" selected="0">
            <x v="6"/>
          </reference>
          <reference field="11" count="1" selected="0">
            <x v="10"/>
          </reference>
          <reference field="12" count="1">
            <x v="38"/>
          </reference>
        </references>
      </pivotArea>
    </format>
    <format dxfId="1335">
      <pivotArea dataOnly="0" labelOnly="1" outline="0" fieldPosition="0">
        <references count="3">
          <reference field="5" count="1" selected="0">
            <x v="6"/>
          </reference>
          <reference field="11" count="1" selected="0">
            <x v="13"/>
          </reference>
          <reference field="12" count="1">
            <x v="101"/>
          </reference>
        </references>
      </pivotArea>
    </format>
    <format dxfId="1334">
      <pivotArea dataOnly="0" labelOnly="1" outline="0" fieldPosition="0">
        <references count="3">
          <reference field="5" count="1" selected="0">
            <x v="6"/>
          </reference>
          <reference field="11" count="1" selected="0">
            <x v="14"/>
          </reference>
          <reference field="12" count="1">
            <x v="109"/>
          </reference>
        </references>
      </pivotArea>
    </format>
    <format dxfId="1333">
      <pivotArea dataOnly="0" labelOnly="1" outline="0" fieldPosition="0">
        <references count="3">
          <reference field="5" count="1" selected="0">
            <x v="6"/>
          </reference>
          <reference field="11" count="1" selected="0">
            <x v="15"/>
          </reference>
          <reference field="12" count="1">
            <x v="110"/>
          </reference>
        </references>
      </pivotArea>
    </format>
    <format dxfId="1332">
      <pivotArea dataOnly="0" labelOnly="1" outline="0" fieldPosition="0">
        <references count="3">
          <reference field="5" count="1" selected="0">
            <x v="6"/>
          </reference>
          <reference field="11" count="1" selected="0">
            <x v="24"/>
          </reference>
          <reference field="12" count="1">
            <x v="40"/>
          </reference>
        </references>
      </pivotArea>
    </format>
    <format dxfId="1331">
      <pivotArea dataOnly="0" labelOnly="1" outline="0" fieldPosition="0">
        <references count="3">
          <reference field="5" count="1" selected="0">
            <x v="6"/>
          </reference>
          <reference field="11" count="1" selected="0">
            <x v="25"/>
          </reference>
          <reference field="12" count="1">
            <x v="95"/>
          </reference>
        </references>
      </pivotArea>
    </format>
    <format dxfId="1330">
      <pivotArea dataOnly="0" labelOnly="1" outline="0" fieldPosition="0">
        <references count="3">
          <reference field="5" count="1" selected="0">
            <x v="6"/>
          </reference>
          <reference field="11" count="1" selected="0">
            <x v="39"/>
          </reference>
          <reference field="12" count="1">
            <x v="41"/>
          </reference>
        </references>
      </pivotArea>
    </format>
    <format dxfId="1329">
      <pivotArea dataOnly="0" labelOnly="1" outline="0" fieldPosition="0">
        <references count="3">
          <reference field="5" count="1" selected="0">
            <x v="6"/>
          </reference>
          <reference field="11" count="1" selected="0">
            <x v="51"/>
          </reference>
          <reference field="12" count="1">
            <x v="90"/>
          </reference>
        </references>
      </pivotArea>
    </format>
    <format dxfId="1328">
      <pivotArea dataOnly="0" labelOnly="1" outline="0" fieldPosition="0">
        <references count="3">
          <reference field="5" count="1" selected="0">
            <x v="6"/>
          </reference>
          <reference field="11" count="1" selected="0">
            <x v="63"/>
          </reference>
          <reference field="12" count="1">
            <x v="96"/>
          </reference>
        </references>
      </pivotArea>
    </format>
    <format dxfId="1327">
      <pivotArea dataOnly="0" labelOnly="1" outline="0" fieldPosition="0">
        <references count="3">
          <reference field="5" count="1" selected="0">
            <x v="6"/>
          </reference>
          <reference field="11" count="1" selected="0">
            <x v="64"/>
          </reference>
          <reference field="12" count="1">
            <x v="111"/>
          </reference>
        </references>
      </pivotArea>
    </format>
    <format dxfId="1326">
      <pivotArea dataOnly="0" labelOnly="1" outline="0" fieldPosition="0">
        <references count="3">
          <reference field="5" count="1" selected="0">
            <x v="6"/>
          </reference>
          <reference field="11" count="1" selected="0">
            <x v="65"/>
          </reference>
          <reference field="12" count="1">
            <x v="112"/>
          </reference>
        </references>
      </pivotArea>
    </format>
    <format dxfId="1325">
      <pivotArea dataOnly="0" labelOnly="1" outline="0" fieldPosition="0">
        <references count="3">
          <reference field="5" count="1" selected="0">
            <x v="6"/>
          </reference>
          <reference field="11" count="1" selected="0">
            <x v="83"/>
          </reference>
          <reference field="12" count="1">
            <x v="44"/>
          </reference>
        </references>
      </pivotArea>
    </format>
    <format dxfId="1324">
      <pivotArea dataOnly="0" labelOnly="1" outline="0" fieldPosition="0">
        <references count="3">
          <reference field="5" count="1" selected="0">
            <x v="6"/>
          </reference>
          <reference field="11" count="1" selected="0">
            <x v="99"/>
          </reference>
          <reference field="12" count="1">
            <x v="45"/>
          </reference>
        </references>
      </pivotArea>
    </format>
    <format dxfId="1323">
      <pivotArea dataOnly="0" labelOnly="1" outline="0" fieldPosition="0">
        <references count="3">
          <reference field="5" count="1" selected="0">
            <x v="6"/>
          </reference>
          <reference field="11" count="1" selected="0">
            <x v="107"/>
          </reference>
          <reference field="12" count="1">
            <x v="89"/>
          </reference>
        </references>
      </pivotArea>
    </format>
    <format dxfId="1322">
      <pivotArea dataOnly="0" labelOnly="1" outline="0" fieldPosition="0">
        <references count="3">
          <reference field="5" count="1" selected="0">
            <x v="7"/>
          </reference>
          <reference field="11" count="1" selected="0">
            <x v="36"/>
          </reference>
          <reference field="12" count="1">
            <x v="12"/>
          </reference>
        </references>
      </pivotArea>
    </format>
    <format dxfId="1321">
      <pivotArea dataOnly="0" labelOnly="1" outline="0" fieldPosition="0">
        <references count="3">
          <reference field="5" count="1" selected="0">
            <x v="7"/>
          </reference>
          <reference field="11" count="1" selected="0">
            <x v="95"/>
          </reference>
          <reference field="12" count="1">
            <x v="13"/>
          </reference>
        </references>
      </pivotArea>
    </format>
    <format dxfId="1320">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1319">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1318">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1317">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1316">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1315">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1314">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1313">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1312">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1311">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1310">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1309">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1308">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1307">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1306">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1305">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1304">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1303">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1302">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1301">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1300">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1299">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1298">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1297">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1296">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1295">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1294">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1293">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1292">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1291">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1290">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1289">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1288">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1287">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1286">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1285">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1284">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1283">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1282">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1281">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1280">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1279">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1278">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1277">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1276">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1275">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1274">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1273">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1272">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1271">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1270">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1269">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1268">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1267">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h="1"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1"/>
        <item x="4"/>
        <item x="6"/>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2"/>
        <item x="4"/>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1218">
      <pivotArea dataOnly="0" outline="0" fieldPosition="0">
        <references count="1">
          <reference field="5" count="0" defaultSubtotal="1"/>
        </references>
      </pivotArea>
    </format>
    <format dxfId="1217">
      <pivotArea outline="0" fieldPosition="0">
        <references count="1">
          <reference field="4294967294" count="1">
            <x v="1"/>
          </reference>
        </references>
      </pivotArea>
    </format>
    <format dxfId="1216">
      <pivotArea field="5" type="button" dataOnly="0" labelOnly="1" outline="0" axis="axisRow" fieldPosition="0"/>
    </format>
    <format dxfId="1215">
      <pivotArea field="29" type="button" dataOnly="0" labelOnly="1" outline="0"/>
    </format>
    <format dxfId="1214">
      <pivotArea field="28" type="button" dataOnly="0" labelOnly="1" outline="0"/>
    </format>
    <format dxfId="1213">
      <pivotArea field="11" type="button" dataOnly="0" labelOnly="1" outline="0" axis="axisRow" fieldPosition="1"/>
    </format>
    <format dxfId="1212">
      <pivotArea dataOnly="0" labelOnly="1" outline="0" axis="axisValues" fieldPosition="0"/>
    </format>
    <format dxfId="1211">
      <pivotArea dataOnly="0" labelOnly="1" outline="0" fieldPosition="0">
        <references count="1">
          <reference field="5" count="1">
            <x v="3"/>
          </reference>
        </references>
      </pivotArea>
    </format>
    <format dxfId="1210">
      <pivotArea outline="0" collapsedLevelsAreSubtotals="1" fieldPosition="0">
        <references count="1">
          <reference field="5" count="1" selected="0" defaultSubtotal="1">
            <x v="3"/>
          </reference>
        </references>
      </pivotArea>
    </format>
    <format dxfId="1209">
      <pivotArea dataOnly="0" labelOnly="1" outline="0" fieldPosition="0">
        <references count="1">
          <reference field="5" count="1" defaultSubtotal="1">
            <x v="3"/>
          </reference>
        </references>
      </pivotArea>
    </format>
    <format dxfId="1208">
      <pivotArea dataOnly="0" labelOnly="1" outline="0" fieldPosition="0">
        <references count="1">
          <reference field="5" count="1">
            <x v="6"/>
          </reference>
        </references>
      </pivotArea>
    </format>
    <format dxfId="1207">
      <pivotArea outline="0" collapsedLevelsAreSubtotals="1" fieldPosition="0">
        <references count="1">
          <reference field="5" count="1" selected="0" defaultSubtotal="1">
            <x v="6"/>
          </reference>
        </references>
      </pivotArea>
    </format>
    <format dxfId="1206">
      <pivotArea dataOnly="0" labelOnly="1" outline="0" fieldPosition="0">
        <references count="1">
          <reference field="5" count="1" defaultSubtotal="1">
            <x v="6"/>
          </reference>
        </references>
      </pivotArea>
    </format>
    <format dxfId="1205">
      <pivotArea grandRow="1" outline="0" collapsedLevelsAreSubtotals="1" fieldPosition="0"/>
    </format>
    <format dxfId="1204">
      <pivotArea dataOnly="0" labelOnly="1" grandRow="1" outline="0" fieldPosition="0"/>
    </format>
    <format dxfId="1203">
      <pivotArea type="all" dataOnly="0" outline="0" fieldPosition="0"/>
    </format>
    <format dxfId="1202">
      <pivotArea dataOnly="0" labelOnly="1" outline="0" fieldPosition="0">
        <references count="1">
          <reference field="11" count="0"/>
        </references>
      </pivotArea>
    </format>
    <format dxfId="1201">
      <pivotArea dataOnly="0" labelOnly="1" outline="0" fieldPosition="0">
        <references count="1">
          <reference field="5" count="0"/>
        </references>
      </pivotArea>
    </format>
    <format dxfId="1200">
      <pivotArea dataOnly="0" labelOnly="1" outline="0" fieldPosition="0">
        <references count="1">
          <reference field="5" count="1" defaultSubtotal="1">
            <x v="3"/>
          </reference>
        </references>
      </pivotArea>
    </format>
    <format dxfId="1199">
      <pivotArea field="34" type="button" dataOnly="0" labelOnly="1" outline="0"/>
    </format>
    <format dxfId="1198">
      <pivotArea field="11" type="button" dataOnly="0" labelOnly="1" outline="0" axis="axisRow" fieldPosition="1"/>
    </format>
    <format dxfId="1197">
      <pivotArea field="12" type="button" dataOnly="0" labelOnly="1" outline="0" axis="axisRow" fieldPosition="2"/>
    </format>
    <format dxfId="1196">
      <pivotArea outline="0" collapsedLevelsAreSubtotals="1" fieldPosition="0">
        <references count="1">
          <reference field="4294967294" count="1" selected="0">
            <x v="1"/>
          </reference>
        </references>
      </pivotArea>
    </format>
    <format dxfId="1195">
      <pivotArea dataOnly="0" labelOnly="1" outline="0" fieldPosition="0">
        <references count="1">
          <reference field="4294967294" count="1">
            <x v="1"/>
          </reference>
        </references>
      </pivotArea>
    </format>
    <format dxfId="1194">
      <pivotArea outline="0" collapsedLevelsAreSubtotals="1" fieldPosition="0">
        <references count="1">
          <reference field="4294967294" count="1" selected="0">
            <x v="1"/>
          </reference>
        </references>
      </pivotArea>
    </format>
    <format dxfId="1193">
      <pivotArea dataOnly="0" labelOnly="1" outline="0" fieldPosition="0">
        <references count="1">
          <reference field="4294967294" count="1">
            <x v="1"/>
          </reference>
        </references>
      </pivotArea>
    </format>
    <format dxfId="1192">
      <pivotArea dataOnly="0" labelOnly="1" outline="0" fieldPosition="0">
        <references count="1">
          <reference field="5" count="1" defaultSubtotal="1">
            <x v="3"/>
          </reference>
        </references>
      </pivotArea>
    </format>
    <format dxfId="1191">
      <pivotArea outline="0" collapsedLevelsAreSubtotals="1" fieldPosition="0">
        <references count="1">
          <reference field="5" count="1" selected="0" defaultSubtotal="1">
            <x v="3"/>
          </reference>
        </references>
      </pivotArea>
    </format>
    <format dxfId="1190">
      <pivotArea dataOnly="0" labelOnly="1" outline="0" fieldPosition="0">
        <references count="1">
          <reference field="5" count="1" defaultSubtotal="1">
            <x v="6"/>
          </reference>
        </references>
      </pivotArea>
    </format>
    <format dxfId="1189">
      <pivotArea dataOnly="0" labelOnly="1" grandRow="1" outline="0" fieldPosition="0"/>
    </format>
    <format dxfId="1188">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1187">
      <pivotArea outline="0" collapsedLevelsAreSubtotals="1" fieldPosition="0">
        <references count="2">
          <reference field="4294967294" count="1" selected="0">
            <x v="3"/>
          </reference>
          <reference field="5" count="1" selected="0" defaultSubtotal="1">
            <x v="3"/>
          </reference>
        </references>
      </pivotArea>
    </format>
    <format dxfId="1186">
      <pivotArea outline="0" collapsedLevelsAreSubtotals="1" fieldPosition="0">
        <references count="2">
          <reference field="4294967294" count="1" selected="0">
            <x v="3"/>
          </reference>
          <reference field="5" count="1" selected="0" defaultSubtotal="1">
            <x v="6"/>
          </reference>
        </references>
      </pivotArea>
    </format>
    <format dxfId="1185">
      <pivotArea field="5" grandRow="1" outline="0" collapsedLevelsAreSubtotals="1" axis="axisRow" fieldPosition="0">
        <references count="1">
          <reference field="4294967294" count="1" selected="0">
            <x v="3"/>
          </reference>
        </references>
      </pivotArea>
    </format>
    <format dxfId="1184">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1183">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1182">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1181">
      <pivotArea dataOnly="0" labelOnly="1" outline="0" fieldPosition="0">
        <references count="3">
          <reference field="5" count="1" selected="0">
            <x v="6"/>
          </reference>
          <reference field="11" count="1" selected="0">
            <x v="77"/>
          </reference>
          <reference field="12" count="1">
            <x v="109"/>
          </reference>
        </references>
      </pivotArea>
    </format>
    <format dxfId="1180">
      <pivotArea dataOnly="0" labelOnly="1" outline="0" fieldPosition="0">
        <references count="3">
          <reference field="5" count="1" selected="0">
            <x v="6"/>
          </reference>
          <reference field="11" count="1" selected="0">
            <x v="78"/>
          </reference>
          <reference field="12" count="1">
            <x v="110"/>
          </reference>
        </references>
      </pivotArea>
    </format>
    <format dxfId="1179">
      <pivotArea dataOnly="0" labelOnly="1" outline="0" fieldPosition="0">
        <references count="3">
          <reference field="5" count="1" selected="0">
            <x v="6"/>
          </reference>
          <reference field="11" count="1" selected="0">
            <x v="81"/>
          </reference>
          <reference field="12" count="1">
            <x v="55"/>
          </reference>
        </references>
      </pivotArea>
    </format>
    <format dxfId="1178">
      <pivotArea dataOnly="0" labelOnly="1" outline="0" fieldPosition="0">
        <references count="3">
          <reference field="5" count="1" selected="0">
            <x v="6"/>
          </reference>
          <reference field="11" count="1" selected="0">
            <x v="82"/>
          </reference>
          <reference field="12" count="1">
            <x v="91"/>
          </reference>
        </references>
      </pivotArea>
    </format>
    <format dxfId="1177">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1176">
      <pivotArea outline="0" collapsedLevelsAreSubtotals="1" fieldPosition="0">
        <references count="1">
          <reference field="5" count="1" selected="0" defaultSubtotal="1">
            <x v="7"/>
          </reference>
        </references>
      </pivotArea>
    </format>
    <format dxfId="1175">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1174">
      <pivotArea dataOnly="0" labelOnly="1" outline="0" fieldPosition="0">
        <references count="2">
          <reference field="5" count="1" selected="0">
            <x v="3"/>
          </reference>
          <reference field="11" count="4">
            <x v="4"/>
            <x v="9"/>
            <x v="44"/>
            <x v="86"/>
          </reference>
        </references>
      </pivotArea>
    </format>
    <format dxfId="1173">
      <pivotArea dataOnly="0" labelOnly="1" outline="0" fieldPosition="0">
        <references count="3">
          <reference field="5" count="1" selected="0">
            <x v="3"/>
          </reference>
          <reference field="11" count="1" selected="0">
            <x v="9"/>
          </reference>
          <reference field="12" count="1">
            <x v="14"/>
          </reference>
        </references>
      </pivotArea>
    </format>
    <format dxfId="1172">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1171">
      <pivotArea outline="0" collapsedLevelsAreSubtotals="1" fieldPosition="0">
        <references count="2">
          <reference field="4294967294" count="1" selected="0">
            <x v="3"/>
          </reference>
          <reference field="5" count="1" selected="0" defaultSubtotal="1">
            <x v="7"/>
          </reference>
        </references>
      </pivotArea>
    </format>
    <format dxfId="1170">
      <pivotArea type="all" dataOnly="0" outline="0" fieldPosition="0"/>
    </format>
    <format dxfId="1169">
      <pivotArea outline="0" collapsedLevelsAreSubtotals="1" fieldPosition="0"/>
    </format>
    <format dxfId="1168">
      <pivotArea dataOnly="0" labelOnly="1" outline="0" fieldPosition="0">
        <references count="2">
          <reference field="5" count="1" selected="0">
            <x v="7"/>
          </reference>
          <reference field="11" count="2">
            <x v="35"/>
            <x v="90"/>
          </reference>
        </references>
      </pivotArea>
    </format>
    <format dxfId="1167">
      <pivotArea dataOnly="0" labelOnly="1" outline="0" fieldPosition="0">
        <references count="3">
          <reference field="5" count="1" selected="0">
            <x v="7"/>
          </reference>
          <reference field="11" count="1" selected="0">
            <x v="35"/>
          </reference>
          <reference field="12" count="1">
            <x v="12"/>
          </reference>
        </references>
      </pivotArea>
    </format>
    <format dxfId="1166">
      <pivotArea type="all" dataOnly="0" outline="0" fieldPosition="0"/>
    </format>
    <format dxfId="1165">
      <pivotArea outline="0" collapsedLevelsAreSubtotals="1" fieldPosition="0"/>
    </format>
    <format dxfId="1164">
      <pivotArea dataOnly="0" labelOnly="1" outline="0" fieldPosition="0">
        <references count="2">
          <reference field="5" count="1" selected="0">
            <x v="7"/>
          </reference>
          <reference field="11" count="2">
            <x v="35"/>
            <x v="90"/>
          </reference>
        </references>
      </pivotArea>
    </format>
    <format dxfId="1163">
      <pivotArea dataOnly="0" labelOnly="1" outline="0" fieldPosition="0">
        <references count="3">
          <reference field="5" count="1" selected="0">
            <x v="7"/>
          </reference>
          <reference field="11" count="1" selected="0">
            <x v="35"/>
          </reference>
          <reference field="12" count="1">
            <x v="12"/>
          </reference>
        </references>
      </pivotArea>
    </format>
    <format dxfId="1162">
      <pivotArea outline="0" collapsedLevelsAreSubtotals="1" fieldPosition="0"/>
    </format>
    <format dxfId="1161">
      <pivotArea type="all" dataOnly="0" outline="0" fieldPosition="0"/>
    </format>
    <format dxfId="1160">
      <pivotArea outline="0" collapsedLevelsAreSubtotals="1" fieldPosition="0"/>
    </format>
    <format dxfId="1159">
      <pivotArea dataOnly="0" labelOnly="1" outline="0" fieldPosition="0">
        <references count="1">
          <reference field="5" count="0"/>
        </references>
      </pivotArea>
    </format>
    <format dxfId="1158">
      <pivotArea dataOnly="0" labelOnly="1" outline="0" fieldPosition="0">
        <references count="1">
          <reference field="5" count="0" defaultSubtotal="1"/>
        </references>
      </pivotArea>
    </format>
    <format dxfId="1157">
      <pivotArea dataOnly="0" labelOnly="1" grandRow="1" outline="0" fieldPosition="0"/>
    </format>
    <format dxfId="1156">
      <pivotArea dataOnly="0" labelOnly="1" outline="0" fieldPosition="0">
        <references count="2">
          <reference field="5" count="1" selected="0">
            <x v="3"/>
          </reference>
          <reference field="11" count="3">
            <x v="4"/>
            <x v="44"/>
            <x v="86"/>
          </reference>
        </references>
      </pivotArea>
    </format>
    <format dxfId="1155">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1154">
      <pivotArea dataOnly="0" labelOnly="1" outline="0" fieldPosition="0">
        <references count="2">
          <reference field="5" count="1" selected="0">
            <x v="7"/>
          </reference>
          <reference field="11" count="1">
            <x v="90"/>
          </reference>
        </references>
      </pivotArea>
    </format>
    <format dxfId="1153">
      <pivotArea dataOnly="0" labelOnly="1" outline="0" fieldPosition="0">
        <references count="3">
          <reference field="5" count="1" selected="0">
            <x v="3"/>
          </reference>
          <reference field="11" count="1" selected="0">
            <x v="4"/>
          </reference>
          <reference field="12" count="1">
            <x v="15"/>
          </reference>
        </references>
      </pivotArea>
    </format>
    <format dxfId="1152">
      <pivotArea dataOnly="0" labelOnly="1" outline="0" fieldPosition="0">
        <references count="3">
          <reference field="5" count="1" selected="0">
            <x v="3"/>
          </reference>
          <reference field="11" count="1" selected="0">
            <x v="44"/>
          </reference>
          <reference field="12" count="1">
            <x v="17"/>
          </reference>
        </references>
      </pivotArea>
    </format>
    <format dxfId="1151">
      <pivotArea dataOnly="0" labelOnly="1" outline="0" fieldPosition="0">
        <references count="3">
          <reference field="5" count="1" selected="0">
            <x v="3"/>
          </reference>
          <reference field="11" count="1" selected="0">
            <x v="86"/>
          </reference>
          <reference field="12" count="1">
            <x v="18"/>
          </reference>
        </references>
      </pivotArea>
    </format>
    <format dxfId="1150">
      <pivotArea dataOnly="0" labelOnly="1" outline="0" fieldPosition="0">
        <references count="3">
          <reference field="5" count="1" selected="0">
            <x v="6"/>
          </reference>
          <reference field="11" count="1" selected="0">
            <x v="10"/>
          </reference>
          <reference field="12" count="1">
            <x v="38"/>
          </reference>
        </references>
      </pivotArea>
    </format>
    <format dxfId="1149">
      <pivotArea dataOnly="0" labelOnly="1" outline="0" fieldPosition="0">
        <references count="3">
          <reference field="5" count="1" selected="0">
            <x v="6"/>
          </reference>
          <reference field="11" count="1" selected="0">
            <x v="13"/>
          </reference>
          <reference field="12" count="1">
            <x v="101"/>
          </reference>
        </references>
      </pivotArea>
    </format>
    <format dxfId="1148">
      <pivotArea dataOnly="0" labelOnly="1" outline="0" fieldPosition="0">
        <references count="3">
          <reference field="5" count="1" selected="0">
            <x v="6"/>
          </reference>
          <reference field="11" count="1" selected="0">
            <x v="14"/>
          </reference>
          <reference field="12" count="1">
            <x v="111"/>
          </reference>
        </references>
      </pivotArea>
    </format>
    <format dxfId="1147">
      <pivotArea dataOnly="0" labelOnly="1" outline="0" fieldPosition="0">
        <references count="3">
          <reference field="5" count="1" selected="0">
            <x v="6"/>
          </reference>
          <reference field="11" count="1" selected="0">
            <x v="15"/>
          </reference>
          <reference field="12" count="1">
            <x v="112"/>
          </reference>
        </references>
      </pivotArea>
    </format>
    <format dxfId="1146">
      <pivotArea dataOnly="0" labelOnly="1" outline="0" fieldPosition="0">
        <references count="3">
          <reference field="5" count="1" selected="0">
            <x v="6"/>
          </reference>
          <reference field="11" count="1" selected="0">
            <x v="24"/>
          </reference>
          <reference field="12" count="1">
            <x v="40"/>
          </reference>
        </references>
      </pivotArea>
    </format>
    <format dxfId="1145">
      <pivotArea dataOnly="0" labelOnly="1" outline="0" fieldPosition="0">
        <references count="3">
          <reference field="5" count="1" selected="0">
            <x v="6"/>
          </reference>
          <reference field="11" count="1" selected="0">
            <x v="25"/>
          </reference>
          <reference field="12" count="1">
            <x v="95"/>
          </reference>
        </references>
      </pivotArea>
    </format>
    <format dxfId="1144">
      <pivotArea dataOnly="0" labelOnly="1" outline="0" fieldPosition="0">
        <references count="3">
          <reference field="5" count="1" selected="0">
            <x v="6"/>
          </reference>
          <reference field="11" count="1" selected="0">
            <x v="38"/>
          </reference>
          <reference field="12" count="1">
            <x v="41"/>
          </reference>
        </references>
      </pivotArea>
    </format>
    <format dxfId="1143">
      <pivotArea dataOnly="0" labelOnly="1" outline="0" fieldPosition="0">
        <references count="3">
          <reference field="5" count="1" selected="0">
            <x v="6"/>
          </reference>
          <reference field="11" count="1" selected="0">
            <x v="50"/>
          </reference>
          <reference field="12" count="1">
            <x v="90"/>
          </reference>
        </references>
      </pivotArea>
    </format>
    <format dxfId="1142">
      <pivotArea dataOnly="0" labelOnly="1" outline="0" fieldPosition="0">
        <references count="3">
          <reference field="5" count="1" selected="0">
            <x v="6"/>
          </reference>
          <reference field="11" count="1" selected="0">
            <x v="59"/>
          </reference>
          <reference field="12" count="1">
            <x v="96"/>
          </reference>
        </references>
      </pivotArea>
    </format>
    <format dxfId="1141">
      <pivotArea dataOnly="0" labelOnly="1" outline="0" fieldPosition="0">
        <references count="3">
          <reference field="5" count="1" selected="0">
            <x v="6"/>
          </reference>
          <reference field="11" count="1" selected="0">
            <x v="60"/>
          </reference>
          <reference field="12" count="1">
            <x v="113"/>
          </reference>
        </references>
      </pivotArea>
    </format>
    <format dxfId="1140">
      <pivotArea dataOnly="0" labelOnly="1" outline="0" fieldPosition="0">
        <references count="3">
          <reference field="5" count="1" selected="0">
            <x v="6"/>
          </reference>
          <reference field="11" count="1" selected="0">
            <x v="61"/>
          </reference>
          <reference field="12" count="1">
            <x v="114"/>
          </reference>
        </references>
      </pivotArea>
    </format>
    <format dxfId="1139">
      <pivotArea dataOnly="0" labelOnly="1" outline="0" fieldPosition="0">
        <references count="3">
          <reference field="5" count="1" selected="0">
            <x v="6"/>
          </reference>
          <reference field="11" count="1" selected="0">
            <x v="79"/>
          </reference>
          <reference field="12" count="1">
            <x v="44"/>
          </reference>
        </references>
      </pivotArea>
    </format>
    <format dxfId="1138">
      <pivotArea dataOnly="0" labelOnly="1" outline="0" fieldPosition="0">
        <references count="3">
          <reference field="5" count="1" selected="0">
            <x v="6"/>
          </reference>
          <reference field="11" count="1" selected="0">
            <x v="94"/>
          </reference>
          <reference field="12" count="1">
            <x v="45"/>
          </reference>
        </references>
      </pivotArea>
    </format>
    <format dxfId="1137">
      <pivotArea dataOnly="0" labelOnly="1" outline="0" fieldPosition="0">
        <references count="3">
          <reference field="5" count="1" selected="0">
            <x v="6"/>
          </reference>
          <reference field="11" count="1" selected="0">
            <x v="101"/>
          </reference>
          <reference field="12" count="1">
            <x v="47"/>
          </reference>
        </references>
      </pivotArea>
    </format>
    <format dxfId="1136">
      <pivotArea dataOnly="0" labelOnly="1" outline="0" fieldPosition="0">
        <references count="3">
          <reference field="5" count="1" selected="0">
            <x v="6"/>
          </reference>
          <reference field="11" count="1" selected="0">
            <x v="102"/>
          </reference>
          <reference field="12" count="1">
            <x v="89"/>
          </reference>
        </references>
      </pivotArea>
    </format>
    <format dxfId="1135">
      <pivotArea dataOnly="0" labelOnly="1" outline="0" fieldPosition="0">
        <references count="3">
          <reference field="5" count="1" selected="0">
            <x v="7"/>
          </reference>
          <reference field="11" count="1" selected="0">
            <x v="90"/>
          </reference>
          <reference field="12" count="1">
            <x v="13"/>
          </reference>
        </references>
      </pivotArea>
    </format>
    <format dxfId="113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1"/>
        <item x="2"/>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9"/>
        <item x="1"/>
        <item x="3"/>
        <item x="5"/>
        <item x="2"/>
        <item x="7"/>
        <item x="6"/>
        <item x="8"/>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102">
      <pivotArea type="all" dataOnly="0" outline="0" fieldPosition="0"/>
    </format>
    <format dxfId="1101">
      <pivotArea field="1" type="button" dataOnly="0" labelOnly="1" outline="0" axis="axisPage" fieldPosition="0"/>
    </format>
    <format dxfId="1100">
      <pivotArea dataOnly="0" labelOnly="1" outline="0" fieldPosition="0">
        <references count="1">
          <reference field="1" count="0"/>
        </references>
      </pivotArea>
    </format>
    <format dxfId="1099">
      <pivotArea type="all" dataOnly="0" outline="0" fieldPosition="0"/>
    </format>
    <format dxfId="1098">
      <pivotArea field="1" type="button" dataOnly="0" labelOnly="1" outline="0" axis="axisPage" fieldPosition="0"/>
    </format>
    <format dxfId="1097">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4"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1"/>
        <item x="0"/>
        <item x="2"/>
        <item x="5"/>
        <item x="3"/>
        <item x="4"/>
      </items>
    </pivotField>
    <pivotField compact="0" outline="0" showAll="0" defaultSubtotal="0"/>
    <pivotField compact="0" outline="0" showAll="0"/>
    <pivotField axis="axisCol" compact="0" outline="0" showAll="0">
      <items count="5">
        <item x="3"/>
        <item x="1"/>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1107">
      <pivotArea field="0" type="button" dataOnly="0" labelOnly="1" outline="0" axis="axisPage" fieldPosition="0"/>
    </format>
    <format dxfId="1106">
      <pivotArea dataOnly="0" labelOnly="1" outline="0" fieldPosition="0">
        <references count="1">
          <reference field="0" count="0"/>
        </references>
      </pivotArea>
    </format>
    <format dxfId="1105">
      <pivotArea field="36" type="button" dataOnly="0" labelOnly="1" outline="0" axis="axisPage" fieldPosition="1"/>
    </format>
    <format dxfId="1104">
      <pivotArea dataOnly="0" labelOnly="1" outline="0" fieldPosition="0">
        <references count="1">
          <reference field="36" count="0"/>
        </references>
      </pivotArea>
    </format>
    <format dxfId="1103">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3">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9"/>
        <item x="1"/>
        <item x="3"/>
        <item x="5"/>
        <item x="2"/>
        <item x="7"/>
        <item x="6"/>
        <item x="8"/>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1114">
      <pivotArea type="all" dataOnly="0" outline="0" fieldPosition="0"/>
    </format>
    <format dxfId="1113">
      <pivotArea field="1" type="button" dataOnly="0" labelOnly="1" outline="0" axis="axisPage" fieldPosition="0"/>
    </format>
    <format dxfId="1112">
      <pivotArea dataOnly="0" labelOnly="1" outline="0" fieldPosition="0">
        <references count="1">
          <reference field="1" count="1">
            <x v="0"/>
          </reference>
        </references>
      </pivotArea>
    </format>
    <format dxfId="1111">
      <pivotArea field="5" type="button" dataOnly="0" labelOnly="1" outline="0" axis="axisRow" fieldPosition="0"/>
    </format>
    <format dxfId="1110">
      <pivotArea dataOnly="0" labelOnly="1" outline="0" fieldPosition="0">
        <references count="1">
          <reference field="4294967294" count="1">
            <x v="0"/>
          </reference>
        </references>
      </pivotArea>
    </format>
    <format dxfId="1109">
      <pivotArea grandRow="1" outline="0" collapsedLevelsAreSubtotals="1" fieldPosition="0"/>
    </format>
    <format dxfId="1108">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h="1" x="0"/>
        <item x="9"/>
        <item h="1" x="1"/>
        <item h="1" x="3"/>
        <item h="1" x="5"/>
        <item h="1" x="2"/>
        <item h="1" x="7"/>
        <item h="1" x="6"/>
        <item h="1" x="8"/>
        <item h="1" x="10"/>
        <item t="default"/>
      </items>
    </pivotField>
    <pivotField showAll="0"/>
    <pivotField showAll="0"/>
    <pivotField showAll="0"/>
    <pivotField showAll="0"/>
    <pivotField showAll="0"/>
    <pivotField axis="axisRow"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1"/>
        <item x="0"/>
        <item x="2"/>
        <item x="5"/>
        <item x="3"/>
        <item x="4"/>
      </items>
    </pivotField>
    <pivotField showAll="0" defaultSubtotal="0"/>
    <pivotField showAll="0"/>
    <pivotField axis="axisCol" showAll="0">
      <items count="5">
        <item x="3"/>
        <item x="1"/>
        <item x="0"/>
        <item x="2"/>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1119">
      <pivotArea field="0" type="button" dataOnly="0" labelOnly="1" outline="0" axis="axisPage" fieldPosition="0"/>
    </format>
    <format dxfId="1118">
      <pivotArea dataOnly="0" labelOnly="1" outline="0" fieldPosition="0">
        <references count="1">
          <reference field="0" count="0"/>
        </references>
      </pivotArea>
    </format>
    <format dxfId="1117">
      <pivotArea field="36" type="button" dataOnly="0" labelOnly="1" outline="0" axis="axisPage" fieldPosition="1"/>
    </format>
    <format dxfId="1116">
      <pivotArea dataOnly="0" labelOnly="1" outline="0" fieldPosition="0">
        <references count="1">
          <reference field="36" count="0"/>
        </references>
      </pivotArea>
    </format>
    <format dxfId="111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1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1124">
      <pivotArea field="0" type="button" dataOnly="0" labelOnly="1" outline="0" axis="axisPage" fieldPosition="0"/>
    </format>
    <format dxfId="1123">
      <pivotArea dataOnly="0" labelOnly="1" outline="0" fieldPosition="0">
        <references count="1">
          <reference field="0" count="0"/>
        </references>
      </pivotArea>
    </format>
    <format dxfId="1122">
      <pivotArea type="all" dataOnly="0" outline="0" fieldPosition="0"/>
    </format>
    <format dxfId="1121">
      <pivotArea field="0" type="button" dataOnly="0" labelOnly="1" outline="0" axis="axisPage" fieldPosition="0"/>
    </format>
    <format dxfId="1120">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5"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2"/>
        <item x="3"/>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127">
      <pivotArea type="all" dataOnly="0" outline="0" fieldPosition="0"/>
    </format>
    <format dxfId="1126">
      <pivotArea field="0" type="button" dataOnly="0" labelOnly="1" outline="0" axis="axisPage" fieldPosition="0"/>
    </format>
    <format dxfId="1125">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multipleItemSelectionAllowed="1" showAll="0">
      <items count="12">
        <item h="1" x="4"/>
        <item h="1" x="0"/>
        <item h="1" x="9"/>
        <item x="1"/>
        <item h="1" x="3"/>
        <item h="1" x="5"/>
        <item x="2"/>
        <item x="7"/>
        <item h="1" x="6"/>
        <item h="1" x="8"/>
        <item h="1" x="10"/>
        <item t="default"/>
      </items>
    </pivotField>
    <pivotField showAll="0"/>
    <pivotField showAll="0"/>
    <pivotField showAll="0"/>
    <pivotField showAll="0"/>
    <pivotField showAll="0"/>
    <pivotField axis="axisRow"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1"/>
        <item x="0"/>
        <item h="1" x="2"/>
        <item h="1" x="5"/>
        <item h="1" x="3"/>
        <item h="1" x="4"/>
      </items>
    </pivotField>
    <pivotField showAll="0" defaultSubtotal="0"/>
    <pivotField showAll="0"/>
    <pivotField showAll="0"/>
    <pivotField showAll="0"/>
    <pivotField axis="axisCol" showAll="0" defaultSubtotal="0">
      <items count="6">
        <item x="4"/>
        <item x="1"/>
        <item x="2"/>
        <item x="3"/>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132">
      <pivotArea type="all" dataOnly="0" outline="0" fieldPosition="0"/>
    </format>
    <format dxfId="1131">
      <pivotArea field="0" type="button" dataOnly="0" labelOnly="1" outline="0" axis="axisPage" fieldPosition="0"/>
    </format>
    <format dxfId="1130">
      <pivotArea dataOnly="0" labelOnly="1" outline="0" fieldPosition="0">
        <references count="1">
          <reference field="0" count="0"/>
        </references>
      </pivotArea>
    </format>
    <format dxfId="1129">
      <pivotArea field="21" type="button" dataOnly="0" labelOnly="1" outline="0" axis="axisPage" fieldPosition="1"/>
    </format>
    <format dxfId="1128">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dataField="1"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hier="-1"/>
  </pageFields>
  <dataFields count="3">
    <dataField name="# of  Camp" fld="11" subtotal="count" baseField="5" baseItem="0"/>
    <dataField name="Household" fld="16"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2"/>
        <item x="1"/>
        <item x="4"/>
        <item x="6"/>
        <item x="5"/>
        <item x="3"/>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1133">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E27" firstHeaderRow="1" firstDataRow="3" firstDataCol="1"/>
  <pivotFields count="6">
    <pivotField axis="axisRow" showAll="0">
      <items count="4">
        <item x="0"/>
        <item x="1"/>
        <item x="2"/>
        <item t="default"/>
      </items>
    </pivotField>
    <pivotField axis="axisRow" showAll="0">
      <items count="18">
        <item x="5"/>
        <item x="9"/>
        <item x="10"/>
        <item x="11"/>
        <item x="12"/>
        <item x="16"/>
        <item x="3"/>
        <item x="4"/>
        <item x="6"/>
        <item x="8"/>
        <item x="15"/>
        <item x="0"/>
        <item x="14"/>
        <item x="13"/>
        <item x="1"/>
        <item x="2"/>
        <item x="7"/>
        <item t="default"/>
      </items>
    </pivotField>
    <pivotField showAll="0" defaultSubtotal="0"/>
    <pivotField axis="axisCol" multipleItemSelectionAllowed="1" showAll="0" nonAutoSortDefault="1">
      <items count="8">
        <item x="0"/>
        <item x="1"/>
        <item x="2"/>
        <item x="3"/>
        <item x="4"/>
        <item x="5"/>
        <item h="1" m="1" x="6"/>
        <item t="default"/>
      </items>
    </pivotField>
    <pivotField axis="axisCol" showAll="0">
      <items count="4">
        <item x="1"/>
        <item x="0"/>
        <item m="1" x="2"/>
        <item t="default"/>
      </items>
    </pivotField>
    <pivotField dataField="1" numFmtId="165" showAll="0"/>
  </pivotFields>
  <rowFields count="2">
    <field x="0"/>
    <field x="1"/>
  </rowFields>
  <rowItems count="21">
    <i>
      <x/>
    </i>
    <i r="1">
      <x/>
    </i>
    <i r="1">
      <x v="4"/>
    </i>
    <i r="1">
      <x v="11"/>
    </i>
    <i r="1">
      <x v="16"/>
    </i>
    <i>
      <x v="1"/>
    </i>
    <i r="1">
      <x v="1"/>
    </i>
    <i r="1">
      <x v="2"/>
    </i>
    <i r="1">
      <x v="3"/>
    </i>
    <i r="1">
      <x v="5"/>
    </i>
    <i r="1">
      <x v="6"/>
    </i>
    <i r="1">
      <x v="7"/>
    </i>
    <i r="1">
      <x v="8"/>
    </i>
    <i r="1">
      <x v="9"/>
    </i>
    <i r="1">
      <x v="10"/>
    </i>
    <i r="1">
      <x v="12"/>
    </i>
    <i r="1">
      <x v="14"/>
    </i>
    <i r="1">
      <x v="15"/>
    </i>
    <i>
      <x v="2"/>
    </i>
    <i r="1">
      <x v="13"/>
    </i>
    <i t="grand">
      <x/>
    </i>
  </rowItems>
  <colFields count="2">
    <field x="3"/>
    <field x="4"/>
  </colFields>
  <colItems count="19">
    <i>
      <x/>
      <x/>
    </i>
    <i r="1">
      <x v="1"/>
    </i>
    <i t="default">
      <x/>
    </i>
    <i>
      <x v="1"/>
      <x/>
    </i>
    <i r="1">
      <x v="1"/>
    </i>
    <i t="default">
      <x v="1"/>
    </i>
    <i>
      <x v="2"/>
      <x/>
    </i>
    <i r="1">
      <x v="1"/>
    </i>
    <i t="default">
      <x v="2"/>
    </i>
    <i>
      <x v="3"/>
      <x/>
    </i>
    <i r="1">
      <x v="1"/>
    </i>
    <i t="default">
      <x v="3"/>
    </i>
    <i>
      <x v="4"/>
      <x/>
    </i>
    <i r="1">
      <x v="1"/>
    </i>
    <i t="default">
      <x v="4"/>
    </i>
    <i>
      <x v="5"/>
      <x/>
    </i>
    <i r="1">
      <x v="1"/>
    </i>
    <i t="default">
      <x v="5"/>
    </i>
    <i t="grand">
      <x/>
    </i>
  </colItems>
  <dataFields count="1">
    <dataField name="Sum of Total" fld="5" baseField="0" baseItem="0"/>
  </dataFields>
  <formats count="54">
    <format dxfId="1065">
      <pivotArea outline="0" collapsedLevelsAreSubtotals="1" fieldPosition="0"/>
    </format>
    <format dxfId="1064">
      <pivotArea dataOnly="0" labelOnly="1" fieldPosition="0">
        <references count="1">
          <reference field="3" count="1" defaultSubtotal="1">
            <x v="2"/>
          </reference>
        </references>
      </pivotArea>
    </format>
    <format dxfId="1063">
      <pivotArea dataOnly="0" labelOnly="1" grandCol="1" outline="0" fieldPosition="0"/>
    </format>
    <format dxfId="1062">
      <pivotArea dataOnly="0" labelOnly="1" fieldPosition="0">
        <references count="2">
          <reference field="3" count="1" selected="0">
            <x v="2"/>
          </reference>
          <reference field="4" count="0"/>
        </references>
      </pivotArea>
    </format>
    <format dxfId="1061">
      <pivotArea type="origin" dataOnly="0" labelOnly="1" outline="0" offset="A1" fieldPosition="0"/>
    </format>
    <format dxfId="1060">
      <pivotArea field="3" type="button" dataOnly="0" labelOnly="1" outline="0" axis="axisCol" fieldPosition="0"/>
    </format>
    <format dxfId="1059">
      <pivotArea field="4" type="button" dataOnly="0" labelOnly="1" outline="0" axis="axisCol" fieldPosition="1"/>
    </format>
    <format dxfId="1058">
      <pivotArea type="topRight" dataOnly="0" labelOnly="1" outline="0" fieldPosition="0"/>
    </format>
    <format dxfId="1057">
      <pivotArea field="0" type="button" dataOnly="0" labelOnly="1" outline="0" axis="axisRow" fieldPosition="0"/>
    </format>
    <format dxfId="1056">
      <pivotArea dataOnly="0" labelOnly="1" fieldPosition="0">
        <references count="1">
          <reference field="0" count="0"/>
        </references>
      </pivotArea>
    </format>
    <format dxfId="1055">
      <pivotArea dataOnly="0" labelOnly="1" fieldPosition="0">
        <references count="2">
          <reference field="0" count="1" selected="0">
            <x v="0"/>
          </reference>
          <reference field="1" count="0"/>
        </references>
      </pivotArea>
    </format>
    <format dxfId="1054">
      <pivotArea collapsedLevelsAreSubtotals="1" fieldPosition="0">
        <references count="1">
          <reference field="0" count="1">
            <x v="0"/>
          </reference>
        </references>
      </pivotArea>
    </format>
    <format dxfId="1053">
      <pivotArea collapsedLevelsAreSubtotals="1" fieldPosition="0">
        <references count="2">
          <reference field="0" count="1" selected="0">
            <x v="0"/>
          </reference>
          <reference field="1" count="2">
            <x v="0"/>
            <x v="4"/>
          </reference>
        </references>
      </pivotArea>
    </format>
    <format dxfId="1052">
      <pivotArea collapsedLevelsAreSubtotals="1" fieldPosition="0">
        <references count="1">
          <reference field="0" count="1">
            <x v="1"/>
          </reference>
        </references>
      </pivotArea>
    </format>
    <format dxfId="1051">
      <pivotArea collapsedLevelsAreSubtotals="1" fieldPosition="0">
        <references count="2">
          <reference field="0" count="1" selected="0">
            <x v="1"/>
          </reference>
          <reference field="1" count="9">
            <x v="1"/>
            <x v="2"/>
            <x v="3"/>
            <x v="5"/>
            <x v="6"/>
            <x v="7"/>
            <x v="8"/>
            <x v="9"/>
            <x v="10"/>
          </reference>
        </references>
      </pivotArea>
    </format>
    <format dxfId="1050">
      <pivotArea dataOnly="0" labelOnly="1" fieldPosition="0">
        <references count="1">
          <reference field="0" count="0"/>
        </references>
      </pivotArea>
    </format>
    <format dxfId="1049">
      <pivotArea dataOnly="0" labelOnly="1" fieldPosition="0">
        <references count="2">
          <reference field="0" count="1" selected="0">
            <x v="0"/>
          </reference>
          <reference field="1" count="0"/>
        </references>
      </pivotArea>
    </format>
    <format dxfId="1048">
      <pivotArea grandRow="1" outline="0" collapsedLevelsAreSubtotals="1" fieldPosition="0"/>
    </format>
    <format dxfId="1047">
      <pivotArea dataOnly="0" labelOnly="1" grandRow="1" outline="0" fieldPosition="0"/>
    </format>
    <format dxfId="1046">
      <pivotArea dataOnly="0" labelOnly="1" fieldPosition="0">
        <references count="1">
          <reference field="0" count="1">
            <x v="2"/>
          </reference>
        </references>
      </pivotArea>
    </format>
    <format dxfId="1045">
      <pivotArea dataOnly="0" labelOnly="1" fieldPosition="0">
        <references count="2">
          <reference field="0" count="1" selected="0">
            <x v="1"/>
          </reference>
          <reference field="1" count="8">
            <x v="2"/>
            <x v="3"/>
            <x v="5"/>
            <x v="7"/>
            <x v="8"/>
            <x v="9"/>
            <x v="10"/>
            <x v="12"/>
          </reference>
        </references>
      </pivotArea>
    </format>
    <format dxfId="1044">
      <pivotArea collapsedLevelsAreSubtotals="1" fieldPosition="0">
        <references count="1">
          <reference field="0" count="1">
            <x v="0"/>
          </reference>
        </references>
      </pivotArea>
    </format>
    <format dxfId="1043">
      <pivotArea collapsedLevelsAreSubtotals="1" fieldPosition="0">
        <references count="2">
          <reference field="0" count="1" selected="0">
            <x v="0"/>
          </reference>
          <reference field="1" count="3">
            <x v="0"/>
            <x v="4"/>
            <x v="11"/>
          </reference>
        </references>
      </pivotArea>
    </format>
    <format dxfId="1042">
      <pivotArea collapsedLevelsAreSubtotals="1" fieldPosition="0">
        <references count="1">
          <reference field="0" count="1">
            <x v="1"/>
          </reference>
        </references>
      </pivotArea>
    </format>
    <format dxfId="1041">
      <pivotArea collapsedLevelsAreSubtotals="1" fieldPosition="0">
        <references count="2">
          <reference field="0" count="1" selected="0">
            <x v="1"/>
          </reference>
          <reference field="1" count="8">
            <x v="2"/>
            <x v="3"/>
            <x v="5"/>
            <x v="7"/>
            <x v="8"/>
            <x v="9"/>
            <x v="10"/>
            <x v="12"/>
          </reference>
        </references>
      </pivotArea>
    </format>
    <format dxfId="1040">
      <pivotArea collapsedLevelsAreSubtotals="1" fieldPosition="0">
        <references count="2">
          <reference field="0" count="1" selected="0">
            <x v="2"/>
          </reference>
          <reference field="1" count="1">
            <x v="13"/>
          </reference>
        </references>
      </pivotArea>
    </format>
    <format dxfId="1039">
      <pivotArea collapsedLevelsAreSubtotals="1" fieldPosition="0">
        <references count="2">
          <reference field="0" count="1" selected="0">
            <x v="0"/>
          </reference>
          <reference field="1" count="1">
            <x v="11"/>
          </reference>
        </references>
      </pivotArea>
    </format>
    <format dxfId="1038">
      <pivotArea collapsedLevelsAreSubtotals="1" fieldPosition="0">
        <references count="2">
          <reference field="0" count="1" selected="0">
            <x v="0"/>
          </reference>
          <reference field="1" count="1">
            <x v="11"/>
          </reference>
        </references>
      </pivotArea>
    </format>
    <format dxfId="1037">
      <pivotArea dataOnly="0" labelOnly="1" fieldPosition="0">
        <references count="2">
          <reference field="0" count="1" selected="0">
            <x v="2"/>
          </reference>
          <reference field="1" count="1">
            <x v="13"/>
          </reference>
        </references>
      </pivotArea>
    </format>
    <format dxfId="1036">
      <pivotArea collapsedLevelsAreSubtotals="1" fieldPosition="0">
        <references count="2">
          <reference field="0" count="1" selected="0">
            <x v="1"/>
          </reference>
          <reference field="1" count="1">
            <x v="12"/>
          </reference>
        </references>
      </pivotArea>
    </format>
    <format dxfId="1035">
      <pivotArea collapsedLevelsAreSubtotals="1" fieldPosition="0">
        <references count="2">
          <reference field="0" count="1" selected="0">
            <x v="2"/>
          </reference>
          <reference field="1" count="1">
            <x v="13"/>
          </reference>
        </references>
      </pivotArea>
    </format>
    <format dxfId="1034">
      <pivotArea collapsedLevelsAreSubtotals="1" fieldPosition="0">
        <references count="2">
          <reference field="0" count="1" selected="0">
            <x v="1"/>
          </reference>
          <reference field="1" count="1">
            <x v="12"/>
          </reference>
        </references>
      </pivotArea>
    </format>
    <format dxfId="1033">
      <pivotArea collapsedLevelsAreSubtotals="1" fieldPosition="0">
        <references count="1">
          <reference field="0" count="1">
            <x v="2"/>
          </reference>
        </references>
      </pivotArea>
    </format>
    <format dxfId="1032">
      <pivotArea type="all" dataOnly="0" outline="0" fieldPosition="0"/>
    </format>
    <format dxfId="1031">
      <pivotArea dataOnly="0" labelOnly="1" fieldPosition="0">
        <references count="2">
          <reference field="0" count="1" selected="0">
            <x v="1"/>
          </reference>
          <reference field="1" count="4">
            <x v="10"/>
            <x v="12"/>
            <x v="14"/>
            <x v="15"/>
          </reference>
        </references>
      </pivotArea>
    </format>
    <format dxfId="1030">
      <pivotArea collapsedLevelsAreSubtotals="1" fieldPosition="0">
        <references count="2">
          <reference field="0" count="1" selected="0">
            <x v="1"/>
          </reference>
          <reference field="1" count="2">
            <x v="14"/>
            <x v="15"/>
          </reference>
        </references>
      </pivotArea>
    </format>
    <format dxfId="1029">
      <pivotArea collapsedLevelsAreSubtotals="1" fieldPosition="0">
        <references count="1">
          <reference field="0" count="1">
            <x v="2"/>
          </reference>
        </references>
      </pivotArea>
    </format>
    <format dxfId="1028">
      <pivotArea collapsedLevelsAreSubtotals="1" fieldPosition="0">
        <references count="2">
          <reference field="0" count="1" selected="0">
            <x v="1"/>
          </reference>
          <reference field="1" count="1">
            <x v="14"/>
          </reference>
        </references>
      </pivotArea>
    </format>
    <format dxfId="1027">
      <pivotArea collapsedLevelsAreSubtotals="1" fieldPosition="0">
        <references count="1">
          <reference field="0" count="1">
            <x v="2"/>
          </reference>
        </references>
      </pivotArea>
    </format>
    <format dxfId="1026">
      <pivotArea dataOnly="0" labelOnly="1" fieldPosition="0">
        <references count="2">
          <reference field="0" count="1" selected="0">
            <x v="1"/>
          </reference>
          <reference field="1" count="1">
            <x v="5"/>
          </reference>
        </references>
      </pivotArea>
    </format>
    <format dxfId="1025">
      <pivotArea dataOnly="0" labelOnly="1" fieldPosition="0">
        <references count="2">
          <reference field="0" count="1" selected="0">
            <x v="1"/>
          </reference>
          <reference field="1" count="1">
            <x v="6"/>
          </reference>
        </references>
      </pivotArea>
    </format>
    <format dxfId="1024">
      <pivotArea grandRow="1" outline="0" collapsedLevelsAreSubtotals="1" fieldPosition="0"/>
    </format>
    <format dxfId="1023">
      <pivotArea outline="0" collapsedLevelsAreSubtotals="1" fieldPosition="0"/>
    </format>
    <format dxfId="1022">
      <pivotArea dataOnly="0" labelOnly="1" fieldPosition="0">
        <references count="1">
          <reference field="0" count="0"/>
        </references>
      </pivotArea>
    </format>
    <format dxfId="1021">
      <pivotArea dataOnly="0" labelOnly="1" grandRow="1" outline="0" fieldPosition="0"/>
    </format>
    <format dxfId="1020">
      <pivotArea dataOnly="0" labelOnly="1" fieldPosition="0">
        <references count="2">
          <reference field="0" count="1" selected="0">
            <x v="0"/>
          </reference>
          <reference field="1" count="0"/>
        </references>
      </pivotArea>
    </format>
    <format dxfId="1019">
      <pivotArea dataOnly="0" labelOnly="1" fieldPosition="0">
        <references count="1">
          <reference field="3" count="0"/>
        </references>
      </pivotArea>
    </format>
    <format dxfId="1018">
      <pivotArea dataOnly="0" labelOnly="1" fieldPosition="0">
        <references count="1">
          <reference field="3" count="0" defaultSubtotal="1"/>
        </references>
      </pivotArea>
    </format>
    <format dxfId="1017">
      <pivotArea dataOnly="0" labelOnly="1" grandCol="1" outline="0" fieldPosition="0"/>
    </format>
    <format dxfId="1016">
      <pivotArea dataOnly="0" labelOnly="1" fieldPosition="0">
        <references count="2">
          <reference field="3" count="1" selected="0">
            <x v="1"/>
          </reference>
          <reference field="4" count="0"/>
        </references>
      </pivotArea>
    </format>
    <format dxfId="1015">
      <pivotArea dataOnly="0" labelOnly="1" fieldPosition="0">
        <references count="2">
          <reference field="3" count="1" selected="0">
            <x v="2"/>
          </reference>
          <reference field="4" count="0"/>
        </references>
      </pivotArea>
    </format>
    <format dxfId="1014">
      <pivotArea dataOnly="0" labelOnly="1" fieldPosition="0">
        <references count="2">
          <reference field="3" count="1" selected="0">
            <x v="3"/>
          </reference>
          <reference field="4" count="0"/>
        </references>
      </pivotArea>
    </format>
    <format dxfId="1013">
      <pivotArea dataOnly="0" labelOnly="1" fieldPosition="0">
        <references count="2">
          <reference field="3" count="1" selected="0">
            <x v="4"/>
          </reference>
          <reference field="4" count="0"/>
        </references>
      </pivotArea>
    </format>
    <format dxfId="1012">
      <pivotArea dataOnly="0" labelOnly="1" fieldPosition="0">
        <references count="2">
          <reference field="3" count="1" selected="0">
            <x v="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2"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9"/>
        <item m="1" x="22"/>
        <item x="15"/>
        <item x="0"/>
        <item m="1" x="21"/>
        <item m="1" x="20"/>
        <item x="14"/>
        <item m="1" x="23"/>
        <item m="1" x="18"/>
        <item m="1" x="17"/>
        <item x="13"/>
        <item x="1"/>
        <item x="2"/>
        <item x="7"/>
        <item t="default"/>
      </items>
    </pivotField>
    <pivotField showAll="0" defaultSubtotal="0"/>
    <pivotField axis="axisRow" showAll="0">
      <items count="20">
        <item m="1" x="9"/>
        <item m="1" x="14"/>
        <item m="1" x="10"/>
        <item m="1" x="16"/>
        <item m="1" x="11"/>
        <item m="1" x="12"/>
        <item m="1" x="17"/>
        <item m="1" x="15"/>
        <item m="1" x="7"/>
        <item x="1"/>
        <item x="2"/>
        <item x="3"/>
        <item x="4"/>
        <item x="5"/>
        <item m="1" x="18"/>
        <item m="1" x="13"/>
        <item m="1" x="8"/>
        <item m="1" x="6"/>
        <item x="0"/>
        <item t="default"/>
      </items>
    </pivotField>
    <pivotField axis="axisCol" showAll="0">
      <items count="5">
        <item x="1"/>
        <item x="0"/>
        <item m="1" x="3"/>
        <item m="1" x="2"/>
        <item t="default"/>
      </items>
    </pivotField>
    <pivotField numFmtId="165" showAll="0"/>
    <pivotField dataField="1" showAll="0" defaultSubtotal="0"/>
    <pivotField showAll="0" defaultSubtotal="0"/>
    <pivotField showAll="0" defaultSubtotal="0"/>
  </pivotFields>
  <rowFields count="1">
    <field x="4"/>
  </rowFields>
  <rowItems count="7">
    <i>
      <x v="9"/>
    </i>
    <i>
      <x v="10"/>
    </i>
    <i>
      <x v="11"/>
    </i>
    <i>
      <x v="12"/>
    </i>
    <i>
      <x v="13"/>
    </i>
    <i>
      <x v="18"/>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096">
      <pivotArea outline="0" collapsedLevelsAreSubtotals="1" fieldPosition="0"/>
    </format>
    <format dxfId="1095">
      <pivotArea dataOnly="0" labelOnly="1" fieldPosition="0">
        <references count="1">
          <reference field="4" count="1" defaultSubtotal="1">
            <x v="0"/>
          </reference>
        </references>
      </pivotArea>
    </format>
    <format dxfId="1094">
      <pivotArea dataOnly="0" labelOnly="1" fieldPosition="0">
        <references count="1">
          <reference field="4" count="1" defaultSubtotal="1">
            <x v="10"/>
          </reference>
        </references>
      </pivotArea>
    </format>
    <format dxfId="1093">
      <pivotArea dataOnly="0" labelOnly="1" fieldPosition="0">
        <references count="1">
          <reference field="4" count="1" defaultSubtotal="1">
            <x v="4"/>
          </reference>
        </references>
      </pivotArea>
    </format>
    <format dxfId="1092">
      <pivotArea dataOnly="0" labelOnly="1" fieldPosition="0">
        <references count="1">
          <reference field="4" count="1" defaultSubtotal="1">
            <x v="1"/>
          </reference>
        </references>
      </pivotArea>
    </format>
    <format dxfId="1091">
      <pivotArea dataOnly="0" labelOnly="1" fieldPosition="0">
        <references count="1">
          <reference field="4" count="1" defaultSubtotal="1">
            <x v="5"/>
          </reference>
        </references>
      </pivotArea>
    </format>
    <format dxfId="1090">
      <pivotArea dataOnly="0" labelOnly="1" grandCol="1" outline="0" fieldPosition="0"/>
    </format>
    <format dxfId="1089">
      <pivotArea dataOnly="0" labelOnly="1" fieldPosition="0">
        <references count="2">
          <reference field="4" count="1" selected="0">
            <x v="0"/>
          </reference>
          <reference field="5" count="0"/>
        </references>
      </pivotArea>
    </format>
    <format dxfId="1088">
      <pivotArea dataOnly="0" labelOnly="1" fieldPosition="0">
        <references count="2">
          <reference field="4" count="1" selected="0">
            <x v="10"/>
          </reference>
          <reference field="5" count="0"/>
        </references>
      </pivotArea>
    </format>
    <format dxfId="1087">
      <pivotArea dataOnly="0" labelOnly="1" fieldPosition="0">
        <references count="2">
          <reference field="4" count="1" selected="0">
            <x v="4"/>
          </reference>
          <reference field="5" count="0"/>
        </references>
      </pivotArea>
    </format>
    <format dxfId="1086">
      <pivotArea dataOnly="0" labelOnly="1" fieldPosition="0">
        <references count="2">
          <reference field="4" count="1" selected="0">
            <x v="1"/>
          </reference>
          <reference field="5" count="0"/>
        </references>
      </pivotArea>
    </format>
    <format dxfId="1085">
      <pivotArea dataOnly="0" labelOnly="1" fieldPosition="0">
        <references count="2">
          <reference field="4" count="1" selected="0">
            <x v="5"/>
          </reference>
          <reference field="5" count="0"/>
        </references>
      </pivotArea>
    </format>
    <format dxfId="1084">
      <pivotArea field="1" type="button" dataOnly="0" labelOnly="1" outline="0" axis="axisPage" fieldPosition="0"/>
    </format>
    <format dxfId="1083">
      <pivotArea dataOnly="0" labelOnly="1" outline="0" fieldPosition="0">
        <references count="1">
          <reference field="1" count="0"/>
        </references>
      </pivotArea>
    </format>
    <format dxfId="1082">
      <pivotArea field="2" type="button" dataOnly="0" labelOnly="1" outline="0" axis="axisPage" fieldPosition="1"/>
    </format>
    <format dxfId="1081">
      <pivotArea dataOnly="0" labelOnly="1" outline="0" fieldPosition="0">
        <references count="1">
          <reference field="2" count="0"/>
        </references>
      </pivotArea>
    </format>
    <format dxfId="1080">
      <pivotArea type="origin" dataOnly="0" labelOnly="1" outline="0" fieldPosition="0"/>
    </format>
    <format dxfId="1079">
      <pivotArea field="4" type="button" dataOnly="0" labelOnly="1" outline="0" axis="axisRow" fieldPosition="0"/>
    </format>
    <format dxfId="1078">
      <pivotArea field="5" type="button" dataOnly="0" labelOnly="1" outline="0" axis="axisCol" fieldPosition="0"/>
    </format>
    <format dxfId="1077">
      <pivotArea dataOnly="0" labelOnly="1" fieldPosition="0">
        <references count="1">
          <reference field="5" count="1">
            <x v="0"/>
          </reference>
        </references>
      </pivotArea>
    </format>
    <format dxfId="1076">
      <pivotArea type="topRight" dataOnly="0" labelOnly="1" outline="0" offset="A1" fieldPosition="0"/>
    </format>
    <format dxfId="1075">
      <pivotArea dataOnly="0" labelOnly="1" fieldPosition="0">
        <references count="1">
          <reference field="5" count="1">
            <x v="1"/>
          </reference>
        </references>
      </pivotArea>
    </format>
    <format dxfId="1074">
      <pivotArea type="topRight" dataOnly="0" labelOnly="1" outline="0" offset="B1" fieldPosition="0"/>
    </format>
    <format dxfId="1073">
      <pivotArea dataOnly="0" labelOnly="1" grandCol="1" outline="0" fieldPosition="0"/>
    </format>
    <format dxfId="1072">
      <pivotArea collapsedLevelsAreSubtotals="1" fieldPosition="0">
        <references count="1">
          <reference field="4" count="0"/>
        </references>
      </pivotArea>
    </format>
    <format dxfId="1071">
      <pivotArea dataOnly="0" labelOnly="1" fieldPosition="0">
        <references count="1">
          <reference field="4" count="0"/>
        </references>
      </pivotArea>
    </format>
    <format dxfId="1070">
      <pivotArea grandRow="1" outline="0" collapsedLevelsAreSubtotals="1" fieldPosition="0"/>
    </format>
    <format dxfId="1069">
      <pivotArea dataOnly="0" labelOnly="1" grandRow="1" outline="0" fieldPosition="0"/>
    </format>
    <format dxfId="1068">
      <pivotArea field="1" type="button" dataOnly="0" labelOnly="1" outline="0" axis="axisPage" fieldPosition="0"/>
    </format>
    <format dxfId="1067">
      <pivotArea dataOnly="0" labelOnly="1" outline="0" fieldPosition="0">
        <references count="1">
          <reference field="1" count="0"/>
        </references>
      </pivotArea>
    </format>
    <format dxfId="1066">
      <pivotArea dataOnly="0" labelOnly="1" fieldPosition="0">
        <references count="1">
          <reference field="5" count="1">
            <x v="2"/>
          </reference>
        </references>
      </pivotArea>
    </format>
  </formats>
  <chartFormats count="20">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 chart="0" format="31" series="1">
      <pivotArea type="data" outline="0" fieldPosition="0">
        <references count="2">
          <reference field="4294967294" count="1" selected="0">
            <x v="0"/>
          </reference>
          <reference field="5" count="1" selected="0">
            <x v="3"/>
          </reference>
        </references>
      </pivotArea>
    </chartFormat>
    <chartFormat chart="0" format="32">
      <pivotArea type="data" outline="0" fieldPosition="0">
        <references count="3">
          <reference field="4294967294" count="1" selected="0">
            <x v="0"/>
          </reference>
          <reference field="4" count="1" selected="0">
            <x v="17"/>
          </reference>
          <reference field="5" count="1" selected="0">
            <x v="1"/>
          </reference>
        </references>
      </pivotArea>
    </chartFormat>
    <chartFormat chart="0" format="33">
      <pivotArea type="data" outline="0" fieldPosition="0">
        <references count="3">
          <reference field="4294967294" count="1" selected="0">
            <x v="0"/>
          </reference>
          <reference field="4" count="1" selected="0">
            <x v="18"/>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9"/>
        <item m="1" x="19"/>
        <item m="1" x="20"/>
        <item m="1" x="12"/>
        <item m="1" x="10"/>
        <item m="1" x="14"/>
        <item m="1" x="16"/>
        <item x="7"/>
        <item x="8"/>
        <item m="1" x="17"/>
        <item m="1" x="13"/>
        <item m="1" x="21"/>
        <item m="1" x="11"/>
        <item m="1" x="18"/>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996">
      <pivotArea field="4" type="button" dataOnly="0" labelOnly="1" outline="0" axis="axisRow" fieldPosition="0"/>
    </format>
    <format dxfId="995">
      <pivotArea dataOnly="0" labelOnly="1" outline="0" axis="axisValues" fieldPosition="0"/>
    </format>
    <format dxfId="994">
      <pivotArea dataOnly="0" labelOnly="1" fieldPosition="0">
        <references count="1">
          <reference field="4" count="0"/>
        </references>
      </pivotArea>
    </format>
    <format dxfId="993">
      <pivotArea collapsedLevelsAreSubtotals="1" fieldPosition="0">
        <references count="1">
          <reference field="4" count="0"/>
        </references>
      </pivotArea>
    </format>
    <format dxfId="992">
      <pivotArea grandRow="1" outline="0" collapsedLevelsAreSubtotals="1" fieldPosition="0"/>
    </format>
    <format dxfId="991">
      <pivotArea dataOnly="0" labelOnly="1" grandRow="1" outline="0" fieldPosition="0"/>
    </format>
    <format dxfId="990">
      <pivotArea outline="0" collapsedLevelsAreSubtotals="1" fieldPosition="0"/>
    </format>
    <format dxfId="989">
      <pivotArea type="origin" dataOnly="0" labelOnly="1" outline="0" fieldPosition="0"/>
    </format>
    <format dxfId="988">
      <pivotArea field="1" type="button" dataOnly="0" labelOnly="1" outline="0" axis="axisCol" fieldPosition="0"/>
    </format>
    <format dxfId="987">
      <pivotArea collapsedLevelsAreSubtotals="1" fieldPosition="0">
        <references count="1">
          <reference field="4" count="0"/>
        </references>
      </pivotArea>
    </format>
    <format dxfId="986">
      <pivotArea field="4" type="button" dataOnly="0" labelOnly="1" outline="0" axis="axisRow" fieldPosition="0"/>
    </format>
    <format dxfId="985">
      <pivotArea dataOnly="0" labelOnly="1" fieldPosition="0">
        <references count="1">
          <reference field="4" count="0"/>
        </references>
      </pivotArea>
    </format>
    <format dxfId="984">
      <pivotArea dataOnly="0" labelOnly="1" fieldPosition="0">
        <references count="1">
          <reference field="1" count="0"/>
        </references>
      </pivotArea>
    </format>
    <format dxfId="983">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5"/>
        <item n="Richard Tracey, CCCM/NFI Cluster Coordinator, tracey@unhcr.org  09448027896" x="0"/>
        <item x="3"/>
        <item x="2"/>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5"/>
      <x v="44"/>
      <x v="17"/>
    </i>
    <i r="4">
      <x v="86"/>
      <x v="18"/>
    </i>
    <i r="1">
      <x v="4"/>
      <x/>
      <x v="1"/>
      <x v="4"/>
      <x v="15"/>
    </i>
    <i r="4">
      <x v="117"/>
      <x v="16"/>
    </i>
    <i t="default">
      <x v="3"/>
    </i>
    <i>
      <x v="6"/>
      <x/>
      <x v="1"/>
      <x v="3"/>
      <x v="13"/>
      <x v="101"/>
    </i>
    <i r="4">
      <x v="25"/>
      <x v="95"/>
    </i>
    <i r="4">
      <x v="102"/>
      <x v="89"/>
    </i>
    <i r="1">
      <x v="1"/>
      <x/>
      <x v="5"/>
      <x v="14"/>
      <x v="111"/>
    </i>
    <i r="4">
      <x v="15"/>
      <x v="112"/>
    </i>
    <i r="4">
      <x v="24"/>
      <x v="40"/>
    </i>
    <i r="4">
      <x v="59"/>
      <x v="96"/>
    </i>
    <i r="4">
      <x v="60"/>
      <x v="113"/>
    </i>
    <i r="4">
      <x v="79"/>
      <x v="44"/>
    </i>
    <i r="1">
      <x v="4"/>
      <x/>
      <x v="1"/>
      <x v="10"/>
      <x v="38"/>
    </i>
    <i r="4">
      <x v="38"/>
      <x v="41"/>
    </i>
    <i r="4">
      <x v="61"/>
      <x v="114"/>
    </i>
    <i r="4">
      <x v="94"/>
      <x v="45"/>
    </i>
    <i r="1">
      <x v="6"/>
      <x/>
      <x v="4"/>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28">
    <format dxfId="969">
      <pivotArea dataOnly="0" outline="0" fieldPosition="0">
        <references count="1">
          <reference field="5" count="0" defaultSubtotal="1"/>
        </references>
      </pivotArea>
    </format>
    <format dxfId="968">
      <pivotArea outline="0" fieldPosition="0">
        <references count="1">
          <reference field="4294967294" count="1">
            <x v="0"/>
          </reference>
        </references>
      </pivotArea>
    </format>
    <format dxfId="967">
      <pivotArea field="5" type="button" dataOnly="0" labelOnly="1" outline="0" axis="axisRow" fieldPosition="0"/>
    </format>
    <format dxfId="966">
      <pivotArea field="29" type="button" dataOnly="0" labelOnly="1" outline="0" axis="axisRow" fieldPosition="1"/>
    </format>
    <format dxfId="965">
      <pivotArea field="28" type="button" dataOnly="0" labelOnly="1" outline="0" axis="axisRow" fieldPosition="2"/>
    </format>
    <format dxfId="964">
      <pivotArea field="11" type="button" dataOnly="0" labelOnly="1" outline="0" axis="axisRow" fieldPosition="4"/>
    </format>
    <format dxfId="963">
      <pivotArea dataOnly="0" labelOnly="1" outline="0" axis="axisValues" fieldPosition="0"/>
    </format>
    <format dxfId="962">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961">
      <pivotArea dataOnly="0" labelOnly="1" outline="0" fieldPosition="0">
        <references count="2">
          <reference field="5" count="1" selected="0">
            <x v="3"/>
          </reference>
          <reference field="29" count="1">
            <x v="0"/>
          </reference>
        </references>
      </pivotArea>
    </format>
    <format dxfId="960">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959">
      <pivotArea outline="0" collapsedLevelsAreSubtotals="1" fieldPosition="0">
        <references count="1">
          <reference field="5" count="1" selected="0" defaultSubtotal="1">
            <x v="3"/>
          </reference>
        </references>
      </pivotArea>
    </format>
    <format dxfId="958">
      <pivotArea dataOnly="0" labelOnly="1" outline="0" fieldPosition="0">
        <references count="1">
          <reference field="5" count="1" defaultSubtotal="1">
            <x v="3"/>
          </reference>
        </references>
      </pivotArea>
    </format>
    <format dxfId="957">
      <pivotArea dataOnly="0" labelOnly="1" outline="0" fieldPosition="0">
        <references count="2">
          <reference field="5" count="1" selected="0">
            <x v="6"/>
          </reference>
          <reference field="29" count="1">
            <x v="0"/>
          </reference>
        </references>
      </pivotArea>
    </format>
    <format dxfId="956">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955">
      <pivotArea dataOnly="0" labelOnly="1" outline="0" fieldPosition="0">
        <references count="1">
          <reference field="5" count="1" defaultSubtotal="1">
            <x v="6"/>
          </reference>
        </references>
      </pivotArea>
    </format>
    <format dxfId="954">
      <pivotArea grandRow="1" outline="0" collapsedLevelsAreSubtotals="1" fieldPosition="0"/>
    </format>
    <format dxfId="953">
      <pivotArea dataOnly="0" labelOnly="1" grandRow="1" outline="0" fieldPosition="0"/>
    </format>
    <format dxfId="952">
      <pivotArea type="all" dataOnly="0" outline="0" fieldPosition="0"/>
    </format>
    <format dxfId="951">
      <pivotArea dataOnly="0" labelOnly="1" outline="0" fieldPosition="0">
        <references count="1">
          <reference field="11" count="0"/>
        </references>
      </pivotArea>
    </format>
    <format dxfId="950">
      <pivotArea dataOnly="0" labelOnly="1" outline="0" fieldPosition="0">
        <references count="1">
          <reference field="5" count="0"/>
        </references>
      </pivotArea>
    </format>
    <format dxfId="949">
      <pivotArea dataOnly="0" labelOnly="1" outline="0" fieldPosition="0">
        <references count="2">
          <reference field="5" count="1" selected="0">
            <x v="3"/>
          </reference>
          <reference field="29" count="1">
            <x v="0"/>
          </reference>
        </references>
      </pivotArea>
    </format>
    <format dxfId="948">
      <pivotArea dataOnly="0" labelOnly="1" outline="0" fieldPosition="0">
        <references count="2">
          <reference field="5" count="1" selected="0">
            <x v="6"/>
          </reference>
          <reference field="29" count="2">
            <x v="1"/>
            <x v="4"/>
          </reference>
        </references>
      </pivotArea>
    </format>
    <format dxfId="947">
      <pivotArea dataOnly="0" labelOnly="1" outline="0" fieldPosition="0">
        <references count="3">
          <reference field="5" count="1" selected="0">
            <x v="3"/>
          </reference>
          <reference field="28" count="1" selected="0">
            <x v="1"/>
          </reference>
          <reference field="29" count="1">
            <x v="0"/>
          </reference>
        </references>
      </pivotArea>
    </format>
    <format dxfId="946">
      <pivotArea field="11" type="button" dataOnly="0" labelOnly="1" outline="0" axis="axisRow" fieldPosition="4"/>
    </format>
    <format dxfId="945">
      <pivotArea field="12" type="button" dataOnly="0" labelOnly="1" outline="0" axis="axisRow" fieldPosition="5"/>
    </format>
    <format dxfId="944">
      <pivotArea outline="0" collapsedLevelsAreSubtotals="1" fieldPosition="0">
        <references count="1">
          <reference field="4294967294" count="1" selected="0">
            <x v="0"/>
          </reference>
        </references>
      </pivotArea>
    </format>
    <format dxfId="943">
      <pivotArea dataOnly="0" labelOnly="1" outline="0" fieldPosition="0">
        <references count="1">
          <reference field="4294967294" count="1">
            <x v="0"/>
          </reference>
        </references>
      </pivotArea>
    </format>
    <format dxfId="942">
      <pivotArea outline="0" collapsedLevelsAreSubtotals="1" fieldPosition="0">
        <references count="1">
          <reference field="4294967294" count="1" selected="0">
            <x v="0"/>
          </reference>
        </references>
      </pivotArea>
    </format>
    <format dxfId="941">
      <pivotArea dataOnly="0" labelOnly="1" outline="0" fieldPosition="0">
        <references count="1">
          <reference field="4294967294" count="1">
            <x v="0"/>
          </reference>
        </references>
      </pivotArea>
    </format>
    <format dxfId="940">
      <pivotArea outline="0" collapsedLevelsAreSubtotals="1" fieldPosition="0">
        <references count="1">
          <reference field="5" count="1" selected="0" defaultSubtotal="1">
            <x v="3"/>
          </reference>
        </references>
      </pivotArea>
    </format>
    <format dxfId="939">
      <pivotArea dataOnly="0" labelOnly="1" outline="0" fieldPosition="0">
        <references count="1">
          <reference field="34" count="0"/>
        </references>
      </pivotArea>
    </format>
    <format dxfId="938">
      <pivotArea outline="0" collapsedLevelsAreSubtotals="1" fieldPosition="0">
        <references count="1">
          <reference field="4294967294" count="1" selected="0">
            <x v="1"/>
          </reference>
        </references>
      </pivotArea>
    </format>
    <format dxfId="937">
      <pivotArea dataOnly="0" labelOnly="1" outline="0" fieldPosition="0">
        <references count="1">
          <reference field="4294967294" count="1">
            <x v="1"/>
          </reference>
        </references>
      </pivotArea>
    </format>
    <format dxfId="936">
      <pivotArea field="34" type="button" dataOnly="0" labelOnly="1" outline="0" axis="axisRow" fieldPosition="3"/>
    </format>
    <format dxfId="935">
      <pivotArea outline="0" collapsedLevelsAreSubtotals="1" fieldPosition="0">
        <references count="1">
          <reference field="5" count="1" selected="0" defaultSubtotal="1">
            <x v="3"/>
          </reference>
        </references>
      </pivotArea>
    </format>
    <format dxfId="934">
      <pivotArea dataOnly="0" labelOnly="1" grandRow="1" outline="0" fieldPosition="0"/>
    </format>
    <format dxfId="933">
      <pivotArea grandRow="1" outline="0" collapsedLevelsAreSubtotals="1" fieldPosition="0"/>
    </format>
    <format dxfId="932">
      <pivotArea dataOnly="0" labelOnly="1" grandRow="1" outline="0" fieldPosition="0"/>
    </format>
    <format dxfId="931">
      <pivotArea type="all" dataOnly="0" outline="0" fieldPosition="0"/>
    </format>
    <format dxfId="930">
      <pivotArea outline="0" collapsedLevelsAreSubtotals="1" fieldPosition="0">
        <references count="1">
          <reference field="4294967294" count="1" selected="0">
            <x v="2"/>
          </reference>
        </references>
      </pivotArea>
    </format>
    <format dxfId="929">
      <pivotArea type="all" dataOnly="0" outline="0" fieldPosition="0"/>
    </format>
    <format dxfId="928">
      <pivotArea dataOnly="0" labelOnly="1" outline="0" fieldPosition="0">
        <references count="1">
          <reference field="5" count="0"/>
        </references>
      </pivotArea>
    </format>
    <format dxfId="927">
      <pivotArea dataOnly="0" labelOnly="1" outline="0" fieldPosition="0">
        <references count="1">
          <reference field="5" count="0" defaultSubtotal="1"/>
        </references>
      </pivotArea>
    </format>
    <format dxfId="926">
      <pivotArea dataOnly="0" labelOnly="1" outline="0" fieldPosition="0">
        <references count="2">
          <reference field="5" count="1" selected="0">
            <x v="3"/>
          </reference>
          <reference field="29" count="2">
            <x v="1"/>
            <x v="4"/>
          </reference>
        </references>
      </pivotArea>
    </format>
    <format dxfId="925">
      <pivotArea dataOnly="0" labelOnly="1" outline="0" fieldPosition="0">
        <references count="2">
          <reference field="5" count="1" selected="0">
            <x v="6"/>
          </reference>
          <reference field="29" count="4">
            <x v="0"/>
            <x v="1"/>
            <x v="4"/>
            <x v="6"/>
          </reference>
        </references>
      </pivotArea>
    </format>
    <format dxfId="924">
      <pivotArea dataOnly="0" labelOnly="1" outline="0" fieldPosition="0">
        <references count="2">
          <reference field="5" count="1" selected="0">
            <x v="7"/>
          </reference>
          <reference field="29" count="1">
            <x v="2"/>
          </reference>
        </references>
      </pivotArea>
    </format>
    <format dxfId="923">
      <pivotArea dataOnly="0" labelOnly="1" outline="0" fieldPosition="0">
        <references count="3">
          <reference field="5" count="1" selected="0">
            <x v="3"/>
          </reference>
          <reference field="28" count="1">
            <x v="0"/>
          </reference>
          <reference field="29" count="1" selected="0">
            <x v="1"/>
          </reference>
        </references>
      </pivotArea>
    </format>
    <format dxfId="922">
      <pivotArea dataOnly="0" labelOnly="1" outline="0" fieldPosition="0">
        <references count="3">
          <reference field="5" count="1" selected="0">
            <x v="6"/>
          </reference>
          <reference field="28" count="1">
            <x v="1"/>
          </reference>
          <reference field="29" count="1" selected="0">
            <x v="0"/>
          </reference>
        </references>
      </pivotArea>
    </format>
    <format dxfId="921">
      <pivotArea dataOnly="0" labelOnly="1" outline="0" fieldPosition="0">
        <references count="3">
          <reference field="5" count="1" selected="0">
            <x v="6"/>
          </reference>
          <reference field="28" count="1">
            <x v="0"/>
          </reference>
          <reference field="29" count="1" selected="0">
            <x v="1"/>
          </reference>
        </references>
      </pivotArea>
    </format>
    <format dxfId="920">
      <pivotArea dataOnly="0" labelOnly="1" outline="0" fieldPosition="0">
        <references count="3">
          <reference field="5" count="1" selected="0">
            <x v="7"/>
          </reference>
          <reference field="28" count="1">
            <x v="1"/>
          </reference>
          <reference field="29" count="1" selected="0">
            <x v="2"/>
          </reference>
        </references>
      </pivotArea>
    </format>
    <format dxfId="919">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18">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917">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16">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915">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14">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913">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12">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911">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10">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909">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908">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907">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06">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05">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04">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03">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902">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901">
      <pivotArea dataOnly="0" labelOnly="1" outline="0" fieldPosition="0">
        <references count="1">
          <reference field="5" count="0"/>
        </references>
      </pivotArea>
    </format>
    <format dxfId="900">
      <pivotArea dataOnly="0" labelOnly="1" outline="0" fieldPosition="0">
        <references count="1">
          <reference field="5" count="2" defaultSubtotal="1">
            <x v="3"/>
            <x v="6"/>
          </reference>
        </references>
      </pivotArea>
    </format>
    <format dxfId="899">
      <pivotArea dataOnly="0" labelOnly="1" outline="0" fieldPosition="0">
        <references count="2">
          <reference field="5" count="1" selected="0">
            <x v="3"/>
          </reference>
          <reference field="29" count="2">
            <x v="1"/>
            <x v="4"/>
          </reference>
        </references>
      </pivotArea>
    </format>
    <format dxfId="898">
      <pivotArea dataOnly="0" labelOnly="1" outline="0" fieldPosition="0">
        <references count="2">
          <reference field="5" count="1" selected="0">
            <x v="6"/>
          </reference>
          <reference field="29" count="4">
            <x v="0"/>
            <x v="1"/>
            <x v="4"/>
            <x v="6"/>
          </reference>
        </references>
      </pivotArea>
    </format>
    <format dxfId="897">
      <pivotArea dataOnly="0" labelOnly="1" outline="0" fieldPosition="0">
        <references count="2">
          <reference field="5" count="1" selected="0">
            <x v="7"/>
          </reference>
          <reference field="29" count="1">
            <x v="2"/>
          </reference>
        </references>
      </pivotArea>
    </format>
    <format dxfId="896">
      <pivotArea dataOnly="0" labelOnly="1" outline="0" fieldPosition="0">
        <references count="3">
          <reference field="5" count="1" selected="0">
            <x v="3"/>
          </reference>
          <reference field="28" count="1">
            <x v="0"/>
          </reference>
          <reference field="29" count="1" selected="0">
            <x v="1"/>
          </reference>
        </references>
      </pivotArea>
    </format>
    <format dxfId="895">
      <pivotArea dataOnly="0" labelOnly="1" outline="0" fieldPosition="0">
        <references count="3">
          <reference field="5" count="1" selected="0">
            <x v="6"/>
          </reference>
          <reference field="28" count="1">
            <x v="1"/>
          </reference>
          <reference field="29" count="1" selected="0">
            <x v="0"/>
          </reference>
        </references>
      </pivotArea>
    </format>
    <format dxfId="894">
      <pivotArea dataOnly="0" labelOnly="1" outline="0" fieldPosition="0">
        <references count="3">
          <reference field="5" count="1" selected="0">
            <x v="6"/>
          </reference>
          <reference field="28" count="1">
            <x v="0"/>
          </reference>
          <reference field="29" count="1" selected="0">
            <x v="1"/>
          </reference>
        </references>
      </pivotArea>
    </format>
    <format dxfId="893">
      <pivotArea dataOnly="0" labelOnly="1" outline="0" fieldPosition="0">
        <references count="3">
          <reference field="5" count="1" selected="0">
            <x v="7"/>
          </reference>
          <reference field="28" count="1">
            <x v="1"/>
          </reference>
          <reference field="29" count="1" selected="0">
            <x v="2"/>
          </reference>
        </references>
      </pivotArea>
    </format>
    <format dxfId="89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91">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890">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89">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888">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87">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886">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85">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88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8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88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88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880">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79">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78">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77">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76">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875">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874">
      <pivotArea type="all" dataOnly="0" outline="0" fieldPosition="0"/>
    </format>
    <format dxfId="873">
      <pivotArea outline="0" collapsedLevelsAreSubtotals="1" fieldPosition="0"/>
    </format>
    <format dxfId="872">
      <pivotArea dataOnly="0" labelOnly="1" outline="0" fieldPosition="0">
        <references count="1">
          <reference field="5" count="0"/>
        </references>
      </pivotArea>
    </format>
    <format dxfId="871">
      <pivotArea dataOnly="0" labelOnly="1" outline="0" fieldPosition="0">
        <references count="1">
          <reference field="5" count="0" defaultSubtotal="1"/>
        </references>
      </pivotArea>
    </format>
    <format dxfId="870">
      <pivotArea dataOnly="0" labelOnly="1" grandRow="1" outline="0" fieldPosition="0"/>
    </format>
    <format dxfId="869">
      <pivotArea dataOnly="0" labelOnly="1" outline="0" fieldPosition="0">
        <references count="2">
          <reference field="5" count="1" selected="0">
            <x v="3"/>
          </reference>
          <reference field="29" count="2">
            <x v="1"/>
            <x v="4"/>
          </reference>
        </references>
      </pivotArea>
    </format>
    <format dxfId="868">
      <pivotArea dataOnly="0" labelOnly="1" outline="0" fieldPosition="0">
        <references count="2">
          <reference field="5" count="1" selected="0">
            <x v="6"/>
          </reference>
          <reference field="29" count="4">
            <x v="0"/>
            <x v="1"/>
            <x v="4"/>
            <x v="6"/>
          </reference>
        </references>
      </pivotArea>
    </format>
    <format dxfId="867">
      <pivotArea dataOnly="0" labelOnly="1" outline="0" fieldPosition="0">
        <references count="2">
          <reference field="5" count="1" selected="0">
            <x v="7"/>
          </reference>
          <reference field="29" count="1">
            <x v="2"/>
          </reference>
        </references>
      </pivotArea>
    </format>
    <format dxfId="866">
      <pivotArea dataOnly="0" labelOnly="1" outline="0" fieldPosition="0">
        <references count="3">
          <reference field="5" count="1" selected="0">
            <x v="3"/>
          </reference>
          <reference field="28" count="1">
            <x v="0"/>
          </reference>
          <reference field="29" count="1" selected="0">
            <x v="1"/>
          </reference>
        </references>
      </pivotArea>
    </format>
    <format dxfId="865">
      <pivotArea dataOnly="0" labelOnly="1" outline="0" fieldPosition="0">
        <references count="3">
          <reference field="5" count="1" selected="0">
            <x v="6"/>
          </reference>
          <reference field="28" count="1">
            <x v="1"/>
          </reference>
          <reference field="29" count="1" selected="0">
            <x v="0"/>
          </reference>
        </references>
      </pivotArea>
    </format>
    <format dxfId="864">
      <pivotArea dataOnly="0" labelOnly="1" outline="0" fieldPosition="0">
        <references count="3">
          <reference field="5" count="1" selected="0">
            <x v="6"/>
          </reference>
          <reference field="28" count="1">
            <x v="0"/>
          </reference>
          <reference field="29" count="1" selected="0">
            <x v="1"/>
          </reference>
        </references>
      </pivotArea>
    </format>
    <format dxfId="863">
      <pivotArea dataOnly="0" labelOnly="1" outline="0" fieldPosition="0">
        <references count="3">
          <reference field="5" count="1" selected="0">
            <x v="7"/>
          </reference>
          <reference field="28" count="1">
            <x v="1"/>
          </reference>
          <reference field="29" count="1" selected="0">
            <x v="2"/>
          </reference>
        </references>
      </pivotArea>
    </format>
    <format dxfId="86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61">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860">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59">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858">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57">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856">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55">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85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5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85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85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850">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49">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48">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47">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46">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845">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844">
      <pivotArea dataOnly="0" labelOnly="1" outline="0" fieldPosition="0">
        <references count="1">
          <reference field="4294967294" count="3">
            <x v="0"/>
            <x v="1"/>
            <x v="2"/>
          </reference>
        </references>
      </pivotArea>
    </format>
    <format dxfId="843">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842">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1"/>
        <item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839">
      <pivotArea outline="0" fieldPosition="0">
        <references count="1">
          <reference field="4294967294" count="1">
            <x v="1"/>
          </reference>
        </references>
      </pivotArea>
    </format>
    <format dxfId="838">
      <pivotArea outline="0" fieldPosition="0">
        <references count="1">
          <reference field="4294967294" count="1">
            <x v="0"/>
          </reference>
        </references>
      </pivotArea>
    </format>
    <format dxfId="837">
      <pivotArea field="5" type="button" dataOnly="0" labelOnly="1" outline="0" axis="axisRow" fieldPosition="0"/>
    </format>
    <format dxfId="836">
      <pivotArea field="11" type="button" dataOnly="0" labelOnly="1" outline="0" axis="axisRow" fieldPosition="1"/>
    </format>
    <format dxfId="835">
      <pivotArea field="12" type="button" dataOnly="0" labelOnly="1" outline="0" axis="axisRow" fieldPosition="2"/>
    </format>
    <format dxfId="834">
      <pivotArea field="28" type="button" dataOnly="0" labelOnly="1" outline="0"/>
    </format>
    <format dxfId="833">
      <pivotArea field="29" type="button" dataOnly="0" labelOnly="1" outline="0"/>
    </format>
    <format dxfId="832">
      <pivotArea dataOnly="0" labelOnly="1" outline="0" fieldPosition="0">
        <references count="1">
          <reference field="4294967294" count="2">
            <x v="0"/>
            <x v="1"/>
          </reference>
        </references>
      </pivotArea>
    </format>
    <format dxfId="831">
      <pivotArea type="all" dataOnly="0" outline="0" fieldPosition="0"/>
    </format>
    <format dxfId="830">
      <pivotArea outline="0" collapsedLevelsAreSubtotals="1" fieldPosition="0"/>
    </format>
    <format dxfId="829">
      <pivotArea dataOnly="0" labelOnly="1" outline="0" fieldPosition="0">
        <references count="1">
          <reference field="5" count="7">
            <x v="0"/>
            <x v="1"/>
            <x v="3"/>
            <x v="4"/>
            <x v="5"/>
            <x v="6"/>
            <x v="7"/>
          </reference>
        </references>
      </pivotArea>
    </format>
    <format dxfId="828">
      <pivotArea dataOnly="0" labelOnly="1" outline="0" fieldPosition="0">
        <references count="1">
          <reference field="5" count="7" defaultSubtotal="1">
            <x v="0"/>
            <x v="1"/>
            <x v="3"/>
            <x v="4"/>
            <x v="5"/>
            <x v="6"/>
            <x v="7"/>
          </reference>
        </references>
      </pivotArea>
    </format>
    <format dxfId="827">
      <pivotArea dataOnly="0" labelOnly="1" grandRow="1" outline="0" fieldPosition="0"/>
    </format>
    <format dxfId="826">
      <pivotArea dataOnly="0" labelOnly="1" outline="0" fieldPosition="0">
        <references count="2">
          <reference field="5" count="1" selected="0">
            <x v="0"/>
          </reference>
          <reference field="11" count="1">
            <x v="60"/>
          </reference>
        </references>
      </pivotArea>
    </format>
    <format dxfId="825">
      <pivotArea dataOnly="0" labelOnly="1" outline="0" fieldPosition="0">
        <references count="2">
          <reference field="5" count="1" selected="0">
            <x v="1"/>
          </reference>
          <reference field="11" count="9">
            <x v="16"/>
            <x v="27"/>
            <x v="33"/>
            <x v="56"/>
            <x v="62"/>
            <x v="92"/>
            <x v="103"/>
            <x v="109"/>
            <x v="114"/>
          </reference>
        </references>
      </pivotArea>
    </format>
    <format dxfId="824">
      <pivotArea dataOnly="0" labelOnly="1" outline="0" fieldPosition="0">
        <references count="2">
          <reference field="5" count="1" selected="0">
            <x v="3"/>
          </reference>
          <reference field="11" count="3">
            <x v="4"/>
            <x v="45"/>
            <x v="90"/>
          </reference>
        </references>
      </pivotArea>
    </format>
    <format dxfId="823">
      <pivotArea dataOnly="0" labelOnly="1" outline="0" fieldPosition="0">
        <references count="2">
          <reference field="5" count="1" selected="0">
            <x v="4"/>
          </reference>
          <reference field="11" count="2">
            <x v="75"/>
            <x v="76"/>
          </reference>
        </references>
      </pivotArea>
    </format>
    <format dxfId="822">
      <pivotArea dataOnly="0" labelOnly="1" outline="0" fieldPosition="0">
        <references count="2">
          <reference field="5" count="1" selected="0">
            <x v="5"/>
          </reference>
          <reference field="11" count="3">
            <x v="0"/>
            <x v="20"/>
            <x v="42"/>
          </reference>
        </references>
      </pivotArea>
    </format>
    <format dxfId="821">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820">
      <pivotArea dataOnly="0" labelOnly="1" outline="0" fieldPosition="0">
        <references count="2">
          <reference field="5" count="1" selected="0">
            <x v="7"/>
          </reference>
          <reference field="11" count="2">
            <x v="36"/>
            <x v="95"/>
          </reference>
        </references>
      </pivotArea>
    </format>
    <format dxfId="819">
      <pivotArea dataOnly="0" labelOnly="1" outline="0" fieldPosition="0">
        <references count="3">
          <reference field="5" count="1" selected="0">
            <x v="0"/>
          </reference>
          <reference field="11" count="1" selected="0">
            <x v="60"/>
          </reference>
          <reference field="12" count="1">
            <x v="22"/>
          </reference>
        </references>
      </pivotArea>
    </format>
    <format dxfId="818">
      <pivotArea dataOnly="0" labelOnly="1" outline="0" fieldPosition="0">
        <references count="3">
          <reference field="5" count="1" selected="0">
            <x v="1"/>
          </reference>
          <reference field="11" count="1" selected="0">
            <x v="16"/>
          </reference>
          <reference field="12" count="1">
            <x v="82"/>
          </reference>
        </references>
      </pivotArea>
    </format>
    <format dxfId="817">
      <pivotArea dataOnly="0" labelOnly="1" outline="0" fieldPosition="0">
        <references count="3">
          <reference field="5" count="1" selected="0">
            <x v="1"/>
          </reference>
          <reference field="11" count="1" selected="0">
            <x v="27"/>
          </reference>
          <reference field="12" count="1">
            <x v="86"/>
          </reference>
        </references>
      </pivotArea>
    </format>
    <format dxfId="816">
      <pivotArea dataOnly="0" labelOnly="1" outline="0" fieldPosition="0">
        <references count="3">
          <reference field="5" count="1" selected="0">
            <x v="1"/>
          </reference>
          <reference field="11" count="1" selected="0">
            <x v="33"/>
          </reference>
          <reference field="12" count="1">
            <x v="108"/>
          </reference>
        </references>
      </pivotArea>
    </format>
    <format dxfId="815">
      <pivotArea dataOnly="0" labelOnly="1" outline="0" fieldPosition="0">
        <references count="3">
          <reference field="5" count="1" selected="0">
            <x v="1"/>
          </reference>
          <reference field="11" count="1" selected="0">
            <x v="56"/>
          </reference>
          <reference field="12" count="1">
            <x v="81"/>
          </reference>
        </references>
      </pivotArea>
    </format>
    <format dxfId="814">
      <pivotArea dataOnly="0" labelOnly="1" outline="0" fieldPosition="0">
        <references count="3">
          <reference field="5" count="1" selected="0">
            <x v="1"/>
          </reference>
          <reference field="11" count="1" selected="0">
            <x v="62"/>
          </reference>
          <reference field="12" count="1">
            <x v="80"/>
          </reference>
        </references>
      </pivotArea>
    </format>
    <format dxfId="813">
      <pivotArea dataOnly="0" labelOnly="1" outline="0" fieldPosition="0">
        <references count="3">
          <reference field="5" count="1" selected="0">
            <x v="1"/>
          </reference>
          <reference field="11" count="1" selected="0">
            <x v="92"/>
          </reference>
          <reference field="12" count="1">
            <x v="92"/>
          </reference>
        </references>
      </pivotArea>
    </format>
    <format dxfId="812">
      <pivotArea dataOnly="0" labelOnly="1" outline="0" fieldPosition="0">
        <references count="3">
          <reference field="5" count="1" selected="0">
            <x v="1"/>
          </reference>
          <reference field="11" count="1" selected="0">
            <x v="103"/>
          </reference>
          <reference field="12" count="1">
            <x v="84"/>
          </reference>
        </references>
      </pivotArea>
    </format>
    <format dxfId="811">
      <pivotArea dataOnly="0" labelOnly="1" outline="0" fieldPosition="0">
        <references count="3">
          <reference field="5" count="1" selected="0">
            <x v="1"/>
          </reference>
          <reference field="11" count="1" selected="0">
            <x v="109"/>
          </reference>
          <reference field="12" count="1">
            <x v="93"/>
          </reference>
        </references>
      </pivotArea>
    </format>
    <format dxfId="810">
      <pivotArea dataOnly="0" labelOnly="1" outline="0" fieldPosition="0">
        <references count="3">
          <reference field="5" count="1" selected="0">
            <x v="1"/>
          </reference>
          <reference field="11" count="1" selected="0">
            <x v="114"/>
          </reference>
          <reference field="12" count="1">
            <x v="83"/>
          </reference>
        </references>
      </pivotArea>
    </format>
    <format dxfId="809">
      <pivotArea dataOnly="0" labelOnly="1" outline="0" fieldPosition="0">
        <references count="3">
          <reference field="5" count="1" selected="0">
            <x v="3"/>
          </reference>
          <reference field="11" count="1" selected="0">
            <x v="4"/>
          </reference>
          <reference field="12" count="1">
            <x v="15"/>
          </reference>
        </references>
      </pivotArea>
    </format>
    <format dxfId="808">
      <pivotArea dataOnly="0" labelOnly="1" outline="0" fieldPosition="0">
        <references count="3">
          <reference field="5" count="1" selected="0">
            <x v="3"/>
          </reference>
          <reference field="11" count="1" selected="0">
            <x v="45"/>
          </reference>
          <reference field="12" count="1">
            <x v="17"/>
          </reference>
        </references>
      </pivotArea>
    </format>
    <format dxfId="807">
      <pivotArea dataOnly="0" labelOnly="1" outline="0" fieldPosition="0">
        <references count="3">
          <reference field="5" count="1" selected="0">
            <x v="3"/>
          </reference>
          <reference field="11" count="1" selected="0">
            <x v="90"/>
          </reference>
          <reference field="12" count="1">
            <x v="18"/>
          </reference>
        </references>
      </pivotArea>
    </format>
    <format dxfId="806">
      <pivotArea dataOnly="0" labelOnly="1" outline="0" fieldPosition="0">
        <references count="3">
          <reference field="5" count="1" selected="0">
            <x v="4"/>
          </reference>
          <reference field="11" count="1" selected="0">
            <x v="75"/>
          </reference>
          <reference field="12" count="1">
            <x v="37"/>
          </reference>
        </references>
      </pivotArea>
    </format>
    <format dxfId="805">
      <pivotArea dataOnly="0" labelOnly="1" outline="0" fieldPosition="0">
        <references count="3">
          <reference field="5" count="1" selected="0">
            <x v="4"/>
          </reference>
          <reference field="11" count="1" selected="0">
            <x v="76"/>
          </reference>
          <reference field="12" count="1">
            <x v="36"/>
          </reference>
        </references>
      </pivotArea>
    </format>
    <format dxfId="804">
      <pivotArea dataOnly="0" labelOnly="1" outline="0" fieldPosition="0">
        <references count="3">
          <reference field="5" count="1" selected="0">
            <x v="5"/>
          </reference>
          <reference field="11" count="1" selected="0">
            <x v="0"/>
          </reference>
          <reference field="12" count="1">
            <x v="33"/>
          </reference>
        </references>
      </pivotArea>
    </format>
    <format dxfId="803">
      <pivotArea dataOnly="0" labelOnly="1" outline="0" fieldPosition="0">
        <references count="3">
          <reference field="5" count="1" selected="0">
            <x v="5"/>
          </reference>
          <reference field="11" count="1" selected="0">
            <x v="20"/>
          </reference>
          <reference field="12" count="1">
            <x v="32"/>
          </reference>
        </references>
      </pivotArea>
    </format>
    <format dxfId="802">
      <pivotArea dataOnly="0" labelOnly="1" outline="0" fieldPosition="0">
        <references count="3">
          <reference field="5" count="1" selected="0">
            <x v="5"/>
          </reference>
          <reference field="11" count="1" selected="0">
            <x v="42"/>
          </reference>
          <reference field="12" count="1">
            <x v="104"/>
          </reference>
        </references>
      </pivotArea>
    </format>
    <format dxfId="801">
      <pivotArea dataOnly="0" labelOnly="1" outline="0" fieldPosition="0">
        <references count="3">
          <reference field="5" count="1" selected="0">
            <x v="6"/>
          </reference>
          <reference field="11" count="1" selected="0">
            <x v="10"/>
          </reference>
          <reference field="12" count="1">
            <x v="38"/>
          </reference>
        </references>
      </pivotArea>
    </format>
    <format dxfId="800">
      <pivotArea dataOnly="0" labelOnly="1" outline="0" fieldPosition="0">
        <references count="3">
          <reference field="5" count="1" selected="0">
            <x v="6"/>
          </reference>
          <reference field="11" count="1" selected="0">
            <x v="13"/>
          </reference>
          <reference field="12" count="1">
            <x v="101"/>
          </reference>
        </references>
      </pivotArea>
    </format>
    <format dxfId="799">
      <pivotArea dataOnly="0" labelOnly="1" outline="0" fieldPosition="0">
        <references count="3">
          <reference field="5" count="1" selected="0">
            <x v="6"/>
          </reference>
          <reference field="11" count="1" selected="0">
            <x v="14"/>
          </reference>
          <reference field="12" count="1">
            <x v="109"/>
          </reference>
        </references>
      </pivotArea>
    </format>
    <format dxfId="798">
      <pivotArea dataOnly="0" labelOnly="1" outline="0" fieldPosition="0">
        <references count="3">
          <reference field="5" count="1" selected="0">
            <x v="6"/>
          </reference>
          <reference field="11" count="1" selected="0">
            <x v="15"/>
          </reference>
          <reference field="12" count="1">
            <x v="110"/>
          </reference>
        </references>
      </pivotArea>
    </format>
    <format dxfId="797">
      <pivotArea dataOnly="0" labelOnly="1" outline="0" fieldPosition="0">
        <references count="3">
          <reference field="5" count="1" selected="0">
            <x v="6"/>
          </reference>
          <reference field="11" count="1" selected="0">
            <x v="24"/>
          </reference>
          <reference field="12" count="1">
            <x v="40"/>
          </reference>
        </references>
      </pivotArea>
    </format>
    <format dxfId="796">
      <pivotArea dataOnly="0" labelOnly="1" outline="0" fieldPosition="0">
        <references count="3">
          <reference field="5" count="1" selected="0">
            <x v="6"/>
          </reference>
          <reference field="11" count="1" selected="0">
            <x v="25"/>
          </reference>
          <reference field="12" count="1">
            <x v="95"/>
          </reference>
        </references>
      </pivotArea>
    </format>
    <format dxfId="795">
      <pivotArea dataOnly="0" labelOnly="1" outline="0" fieldPosition="0">
        <references count="3">
          <reference field="5" count="1" selected="0">
            <x v="6"/>
          </reference>
          <reference field="11" count="1" selected="0">
            <x v="39"/>
          </reference>
          <reference field="12" count="1">
            <x v="41"/>
          </reference>
        </references>
      </pivotArea>
    </format>
    <format dxfId="794">
      <pivotArea dataOnly="0" labelOnly="1" outline="0" fieldPosition="0">
        <references count="3">
          <reference field="5" count="1" selected="0">
            <x v="6"/>
          </reference>
          <reference field="11" count="1" selected="0">
            <x v="51"/>
          </reference>
          <reference field="12" count="1">
            <x v="90"/>
          </reference>
        </references>
      </pivotArea>
    </format>
    <format dxfId="793">
      <pivotArea dataOnly="0" labelOnly="1" outline="0" fieldPosition="0">
        <references count="3">
          <reference field="5" count="1" selected="0">
            <x v="6"/>
          </reference>
          <reference field="11" count="1" selected="0">
            <x v="63"/>
          </reference>
          <reference field="12" count="1">
            <x v="96"/>
          </reference>
        </references>
      </pivotArea>
    </format>
    <format dxfId="792">
      <pivotArea dataOnly="0" labelOnly="1" outline="0" fieldPosition="0">
        <references count="3">
          <reference field="5" count="1" selected="0">
            <x v="6"/>
          </reference>
          <reference field="11" count="1" selected="0">
            <x v="64"/>
          </reference>
          <reference field="12" count="1">
            <x v="111"/>
          </reference>
        </references>
      </pivotArea>
    </format>
    <format dxfId="791">
      <pivotArea dataOnly="0" labelOnly="1" outline="0" fieldPosition="0">
        <references count="3">
          <reference field="5" count="1" selected="0">
            <x v="6"/>
          </reference>
          <reference field="11" count="1" selected="0">
            <x v="65"/>
          </reference>
          <reference field="12" count="1">
            <x v="112"/>
          </reference>
        </references>
      </pivotArea>
    </format>
    <format dxfId="790">
      <pivotArea dataOnly="0" labelOnly="1" outline="0" fieldPosition="0">
        <references count="3">
          <reference field="5" count="1" selected="0">
            <x v="6"/>
          </reference>
          <reference field="11" count="1" selected="0">
            <x v="83"/>
          </reference>
          <reference field="12" count="1">
            <x v="44"/>
          </reference>
        </references>
      </pivotArea>
    </format>
    <format dxfId="789">
      <pivotArea dataOnly="0" labelOnly="1" outline="0" fieldPosition="0">
        <references count="3">
          <reference field="5" count="1" selected="0">
            <x v="6"/>
          </reference>
          <reference field="11" count="1" selected="0">
            <x v="99"/>
          </reference>
          <reference field="12" count="1">
            <x v="45"/>
          </reference>
        </references>
      </pivotArea>
    </format>
    <format dxfId="788">
      <pivotArea dataOnly="0" labelOnly="1" outline="0" fieldPosition="0">
        <references count="3">
          <reference field="5" count="1" selected="0">
            <x v="6"/>
          </reference>
          <reference field="11" count="1" selected="0">
            <x v="107"/>
          </reference>
          <reference field="12" count="1">
            <x v="89"/>
          </reference>
        </references>
      </pivotArea>
    </format>
    <format dxfId="787">
      <pivotArea dataOnly="0" labelOnly="1" outline="0" fieldPosition="0">
        <references count="3">
          <reference field="5" count="1" selected="0">
            <x v="7"/>
          </reference>
          <reference field="11" count="1" selected="0">
            <x v="36"/>
          </reference>
          <reference field="12" count="1">
            <x v="12"/>
          </reference>
        </references>
      </pivotArea>
    </format>
    <format dxfId="786">
      <pivotArea dataOnly="0" labelOnly="1" outline="0" fieldPosition="0">
        <references count="3">
          <reference field="5" count="1" selected="0">
            <x v="7"/>
          </reference>
          <reference field="11" count="1" selected="0">
            <x v="95"/>
          </reference>
          <reference field="12" count="1">
            <x v="13"/>
          </reference>
        </references>
      </pivotArea>
    </format>
    <format dxfId="785">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2"/>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784">
      <pivotArea dataOnly="0" outline="0" fieldPosition="0">
        <references count="1">
          <reference field="5" count="0" defaultSubtotal="1"/>
        </references>
      </pivotArea>
    </format>
    <format dxfId="783">
      <pivotArea outline="0" fieldPosition="0">
        <references count="1">
          <reference field="4294967294" count="1">
            <x v="0"/>
          </reference>
        </references>
      </pivotArea>
    </format>
    <format dxfId="782">
      <pivotArea field="5" type="button" dataOnly="0" labelOnly="1" outline="0" axis="axisRow" fieldPosition="0"/>
    </format>
    <format dxfId="781">
      <pivotArea field="29" type="button" dataOnly="0" labelOnly="1" outline="0"/>
    </format>
    <format dxfId="780">
      <pivotArea field="28" type="button" dataOnly="0" labelOnly="1" outline="0"/>
    </format>
    <format dxfId="779">
      <pivotArea field="11" type="button" dataOnly="0" labelOnly="1" outline="0" axis="axisRow" fieldPosition="1"/>
    </format>
    <format dxfId="778">
      <pivotArea dataOnly="0" labelOnly="1" outline="0" axis="axisValues" fieldPosition="0"/>
    </format>
    <format dxfId="777">
      <pivotArea outline="0" collapsedLevelsAreSubtotals="1" fieldPosition="0">
        <references count="1">
          <reference field="5" count="1" selected="0" defaultSubtotal="1">
            <x v="3"/>
          </reference>
        </references>
      </pivotArea>
    </format>
    <format dxfId="776">
      <pivotArea dataOnly="0" labelOnly="1" outline="0" fieldPosition="0">
        <references count="1">
          <reference field="5" count="1" defaultSubtotal="1">
            <x v="3"/>
          </reference>
        </references>
      </pivotArea>
    </format>
    <format dxfId="775">
      <pivotArea dataOnly="0" labelOnly="1" outline="0" fieldPosition="0">
        <references count="1">
          <reference field="5" count="1" defaultSubtotal="1">
            <x v="6"/>
          </reference>
        </references>
      </pivotArea>
    </format>
    <format dxfId="774">
      <pivotArea grandRow="1" outline="0" collapsedLevelsAreSubtotals="1" fieldPosition="0"/>
    </format>
    <format dxfId="773">
      <pivotArea dataOnly="0" labelOnly="1" grandRow="1" outline="0" fieldPosition="0"/>
    </format>
    <format dxfId="772">
      <pivotArea type="all" dataOnly="0" outline="0" fieldPosition="0"/>
    </format>
    <format dxfId="771">
      <pivotArea dataOnly="0" labelOnly="1" outline="0" fieldPosition="0">
        <references count="1">
          <reference field="11" count="0"/>
        </references>
      </pivotArea>
    </format>
    <format dxfId="770">
      <pivotArea dataOnly="0" labelOnly="1" outline="0" fieldPosition="0">
        <references count="1">
          <reference field="5" count="0"/>
        </references>
      </pivotArea>
    </format>
    <format dxfId="769">
      <pivotArea dataOnly="0" labelOnly="1" outline="0" fieldPosition="0">
        <references count="1">
          <reference field="5" count="1" defaultSubtotal="1">
            <x v="3"/>
          </reference>
        </references>
      </pivotArea>
    </format>
    <format dxfId="768">
      <pivotArea field="11" type="button" dataOnly="0" labelOnly="1" outline="0" axis="axisRow" fieldPosition="1"/>
    </format>
    <format dxfId="767">
      <pivotArea field="12" type="button" dataOnly="0" labelOnly="1" outline="0" axis="axisRow" fieldPosition="2"/>
    </format>
    <format dxfId="766">
      <pivotArea outline="0" collapsedLevelsAreSubtotals="1" fieldPosition="0">
        <references count="1">
          <reference field="4294967294" count="1" selected="0">
            <x v="0"/>
          </reference>
        </references>
      </pivotArea>
    </format>
    <format dxfId="765">
      <pivotArea dataOnly="0" labelOnly="1" outline="0" fieldPosition="0">
        <references count="1">
          <reference field="4294967294" count="1">
            <x v="0"/>
          </reference>
        </references>
      </pivotArea>
    </format>
    <format dxfId="764">
      <pivotArea outline="0" collapsedLevelsAreSubtotals="1" fieldPosition="0">
        <references count="1">
          <reference field="4294967294" count="1" selected="0">
            <x v="0"/>
          </reference>
        </references>
      </pivotArea>
    </format>
    <format dxfId="763">
      <pivotArea dataOnly="0" labelOnly="1" outline="0" fieldPosition="0">
        <references count="1">
          <reference field="4294967294" count="1">
            <x v="0"/>
          </reference>
        </references>
      </pivotArea>
    </format>
    <format dxfId="762">
      <pivotArea dataOnly="0" labelOnly="1" outline="0" fieldPosition="0">
        <references count="1">
          <reference field="5" count="1" defaultSubtotal="1">
            <x v="3"/>
          </reference>
        </references>
      </pivotArea>
    </format>
    <format dxfId="761">
      <pivotArea outline="0" collapsedLevelsAreSubtotals="1" fieldPosition="0">
        <references count="1">
          <reference field="5" count="1" selected="0" defaultSubtotal="1">
            <x v="3"/>
          </reference>
        </references>
      </pivotArea>
    </format>
    <format dxfId="760">
      <pivotArea dataOnly="0" labelOnly="1" outline="0" fieldPosition="0">
        <references count="1">
          <reference field="5" count="1" defaultSubtotal="1">
            <x v="6"/>
          </reference>
        </references>
      </pivotArea>
    </format>
    <format dxfId="759">
      <pivotArea outline="0" collapsedLevelsAreSubtotals="1" fieldPosition="0">
        <references count="1">
          <reference field="4294967294" count="1" selected="0">
            <x v="1"/>
          </reference>
        </references>
      </pivotArea>
    </format>
    <format dxfId="758">
      <pivotArea dataOnly="0" labelOnly="1" outline="0" fieldPosition="0">
        <references count="1">
          <reference field="4294967294" count="1">
            <x v="1"/>
          </reference>
        </references>
      </pivotArea>
    </format>
    <format dxfId="757">
      <pivotArea field="34" type="button" dataOnly="0" labelOnly="1" outline="0"/>
    </format>
    <format dxfId="756">
      <pivotArea outline="0" collapsedLevelsAreSubtotals="1" fieldPosition="0">
        <references count="1">
          <reference field="5" count="1" selected="0" defaultSubtotal="1">
            <x v="3"/>
          </reference>
        </references>
      </pivotArea>
    </format>
    <format dxfId="755">
      <pivotArea dataOnly="0" labelOnly="1" grandRow="1" outline="0" fieldPosition="0"/>
    </format>
    <format dxfId="754">
      <pivotArea grandRow="1" outline="0" collapsedLevelsAreSubtotals="1" fieldPosition="0"/>
    </format>
    <format dxfId="753">
      <pivotArea dataOnly="0" labelOnly="1" grandRow="1" outline="0" fieldPosition="0"/>
    </format>
    <format dxfId="752">
      <pivotArea type="all" dataOnly="0" outline="0" fieldPosition="0"/>
    </format>
    <format dxfId="751">
      <pivotArea outline="0" collapsedLevelsAreSubtotals="1" fieldPosition="0"/>
    </format>
    <format dxfId="750">
      <pivotArea dataOnly="0" labelOnly="1" outline="0" fieldPosition="0">
        <references count="1">
          <reference field="5" count="0"/>
        </references>
      </pivotArea>
    </format>
    <format dxfId="749">
      <pivotArea dataOnly="0" labelOnly="1" outline="0" fieldPosition="0">
        <references count="1">
          <reference field="5" count="0" defaultSubtotal="1"/>
        </references>
      </pivotArea>
    </format>
    <format dxfId="748">
      <pivotArea dataOnly="0" labelOnly="1" grandRow="1" outline="0" fieldPosition="0"/>
    </format>
    <format dxfId="747">
      <pivotArea dataOnly="0" labelOnly="1" outline="0" fieldPosition="0">
        <references count="1">
          <reference field="4294967294" count="3">
            <x v="0"/>
            <x v="1"/>
            <x v="2"/>
          </reference>
        </references>
      </pivotArea>
    </format>
    <format dxfId="746">
      <pivotArea type="all" dataOnly="0" outline="0" fieldPosition="0"/>
    </format>
    <format dxfId="745">
      <pivotArea outline="0" collapsedLevelsAreSubtotals="1" fieldPosition="0">
        <references count="1">
          <reference field="4294967294" count="1" selected="0">
            <x v="2"/>
          </reference>
        </references>
      </pivotArea>
    </format>
    <format dxfId="744">
      <pivotArea dataOnly="0" labelOnly="1" outline="0" fieldPosition="0">
        <references count="1">
          <reference field="4294967294" count="1">
            <x v="2"/>
          </reference>
        </references>
      </pivotArea>
    </format>
    <format dxfId="743">
      <pivotArea field="5" grandRow="1" outline="0" collapsedLevelsAreSubtotals="1" axis="axisRow" fieldPosition="0">
        <references count="1">
          <reference field="4294967294" count="1" selected="0">
            <x v="2"/>
          </reference>
        </references>
      </pivotArea>
    </format>
    <format dxfId="742">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741">
      <pivotArea dataOnly="0" labelOnly="1" outline="0" fieldPosition="0">
        <references count="2">
          <reference field="5" count="1" selected="0">
            <x v="2"/>
          </reference>
          <reference field="11" count="2">
            <x v="55"/>
            <x v="99"/>
          </reference>
        </references>
      </pivotArea>
    </format>
    <format dxfId="740">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79">
      <pivotArea type="all" dataOnly="0" outline="0" fieldPosition="0"/>
    </format>
    <format dxfId="678">
      <pivotArea type="all" dataOnly="0" outline="0" fieldPosition="0"/>
    </format>
    <format dxfId="6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58">
      <pivotArea field="3" type="button" dataOnly="0" labelOnly="1" outline="0" axis="axisPage" fieldPosition="0"/>
    </format>
    <format dxfId="657">
      <pivotArea dataOnly="0" labelOnly="1" outline="0" fieldPosition="0">
        <references count="1">
          <reference field="3" count="0"/>
        </references>
      </pivotArea>
    </format>
    <format dxfId="656">
      <pivotArea field="1" type="button" dataOnly="0" labelOnly="1" outline="0" axis="axisRow" fieldPosition="0"/>
    </format>
    <format dxfId="655">
      <pivotArea dataOnly="0" labelOnly="1" outline="0" axis="axisValues" fieldPosition="0"/>
    </format>
    <format dxfId="654">
      <pivotArea collapsedLevelsAreSubtotals="1" fieldPosition="0">
        <references count="1">
          <reference field="1" count="0"/>
        </references>
      </pivotArea>
    </format>
    <format dxfId="653">
      <pivotArea dataOnly="0" labelOnly="1" fieldPosition="0">
        <references count="1">
          <reference field="1" count="0"/>
        </references>
      </pivotArea>
    </format>
    <format dxfId="652">
      <pivotArea grandRow="1" outline="0" collapsedLevelsAreSubtotals="1" fieldPosition="0"/>
    </format>
    <format dxfId="651">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63">
      <pivotArea field="3" type="button" dataOnly="0" labelOnly="1" outline="0" axis="axisPage" fieldPosition="0"/>
    </format>
    <format dxfId="662">
      <pivotArea dataOnly="0" labelOnly="1" outline="0" fieldPosition="0">
        <references count="1">
          <reference field="3" count="0"/>
        </references>
      </pivotArea>
    </format>
    <format dxfId="661">
      <pivotArea dataOnly="0" labelOnly="1" outline="0" axis="axisValues" fieldPosition="0"/>
    </format>
    <format dxfId="660">
      <pivotArea grandRow="1" outline="0" collapsedLevelsAreSubtotals="1" fieldPosition="0"/>
    </format>
    <format dxfId="65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43">
      <pivotArea field="4" type="button" dataOnly="0" labelOnly="1" outline="0" axis="axisRow" fieldPosition="0"/>
    </format>
    <format dxfId="642">
      <pivotArea field="4" type="button" dataOnly="0" labelOnly="1" outline="0" axis="axisRow" fieldPosition="0"/>
    </format>
    <format dxfId="641">
      <pivotArea outline="0" collapsedLevelsAreSubtotals="1" fieldPosition="0"/>
    </format>
    <format dxfId="640">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47">
      <pivotArea field="4" type="button" dataOnly="0" labelOnly="1" outline="0" axis="axisPage" fieldPosition="1"/>
    </format>
    <format dxfId="646">
      <pivotArea field="4" type="button" dataOnly="0" labelOnly="1" outline="0" axis="axisPage" fieldPosition="1"/>
    </format>
    <format dxfId="645">
      <pivotArea outline="0" collapsedLevelsAreSubtotals="1" fieldPosition="0"/>
    </format>
    <format dxfId="644">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50">
      <pivotArea field="4" type="button" dataOnly="0" labelOnly="1" outline="0"/>
    </format>
    <format dxfId="649">
      <pivotArea field="4" type="button" dataOnly="0" labelOnly="1" outline="0"/>
    </format>
    <format dxfId="64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R59:AE71" firstHeaderRow="0" firstDataRow="1" firstDataCol="1" rowPageCount="3" colPageCount="1"/>
  <pivotFields count="43">
    <pivotField axis="axisPage" numFmtId="1" multipleItemSelectionAllowed="1" showAll="0" defaultSubtotal="0">
      <items count="1489">
        <item m="1" x="402"/>
        <item m="1" x="383"/>
        <item m="1" x="447"/>
        <item m="1" x="977"/>
        <item m="1" x="237"/>
        <item m="1" x="1486"/>
        <item m="1" x="403"/>
        <item m="1" x="1274"/>
        <item m="1" x="1251"/>
        <item m="1" x="843"/>
        <item m="1" x="1224"/>
        <item m="1" x="296"/>
        <item m="1" x="1350"/>
        <item m="1" x="1329"/>
        <item m="1" x="600"/>
        <item m="1" x="1110"/>
        <item x="0"/>
        <item x="1"/>
        <item x="3"/>
        <item m="1" x="480"/>
        <item m="1" x="1005"/>
        <item m="1" x="1389"/>
        <item m="1" x="663"/>
        <item m="1" x="441"/>
        <item m="1" x="1341"/>
        <item m="1" x="393"/>
        <item m="1" x="807"/>
        <item x="6"/>
        <item m="1" x="1400"/>
        <item m="1" x="214"/>
        <item m="1" x="658"/>
        <item m="1" x="482"/>
        <item m="1" x="317"/>
        <item x="8"/>
        <item m="1" x="1418"/>
        <item m="1" x="362"/>
        <item m="1" x="998"/>
        <item m="1" x="1205"/>
        <item m="1" x="299"/>
        <item m="1" x="521"/>
        <item m="1" x="1258"/>
        <item m="1" x="729"/>
        <item m="1" x="1466"/>
        <item x="9"/>
        <item x="10"/>
        <item m="1" x="1358"/>
        <item x="11"/>
        <item x="12"/>
        <item x="13"/>
        <item x="14"/>
        <item x="15"/>
        <item m="1" x="1283"/>
        <item m="1" x="750"/>
        <item m="1" x="220"/>
        <item m="1" x="963"/>
        <item m="1" x="245"/>
        <item m="1" x="1316"/>
        <item m="1" x="984"/>
        <item x="18"/>
        <item x="19"/>
        <item m="1" x="1406"/>
        <item x="21"/>
        <item m="1" x="498"/>
        <item m="1" x="901"/>
        <item m="1" x="372"/>
        <item m="1" x="1102"/>
        <item x="23"/>
        <item m="1" x="920"/>
        <item m="1" x="1382"/>
        <item m="1" x="590"/>
        <item m="1" x="392"/>
        <item m="1" x="857"/>
        <item m="1" x="1321"/>
        <item m="1" x="1124"/>
        <item m="1" x="326"/>
        <item m="1" x="1407"/>
        <item m="1" x="1064"/>
        <item m="1" x="414"/>
        <item m="1" x="549"/>
        <item m="1" x="352"/>
        <item x="24"/>
        <item m="1" x="1287"/>
        <item m="1" x="1082"/>
        <item m="1" x="288"/>
        <item x="25"/>
        <item m="1" x="1025"/>
        <item m="1" x="836"/>
        <item m="1" x="503"/>
        <item m="1" x="1103"/>
        <item x="26"/>
        <item m="1" x="774"/>
        <item m="1" x="1240"/>
        <item m="1" x="591"/>
        <item x="27"/>
        <item x="28"/>
        <item m="1" x="716"/>
        <item x="29"/>
        <item m="1" x="527"/>
        <item m="1" x="987"/>
        <item m="1" x="328"/>
        <item m="1" x="457"/>
        <item m="1" x="1065"/>
        <item m="1" x="267"/>
        <item m="1" x="1192"/>
        <item m="1" x="1475"/>
        <item m="1" x="1288"/>
        <item m="1" x="717"/>
        <item x="31"/>
        <item x="32"/>
        <item m="1" x="528"/>
        <item m="1" x="754"/>
        <item x="33"/>
        <item m="1" x="1214"/>
        <item m="1" x="1453"/>
        <item m="1" x="659"/>
        <item m="1" x="1026"/>
        <item m="1" x="1152"/>
        <item m="1" x="504"/>
        <item x="34"/>
        <item m="1" x="967"/>
        <item m="1" x="1193"/>
        <item m="1" x="1432"/>
        <item m="1" x="395"/>
        <item m="1" x="639"/>
        <item m="1" x="1004"/>
        <item m="1" x="1476"/>
        <item x="35"/>
        <item m="1" x="1129"/>
        <item x="36"/>
        <item m="1" x="718"/>
        <item m="1" x="945"/>
        <item m="1" x="1174"/>
        <item m="1" x="1411"/>
        <item m="1" x="617"/>
        <item m="1" x="988"/>
        <item m="1" x="1215"/>
        <item x="37"/>
        <item m="1" x="882"/>
        <item m="1" x="699"/>
        <item x="39"/>
        <item m="1" x="1153"/>
        <item m="1" x="596"/>
        <item m="1" x="968"/>
        <item m="1" x="1194"/>
        <item m="1" x="1088"/>
        <item m="1" x="439"/>
        <item m="1" x="680"/>
        <item m="1" x="1367"/>
        <item m="1" x="334"/>
        <item m="1" x="946"/>
        <item m="1" x="1175"/>
        <item m="1" x="1412"/>
        <item m="1" x="377"/>
        <item m="1" x="1070"/>
        <item m="1" x="1454"/>
        <item m="1" x="660"/>
        <item m="1" x="313"/>
        <item m="1" x="555"/>
        <item m="1" x="924"/>
        <item m="1" x="1154"/>
        <item m="1" x="1386"/>
        <item m="1" x="818"/>
        <item x="40"/>
        <item m="1" x="640"/>
        <item m="1" x="532"/>
        <item m="1" x="1130"/>
        <item m="1" x="1368"/>
        <item m="1" x="1029"/>
        <item m="1" x="1413"/>
        <item m="1" x="1309"/>
        <item m="1" x="274"/>
        <item m="1" x="1108"/>
        <item m="1" x="1232"/>
        <item m="1" x="1346"/>
        <item m="1" x="1468"/>
        <item m="1" x="432"/>
        <item m="1" x="556"/>
        <item m="1" x="673"/>
        <item m="1" x="779"/>
        <item m="1" x="1387"/>
        <item m="1" x="242"/>
        <item m="1" x="357"/>
        <item m="1" x="597"/>
        <item m="1" x="708"/>
        <item m="1" x="819"/>
        <item m="1" x="1167"/>
        <item m="1" x="747"/>
        <item m="1" x="862"/>
        <item m="1" x="1208"/>
        <item m="1" x="1326"/>
        <item m="1" x="1447"/>
        <item m="1" x="408"/>
        <item m="1" x="533"/>
        <item m="1" x="651"/>
        <item m="1" x="871"/>
        <item m="1" x="1369"/>
        <item m="1" x="216"/>
        <item m="1" x="335"/>
        <item m="1" x="693"/>
        <item m="1" x="797"/>
        <item m="1" x="1144"/>
        <item m="1" x="231"/>
        <item m="1" x="731"/>
        <item m="1" x="842"/>
        <item m="1" x="960"/>
        <item m="1" x="1186"/>
        <item m="1" x="1424"/>
        <item m="1" x="275"/>
        <item m="1" x="511"/>
        <item m="1" x="630"/>
        <item m="1" x="850"/>
        <item m="1" x="972"/>
        <item m="1" x="1469"/>
        <item x="42"/>
        <item x="43"/>
        <item m="1" x="674"/>
        <item m="1" x="780"/>
        <item m="1" x="898"/>
        <item m="1" x="1247"/>
        <item m="1" x="820"/>
        <item m="1" x="937"/>
        <item m="1" x="1293"/>
        <item m="1" x="1401"/>
        <item m="1" x="251"/>
        <item m="1" x="367"/>
        <item m="1" x="722"/>
        <item m="1" x="950"/>
        <item m="1" x="1057"/>
        <item m="1" x="1327"/>
        <item m="1" x="1448"/>
        <item m="1" x="293"/>
        <item m="1" x="409"/>
        <item m="1" x="758"/>
        <item m="1" x="872"/>
        <item m="1" x="990"/>
        <item m="1" x="1096"/>
        <item m="1" x="1220"/>
        <item m="1" x="303"/>
        <item m="1" x="422"/>
        <item m="1" x="694"/>
        <item m="1" x="798"/>
        <item m="1" x="915"/>
        <item h="1" x="45"/>
        <item m="1" x="1378"/>
        <item m="1" x="232"/>
        <item m="1" x="346"/>
        <item m="1" x="462"/>
        <item m="1" x="808"/>
        <item m="1" x="1040"/>
        <item m="1" x="276"/>
        <item m="1" x="387"/>
        <item m="1" x="512"/>
        <item m="1" x="740"/>
        <item m="1" x="851"/>
        <item m="1" x="973"/>
        <item m="1" x="1435"/>
        <item m="1" x="283"/>
        <item m="1" x="399"/>
        <item m="1" x="899"/>
        <item m="1" x="1010"/>
        <item h="1" m="1" x="1120"/>
        <item m="1" x="1248"/>
        <item m="1" x="1359"/>
        <item m="1" x="1482"/>
        <item m="1" x="443"/>
        <item h="1" m="1" x="788"/>
        <item m="1" x="1022"/>
        <item m="1" x="1294"/>
        <item m="1" x="1402"/>
        <item h="1" m="1" x="252"/>
        <item m="1" x="368"/>
        <item m="1" x="484"/>
        <item m="1" x="723"/>
        <item m="1" x="832"/>
        <item m="1" x="951"/>
        <item m="1" x="1058"/>
        <item m="1" x="1302"/>
        <item m="1" x="1416"/>
        <item m="1" x="263"/>
        <item m="1" x="380"/>
        <item m="1" x="652"/>
        <item m="1" x="759"/>
        <item m="1" x="991"/>
        <item m="1" x="304"/>
        <item m="1" x="423"/>
        <item m="1" x="543"/>
        <item h="1" m="1" x="887"/>
        <item m="1" x="1270"/>
        <item m="1" x="1379"/>
        <item m="1" x="233"/>
        <item h="1" m="1" x="347"/>
        <item m="1" x="463"/>
        <item m="1" x="584"/>
        <item m="1" x="809"/>
        <item m="1" x="928"/>
        <item m="1" x="1041"/>
        <item m="1" x="1391"/>
        <item m="1" x="631"/>
        <item h="1" m="1" x="741"/>
        <item m="1" x="852"/>
        <item m="1" x="974"/>
        <item m="1" x="1079"/>
        <item h="1" x="46"/>
        <item m="1" x="1317"/>
        <item m="1" x="1436"/>
        <item m="1" x="400"/>
        <item m="1" x="523"/>
        <item h="1" x="47"/>
        <item h="1" x="48"/>
        <item m="1" x="1249"/>
        <item m="1" x="1360"/>
        <item h="1" m="1" x="1483"/>
        <item h="1" x="49"/>
        <item m="1" x="444"/>
        <item m="1" x="567"/>
        <item h="1" m="1" x="684"/>
        <item h="1" m="1" x="789"/>
        <item m="1" x="906"/>
        <item m="1" x="1134"/>
        <item m="1" x="1372"/>
        <item m="1" x="221"/>
        <item m="1" x="338"/>
        <item m="1" x="608"/>
        <item m="1" x="724"/>
        <item h="1" m="1" x="833"/>
        <item m="1" x="952"/>
        <item m="1" x="300"/>
        <item m="1" x="1059"/>
        <item m="1" x="418"/>
        <item h="1" m="1" x="1177"/>
        <item m="1" x="540"/>
        <item m="1" x="1303"/>
        <item m="1" x="661"/>
        <item m="1" x="910"/>
        <item m="1" x="381"/>
        <item m="1" x="1138"/>
        <item m="1" x="499"/>
        <item h="1" m="1" x="1265"/>
        <item m="1" x="621"/>
        <item m="1" x="1376"/>
        <item m="1" x="734"/>
        <item h="1" m="1" x="844"/>
        <item m="1" x="341"/>
        <item m="1" x="964"/>
        <item m="1" x="458"/>
        <item m="1" x="1222"/>
        <item m="1" x="580"/>
        <item m="1" x="1336"/>
        <item m="1" x="1458"/>
        <item h="1" x="50"/>
        <item h="1" m="1" x="305"/>
        <item m="1" x="925"/>
        <item m="1" x="424"/>
        <item m="1" x="1037"/>
        <item m="1" x="544"/>
        <item h="1" m="1" x="1155"/>
        <item m="1" x="1280"/>
        <item m="1" x="268"/>
        <item m="1" x="888"/>
        <item m="1" x="505"/>
        <item m="1" x="1112"/>
        <item h="1" x="51"/>
        <item m="1" x="1237"/>
        <item m="1" x="737"/>
        <item m="1" x="1351"/>
        <item h="1" x="53"/>
        <item h="1" m="1" x="969"/>
        <item m="1" x="318"/>
        <item m="1" x="1195"/>
        <item m="1" x="701"/>
        <item m="1" x="1433"/>
        <item m="1" x="929"/>
        <item h="1" m="1" x="280"/>
        <item m="1" x="1042"/>
        <item m="1" x="396"/>
        <item m="1" x="1158"/>
        <item h="1" x="54"/>
        <item m="1" x="1284"/>
        <item m="1" x="641"/>
        <item m="1" x="1392"/>
        <item m="1" x="893"/>
        <item m="1" x="246"/>
        <item m="1" x="475"/>
        <item m="1" x="1241"/>
        <item m="1" x="603"/>
        <item m="1" x="1355"/>
        <item m="1" x="713"/>
        <item m="1" x="1478"/>
        <item m="1" x="825"/>
        <item m="1" x="321"/>
        <item m="1" x="1199"/>
        <item m="1" x="562"/>
        <item m="1" x="1318"/>
        <item m="1" x="785"/>
        <item m="1" x="284"/>
        <item h="1" x="56"/>
        <item m="1" x="1019"/>
        <item m="1" x="524"/>
        <item m="1" x="1131"/>
        <item m="1" x="644"/>
        <item m="1" x="751"/>
        <item m="1" x="249"/>
        <item m="1" x="864"/>
        <item m="1" x="363"/>
        <item m="1" x="985"/>
        <item m="1" x="479"/>
        <item m="1" x="1092"/>
        <item h="1" m="1" x="1213"/>
        <item h="1" m="1" x="719"/>
        <item m="1" x="1331"/>
        <item m="1" x="829"/>
        <item m="1" x="947"/>
        <item h="1" x="57"/>
        <item m="1" x="1054"/>
        <item m="1" x="685"/>
        <item m="1" x="1300"/>
        <item m="1" x="907"/>
        <item h="1" m="1" x="261"/>
        <item h="1" m="1" x="1023"/>
        <item m="1" x="1135"/>
        <item m="1" x="495"/>
        <item m="1" x="1262"/>
        <item m="1" x="618"/>
        <item m="1" x="1373"/>
        <item m="1" x="866"/>
        <item m="1" x="222"/>
        <item m="1" x="989"/>
        <item m="1" x="339"/>
        <item h="1" m="1" x="1216"/>
        <item h="1" m="1" x="1334"/>
        <item h="1" m="1" x="696"/>
        <item m="1" x="1455"/>
        <item m="1" x="803"/>
        <item m="1" x="301"/>
        <item m="1" x="921"/>
        <item m="1" x="419"/>
        <item m="1" x="1178"/>
        <item m="1" x="662"/>
        <item h="1" m="1" x="768"/>
        <item h="1" m="1" x="264"/>
        <item m="1" x="884"/>
        <item h="1" x="59"/>
        <item m="1" x="999"/>
        <item m="1" x="500"/>
        <item m="1" x="622"/>
        <item m="1" x="1233"/>
        <item m="1" x="735"/>
        <item m="1" x="227"/>
        <item m="1" x="845"/>
        <item m="1" x="342"/>
        <item m="1" x="965"/>
        <item m="1" x="459"/>
        <item m="1" x="1073"/>
        <item h="1" m="1" x="581"/>
        <item h="1" m="1" x="1190"/>
        <item h="1" x="61"/>
        <item m="1" x="1429"/>
        <item m="1" x="1038"/>
        <item m="1" x="545"/>
        <item m="1" x="1156"/>
        <item m="1" x="1281"/>
        <item m="1" x="771"/>
        <item h="1" x="62"/>
        <item h="1" m="1" x="1113"/>
        <item h="1" m="1" x="472"/>
        <item m="1" x="598"/>
        <item m="1" x="1352"/>
        <item m="1" x="847"/>
        <item m="1" x="1472"/>
        <item m="1" x="970"/>
        <item m="1" x="319"/>
        <item m="1" x="1076"/>
        <item h="1" m="1" x="436"/>
        <item h="1" x="66"/>
        <item m="1" x="1434"/>
        <item m="1" x="783"/>
        <item m="1" x="281"/>
        <item m="1" x="397"/>
        <item m="1" x="1159"/>
        <item m="1" x="522"/>
        <item h="1" x="67"/>
        <item m="1" x="642"/>
        <item m="1" x="1393"/>
        <item m="1" x="748"/>
        <item h="1" x="69"/>
        <item m="1" x="360"/>
        <item m="1" x="476"/>
        <item h="1" m="1" x="1089"/>
        <item h="1" m="1" x="604"/>
        <item m="1" x="714"/>
        <item m="1" x="1479"/>
        <item m="1" x="826"/>
        <item m="1" x="322"/>
        <item m="1" x="943"/>
        <item m="1" x="440"/>
        <item m="1" x="1051"/>
        <item h="1" m="1" x="563"/>
        <item m="1" x="1172"/>
        <item m="1" x="682"/>
        <item m="1" x="786"/>
        <item m="1" x="1408"/>
        <item m="1" x="905"/>
        <item h="1" x="70"/>
        <item m="1" x="1020"/>
        <item m="1" x="525"/>
        <item m="1" x="1132"/>
        <item m="1" x="645"/>
        <item h="1" m="1" x="1260"/>
        <item m="1" x="752"/>
        <item m="1" x="1370"/>
        <item m="1" x="217"/>
        <item m="1" x="986"/>
        <item m="1" x="1093"/>
        <item h="1" x="73"/>
        <item h="1" x="74"/>
        <item m="1" x="1332"/>
        <item m="1" x="830"/>
        <item m="1" x="1452"/>
        <item h="1" m="1" x="948"/>
        <item m="1" x="1055"/>
        <item m="1" x="415"/>
        <item h="1" x="75"/>
        <item m="1" x="1301"/>
        <item m="1" x="656"/>
        <item m="1" x="1414"/>
        <item h="1" m="1" x="765"/>
        <item m="1" x="878"/>
        <item m="1" x="378"/>
        <item m="1" x="1136"/>
        <item m="1" x="496"/>
        <item m="1" x="1263"/>
        <item m="1" x="619"/>
        <item h="1" m="1" x="1374"/>
        <item m="1" x="732"/>
        <item m="1" x="223"/>
        <item m="1" x="340"/>
        <item m="1" x="1187"/>
        <item h="1" m="1" x="1456"/>
        <item m="1" x="302"/>
        <item h="1" m="1" x="922"/>
        <item m="1" x="420"/>
        <item m="1" x="1034"/>
        <item m="1" x="542"/>
        <item m="1" x="1149"/>
        <item m="1" x="664"/>
        <item m="1" x="1277"/>
        <item m="1" x="769"/>
        <item h="1" m="1" x="1383"/>
        <item h="1" m="1" x="885"/>
        <item m="1" x="1000"/>
        <item m="1" x="501"/>
        <item m="1" x="1109"/>
        <item m="1" x="623"/>
        <item m="1" x="1234"/>
        <item m="1" x="1347"/>
        <item m="1" x="846"/>
        <item m="1" x="966"/>
        <item m="1" x="314"/>
        <item m="1" x="1074"/>
        <item h="1" m="1" x="433"/>
        <item m="1" x="557"/>
        <item h="1" x="77"/>
        <item m="1" x="805"/>
        <item h="1" m="1" x="1430"/>
        <item m="1" x="927"/>
        <item h="1" x="78"/>
        <item m="1" x="518"/>
        <item m="1" x="1282"/>
        <item m="1" x="636"/>
        <item m="1" x="744"/>
        <item m="1" x="358"/>
        <item h="1" m="1" x="1114"/>
        <item h="1" m="1" x="473"/>
        <item m="1" x="1239"/>
        <item m="1" x="599"/>
        <item m="1" x="709"/>
        <item m="1" x="1473"/>
        <item m="1" x="821"/>
        <item m="1" x="320"/>
        <item m="1" x="938"/>
        <item m="1" x="437"/>
        <item m="1" x="1049"/>
        <item h="1" m="1" x="561"/>
        <item m="1" x="1168"/>
        <item m="1" x="679"/>
        <item h="1" x="80"/>
        <item m="1" x="903"/>
        <item h="1" x="81"/>
        <item m="1" x="1015"/>
        <item m="1" x="1125"/>
        <item m="1" x="643"/>
        <item m="1" x="1255"/>
        <item m="1" x="749"/>
        <item h="1" m="1" x="1363"/>
        <item m="1" x="477"/>
        <item h="1" m="1" x="1090"/>
        <item h="1" m="1" x="605"/>
        <item m="1" x="1210"/>
        <item m="1" x="715"/>
        <item h="1" m="1" x="1328"/>
        <item m="1" x="827"/>
        <item m="1" x="944"/>
        <item m="1" x="294"/>
        <item m="1" x="1052"/>
        <item m="1" x="410"/>
        <item h="1" x="83"/>
        <item m="1" x="534"/>
        <item m="1" x="1299"/>
        <item m="1" x="787"/>
        <item m="1" x="1409"/>
        <item m="1" x="258"/>
        <item m="1" x="1021"/>
        <item m="1" x="1133"/>
        <item m="1" x="491"/>
        <item m="1" x="1261"/>
        <item m="1" x="613"/>
        <item m="1" x="1371"/>
        <item m="1" x="218"/>
        <item m="1" x="837"/>
        <item m="1" x="336"/>
        <item m="1" x="1094"/>
        <item h="1" x="86"/>
        <item m="1" x="575"/>
        <item m="1" x="1333"/>
        <item h="1" x="88"/>
        <item m="1" x="799"/>
        <item m="1" x="298"/>
        <item m="1" x="916"/>
        <item m="1" x="416"/>
        <item m="1" x="1030"/>
        <item m="1" x="1145"/>
        <item m="1" x="657"/>
        <item m="1" x="1415"/>
        <item m="1" x="766"/>
        <item m="1" x="262"/>
        <item m="1" x="879"/>
        <item m="1" x="379"/>
        <item m="1" x="996"/>
        <item m="1" x="497"/>
        <item m="1" x="1104"/>
        <item m="1" x="620"/>
        <item m="1" x="1228"/>
        <item m="1" x="733"/>
        <item m="1" x="1342"/>
        <item m="1" x="1464"/>
        <item m="1" x="961"/>
        <item m="1" x="456"/>
        <item h="1" m="1" x="1071"/>
        <item h="1" m="1" x="579"/>
        <item h="1" m="1" x="1188"/>
        <item m="1" x="698"/>
        <item m="1" x="1310"/>
        <item m="1" x="804"/>
        <item m="1" x="1425"/>
        <item m="1" x="923"/>
        <item m="1" x="277"/>
        <item m="1" x="1035"/>
        <item m="1" x="388"/>
        <item m="1" x="1150"/>
        <item m="1" x="513"/>
        <item m="1" x="1278"/>
        <item m="1" x="770"/>
        <item m="1" x="1384"/>
        <item m="1" x="886"/>
        <item m="1" x="239"/>
        <item m="1" x="1001"/>
        <item m="1" x="353"/>
        <item m="1" x="1111"/>
        <item h="1" m="1" x="468"/>
        <item m="1" x="1235"/>
        <item h="1" m="1" x="592"/>
        <item m="1" x="1348"/>
        <item m="1" x="1470"/>
        <item m="1" x="814"/>
        <item m="1" x="315"/>
        <item m="1" x="1075"/>
        <item m="1" x="434"/>
        <item h="1" m="1" x="1191"/>
        <item h="1" m="1" x="1314"/>
        <item m="1" x="675"/>
        <item h="1" m="1" x="1431"/>
        <item m="1" x="781"/>
        <item m="1" x="279"/>
        <item m="1" x="900"/>
        <item m="1" x="1011"/>
        <item m="1" x="519"/>
        <item m="1" x="637"/>
        <item m="1" x="745"/>
        <item m="1" x="244"/>
        <item m="1" x="859"/>
        <item h="1" m="1" x="359"/>
        <item m="1" x="980"/>
        <item m="1" x="474"/>
        <item m="1" x="1083"/>
        <item h="1" m="1" x="601"/>
        <item h="1" m="1" x="710"/>
        <item m="1" x="822"/>
        <item m="1" x="1441"/>
        <item m="1" x="939"/>
        <item h="1" x="90"/>
        <item h="1" x="91"/>
        <item m="1" x="1295"/>
        <item m="1" x="784"/>
        <item m="1" x="1403"/>
        <item m="1" x="602"/>
        <item m="1" x="1206"/>
        <item m="1" x="253"/>
        <item m="1" x="712"/>
        <item m="1" x="1016"/>
        <item m="1" x="1324"/>
        <item m="1" x="369"/>
        <item m="1" x="824"/>
        <item m="1" x="1126"/>
        <item m="1" x="1444"/>
        <item h="1" m="1" x="485"/>
        <item m="1" x="941"/>
        <item m="1" x="1256"/>
        <item h="1" x="92"/>
        <item m="1" x="1364"/>
        <item m="1" x="863"/>
        <item m="1" x="1170"/>
        <item m="1" x="1488"/>
        <item h="1" m="1" x="530"/>
        <item m="1" x="983"/>
        <item m="1" x="1297"/>
        <item m="1" x="329"/>
        <item m="1" x="648"/>
        <item m="1" x="1091"/>
        <item h="1" x="94"/>
        <item m="1" x="449"/>
        <item m="1" x="904"/>
        <item m="1" x="1211"/>
        <item m="1" x="256"/>
        <item m="1" x="571"/>
        <item h="1" m="1" x="1018"/>
        <item m="1" x="1330"/>
        <item m="1" x="371"/>
        <item m="1" x="689"/>
        <item m="1" x="1128"/>
        <item m="1" x="488"/>
        <item m="1" x="1259"/>
        <item m="1" x="295"/>
        <item m="1" x="611"/>
        <item m="1" x="1053"/>
        <item m="1" x="1366"/>
        <item m="1" x="411"/>
        <item m="1" x="727"/>
        <item m="1" x="1173"/>
        <item m="1" x="215"/>
        <item m="1" x="535"/>
        <item m="1" x="332"/>
        <item m="1" x="653"/>
        <item m="1" x="954"/>
        <item m="1" x="1410"/>
        <item m="1" x="451"/>
        <item h="1" m="1" x="760"/>
        <item m="1" x="1212"/>
        <item m="1" x="259"/>
        <item m="1" x="574"/>
        <item m="1" x="873"/>
        <item h="1" m="1" x="374"/>
        <item m="1" x="992"/>
        <item m="1" x="1450"/>
        <item m="1" x="492"/>
        <item m="1" x="795"/>
        <item m="1" x="1097"/>
        <item m="1" x="297"/>
        <item m="1" x="614"/>
        <item m="1" x="913"/>
        <item m="1" x="413"/>
        <item m="1" x="1028"/>
        <item m="1" x="219"/>
        <item m="1" x="537"/>
        <item m="1" x="838"/>
        <item m="1" x="1141"/>
        <item m="1" x="337"/>
        <item m="1" x="655"/>
        <item m="1" x="957"/>
        <item m="1" x="1268"/>
        <item m="1" x="454"/>
        <item m="1" x="763"/>
        <item h="1" x="97"/>
        <item m="1" x="260"/>
        <item m="1" x="576"/>
        <item m="1" x="876"/>
        <item m="1" x="1181"/>
        <item m="1" x="376"/>
        <item h="1" x="98"/>
        <item m="1" x="994"/>
        <item m="1" x="1305"/>
        <item m="1" x="494"/>
        <item m="1" x="800"/>
        <item m="1" x="1100"/>
        <item m="1" x="1420"/>
        <item h="1" m="1" x="616"/>
        <item m="1" x="917"/>
        <item m="1" x="1225"/>
        <item m="1" x="417"/>
        <item m="1" x="730"/>
        <item m="1" x="1031"/>
        <item m="1" x="1338"/>
        <item m="1" x="539"/>
        <item m="1" x="840"/>
        <item m="1" x="1461"/>
        <item m="1" x="959"/>
        <item m="1" x="1271"/>
        <item m="1" x="307"/>
        <item m="1" x="767"/>
        <item m="1" x="1068"/>
        <item m="1" x="1380"/>
        <item m="1" x="577"/>
        <item m="1" x="880"/>
        <item m="1" x="1184"/>
        <item m="1" x="234"/>
        <item m="1" x="1307"/>
        <item m="1" x="348"/>
        <item m="1" x="802"/>
        <item m="1" x="1105"/>
        <item m="1" x="1422"/>
        <item m="1" x="464"/>
        <item m="1" x="919"/>
        <item h="1" m="1" x="1229"/>
        <item m="1" x="271"/>
        <item m="1" x="1033"/>
        <item m="1" x="1343"/>
        <item m="1" x="385"/>
        <item m="1" x="508"/>
        <item m="1" x="962"/>
        <item m="1" x="1275"/>
        <item m="1" x="310"/>
        <item m="1" x="627"/>
        <item m="1" x="1072"/>
        <item m="1" x="1381"/>
        <item m="1" x="428"/>
        <item m="1" x="881"/>
        <item m="1" x="1189"/>
        <item m="1" x="238"/>
        <item m="1" x="550"/>
        <item m="1" x="1311"/>
        <item m="1" x="350"/>
        <item m="1" x="669"/>
        <item m="1" x="1107"/>
        <item m="1" x="1426"/>
        <item m="1" x="466"/>
        <item m="1" x="775"/>
        <item h="1" m="1" x="1231"/>
        <item h="1" x="99"/>
        <item h="1" m="1" x="587"/>
        <item m="1" x="1036"/>
        <item m="1" x="1345"/>
        <item m="1" x="389"/>
        <item m="1" x="704"/>
        <item m="1" x="1151"/>
        <item m="1" x="514"/>
        <item m="1" x="1279"/>
        <item m="1" x="931"/>
        <item h="1" m="1" x="1385"/>
        <item h="1" m="1" x="430"/>
        <item m="1" x="240"/>
        <item m="1" x="553"/>
        <item m="1" x="853"/>
        <item m="1" x="1313"/>
        <item m="1" x="354"/>
        <item m="1" x="671"/>
        <item h="1" m="1" x="975"/>
        <item m="1" x="1428"/>
        <item m="1" x="469"/>
        <item m="1" x="778"/>
        <item h="1" m="1" x="1080"/>
        <item m="1" x="278"/>
        <item h="1" m="1" x="593"/>
        <item m="1" x="1349"/>
        <item m="1" x="391"/>
        <item m="1" x="706"/>
        <item m="1" x="1007"/>
        <item m="1" x="1471"/>
        <item m="1" x="516"/>
        <item m="1" x="1117"/>
        <item m="1" x="316"/>
        <item m="1" x="634"/>
        <item m="1" x="933"/>
        <item m="1" x="1244"/>
        <item m="1" x="435"/>
        <item h="1" m="1" x="743"/>
        <item h="1" m="1" x="1045"/>
        <item m="1" x="241"/>
        <item h="1" m="1" x="856"/>
        <item m="1" x="1163"/>
        <item m="1" x="356"/>
        <item m="1" x="676"/>
        <item m="1" x="978"/>
        <item m="1" x="1290"/>
        <item h="1" m="1" x="471"/>
        <item h="1" m="1" x="782"/>
        <item m="1" x="1081"/>
        <item m="1" x="1396"/>
        <item h="1" x="101"/>
        <item m="1" x="394"/>
        <item m="1" x="707"/>
        <item m="1" x="1012"/>
        <item m="1" x="1319"/>
        <item m="1" x="520"/>
        <item m="1" x="816"/>
        <item m="1" x="1439"/>
        <item m="1" x="638"/>
        <item m="1" x="935"/>
        <item h="1" m="1" x="1250"/>
        <item m="1" x="286"/>
        <item m="1" x="746"/>
        <item h="1" x="102"/>
        <item h="1" x="103"/>
        <item h="1" m="1" x="560"/>
        <item h="1" m="1" x="860"/>
        <item h="1" m="1" x="1484"/>
        <item m="1" x="678"/>
        <item m="1" x="981"/>
        <item m="1" x="1292"/>
        <item m="1" x="324"/>
        <item h="1" x="104"/>
        <item m="1" x="1084"/>
        <item h="1" m="1" x="1398"/>
        <item m="1" x="445"/>
        <item h="1" x="105"/>
        <item m="1" x="1203"/>
        <item h="1" x="106"/>
        <item m="1" x="711"/>
        <item m="1" x="1014"/>
        <item h="1" m="1" x="1322"/>
        <item m="1" x="365"/>
        <item m="1" x="823"/>
        <item m="1" x="1122"/>
        <item m="1" x="1442"/>
        <item h="1" m="1" x="940"/>
        <item m="1" x="1253"/>
        <item m="1" x="290"/>
        <item h="1" m="1" x="607"/>
        <item h="1" m="1" x="1050"/>
        <item h="1" m="1" x="1361"/>
        <item m="1" x="404"/>
        <item m="1" x="861"/>
        <item h="1" m="1" x="1169"/>
        <item h="1" x="108"/>
        <item m="1" x="982"/>
        <item m="1" x="1296"/>
        <item m="1" x="325"/>
        <item m="1" x="647"/>
        <item m="1" x="1087"/>
        <item m="1" x="1404"/>
        <item m="1" x="755"/>
        <item m="1" x="1207"/>
        <item m="1" x="254"/>
        <item m="1" x="569"/>
        <item h="1" m="1" x="1017"/>
        <item m="1" x="1325"/>
        <item m="1" x="370"/>
        <item h="1" m="1" x="687"/>
        <item m="1" x="1127"/>
        <item m="1" x="1445"/>
        <item m="1" x="486"/>
        <item m="1" x="792"/>
        <item m="1" x="1257"/>
        <item h="1" m="1" x="292"/>
        <item m="1" x="609"/>
        <item h="1" x="110"/>
        <item h="1" m="1" x="406"/>
        <item h="1" m="1" x="725"/>
        <item m="1" x="1171"/>
        <item h="1" x="111"/>
        <item h="1" x="112"/>
        <item h="1" x="113"/>
        <item m="1" x="1298"/>
        <item m="1" x="330"/>
        <item m="1" x="649"/>
        <item m="1" x="953"/>
        <item m="1" x="1405"/>
        <item m="1" x="450"/>
        <item m="1" x="756"/>
        <item m="1" x="1060"/>
        <item m="1" x="257"/>
        <item m="1" x="572"/>
        <item m="1" x="869"/>
        <item h="1" x="114"/>
        <item m="1" x="373"/>
        <item m="1" x="690"/>
        <item h="1" x="115"/>
        <item h="1" m="1" x="1449"/>
        <item m="1" x="489"/>
        <item m="1" x="794"/>
        <item m="1" x="1095"/>
        <item h="1" x="116"/>
        <item m="1" x="911"/>
        <item m="1" x="1218"/>
        <item h="1" m="1" x="412"/>
        <item h="1" x="117"/>
        <item h="1" x="118"/>
        <item m="1" x="536"/>
        <item m="1" x="835"/>
        <item h="1" m="1" x="333"/>
        <item m="1" x="955"/>
        <item m="1" x="1266"/>
        <item h="1" m="1" x="452"/>
        <item m="1" x="761"/>
        <item m="1" x="1062"/>
        <item m="1" x="874"/>
        <item m="1" x="1179"/>
        <item m="1" x="375"/>
        <item m="1" x="692"/>
        <item m="1" x="993"/>
        <item m="1" x="1304"/>
        <item m="1" x="493"/>
        <item h="1" m="1" x="796"/>
        <item m="1" x="1098"/>
        <item m="1" x="1419"/>
        <item m="1" x="615"/>
        <item m="1" x="914"/>
        <item m="1" x="1223"/>
        <item m="1" x="266"/>
        <item h="1" x="119"/>
        <item m="1" x="1337"/>
        <item m="1" x="538"/>
        <item m="1" x="839"/>
        <item m="1" x="1142"/>
        <item m="1" x="1459"/>
        <item h="1" x="121"/>
        <item m="1" x="958"/>
        <item m="1" x="1269"/>
        <item h="1" m="1" x="306"/>
        <item h="1" m="1" x="764"/>
        <item h="1" m="1" x="1066"/>
        <item m="1" x="1377"/>
        <item h="1" m="1" x="425"/>
        <item m="1" x="877"/>
        <item m="1" x="1182"/>
        <item m="1" x="229"/>
        <item m="1" x="695"/>
        <item h="1" m="1" x="995"/>
        <item m="1" x="1306"/>
        <item m="1" x="344"/>
        <item m="1" x="801"/>
        <item h="1" x="122"/>
        <item h="1" m="1" x="1421"/>
        <item m="1" x="460"/>
        <item m="1" x="918"/>
        <item m="1" x="1226"/>
        <item m="1" x="269"/>
        <item m="1" x="582"/>
        <item m="1" x="1032"/>
        <item m="1" x="1339"/>
        <item m="1" x="384"/>
        <item m="1" x="841"/>
        <item m="1" x="1146"/>
        <item m="1" x="1462"/>
        <item m="1" x="506"/>
        <item h="1" x="123"/>
        <item m="1" x="1272"/>
        <item m="1" x="308"/>
        <item m="1" x="625"/>
        <item h="1" m="1" x="1069"/>
        <item h="1" x="124"/>
        <item m="1" x="427"/>
        <item h="1" m="1" x="1185"/>
        <item m="1" x="235"/>
        <item m="1" x="547"/>
        <item m="1" x="997"/>
        <item m="1" x="1308"/>
        <item h="1" m="1" x="349"/>
        <item m="1" x="667"/>
        <item h="1" m="1" x="1423"/>
        <item h="1" m="1" x="465"/>
        <item m="1" x="1230"/>
        <item m="1" x="272"/>
        <item h="1" m="1" x="585"/>
        <item h="1" m="1" x="891"/>
        <item m="1" x="1344"/>
        <item m="1" x="702"/>
        <item m="1" x="1147"/>
        <item m="1" x="1465"/>
        <item m="1" x="509"/>
        <item m="1" x="810"/>
        <item m="1" x="1276"/>
        <item m="1" x="311"/>
        <item m="1" x="628"/>
        <item h="1" x="125"/>
        <item h="1" x="126"/>
        <item m="1" x="738"/>
        <item m="1" x="1043"/>
        <item h="1" x="127"/>
        <item m="1" x="551"/>
        <item m="1" x="1312"/>
        <item m="1" x="351"/>
        <item h="1" x="128"/>
        <item h="1" m="1" x="971"/>
        <item h="1" m="1" x="1427"/>
        <item h="1" m="1" x="467"/>
        <item h="1" m="1" x="776"/>
        <item h="1" m="1" x="588"/>
        <item m="1" x="894"/>
        <item h="1" m="1" x="1197"/>
        <item h="1" m="1" x="390"/>
        <item m="1" x="705"/>
        <item m="1" x="1006"/>
        <item m="1" x="1467"/>
        <item m="1" x="515"/>
        <item m="1" x="812"/>
        <item m="1" x="1115"/>
        <item m="1" x="312"/>
        <item m="1" x="632"/>
        <item h="1" m="1" x="932"/>
        <item m="1" x="1242"/>
        <item h="1" m="1" x="431"/>
        <item h="1" m="1" x="742"/>
        <item m="1" x="1044"/>
        <item m="1" x="1356"/>
        <item m="1" x="554"/>
        <item h="1" m="1" x="854"/>
        <item h="1" m="1" x="1161"/>
        <item h="1" m="1" x="355"/>
        <item h="1" m="1" x="672"/>
        <item m="1" x="976"/>
        <item m="1" x="1286"/>
        <item h="1" m="1" x="470"/>
        <item h="1" x="130"/>
        <item h="1" x="131"/>
        <item h="1" x="132"/>
        <item m="1" x="896"/>
        <item h="1" m="1" x="1200"/>
        <item h="1" x="133"/>
        <item h="1" x="134"/>
        <item m="1" x="1008"/>
        <item m="1" x="517"/>
        <item m="1" x="815"/>
        <item m="1" x="1118"/>
        <item m="1" x="1437"/>
        <item m="1" x="635"/>
        <item h="1" m="1" x="934"/>
        <item m="1" x="1245"/>
        <item h="1" m="1" x="285"/>
        <item h="1" m="1" x="1046"/>
        <item h="1" m="1" x="1357"/>
        <item m="1" x="401"/>
        <item m="1" x="858"/>
        <item m="1" x="1164"/>
        <item h="1" m="1" x="1481"/>
        <item h="1" m="1" x="979"/>
        <item h="1" m="1" x="1291"/>
        <item h="1" m="1" x="323"/>
        <item h="1" x="135"/>
        <item h="1" x="136"/>
        <item m="1" x="1397"/>
        <item h="1" x="138"/>
        <item h="1" m="1" x="565"/>
        <item m="1" x="1013"/>
        <item m="1" x="1320"/>
        <item m="1" x="364"/>
        <item m="1" x="817"/>
        <item m="1" x="1121"/>
        <item h="1" m="1" x="1440"/>
        <item h="1" m="1" x="481"/>
        <item m="1" x="936"/>
        <item m="1" x="1252"/>
        <item h="1" m="1" x="287"/>
        <item h="1" x="139"/>
        <item m="1" x="1047"/>
        <item h="1" x="140"/>
        <item h="1" x="141"/>
        <item m="1" x="720"/>
        <item m="1" x="1166"/>
        <item m="1" x="1485"/>
        <item h="1" x="142"/>
        <item h="1" x="143"/>
        <item h="1" x="144"/>
        <item h="1" x="145"/>
        <item h="1" m="1" x="646"/>
        <item h="1" m="1" x="1085"/>
        <item m="1" x="1399"/>
        <item h="1" m="1" x="446"/>
        <item m="1" x="753"/>
        <item m="1" x="1204"/>
        <item m="1" x="568"/>
        <item h="1" m="1" x="1323"/>
        <item m="1" x="366"/>
        <item m="1" x="686"/>
        <item h="1" m="1" x="1123"/>
        <item h="1" m="1" x="1443"/>
        <item m="1" x="483"/>
        <item h="1" m="1" x="791"/>
        <item h="1" m="1" x="1254"/>
        <item m="1" x="291"/>
        <item h="1" x="146"/>
        <item m="1" x="908"/>
        <item h="1" m="1" x="1362"/>
        <item h="1" m="1" x="405"/>
        <item h="1" m="1" x="721"/>
        <item h="1" m="1" x="1024"/>
        <item m="1" x="1487"/>
        <item m="1" x="529"/>
        <item m="1" x="831"/>
        <item h="1" x="147"/>
        <item m="1" x="327"/>
        <item h="1" x="148"/>
        <item m="1" x="949"/>
        <item h="1" x="149"/>
        <item m="1" x="448"/>
        <item h="1" x="150"/>
        <item m="1" x="1056"/>
        <item m="1" x="255"/>
        <item m="1" x="570"/>
        <item h="1" x="151"/>
        <item h="1" m="1" x="688"/>
        <item m="1" x="1446"/>
        <item h="1" m="1" x="487"/>
        <item h="1" m="1" x="793"/>
        <item h="1" x="153"/>
        <item h="1" x="154"/>
        <item h="1" m="1" x="610"/>
        <item h="1" m="1" x="909"/>
        <item h="1" m="1" x="726"/>
        <item h="1" x="155"/>
        <item m="1" x="1335"/>
        <item h="1" m="1" x="531"/>
        <item m="1" x="834"/>
        <item h="1" m="1" x="1137"/>
        <item m="1" x="331"/>
        <item h="1" m="1" x="650"/>
        <item h="1" m="1" x="1264"/>
        <item h="1" x="157"/>
        <item m="1" x="757"/>
        <item m="1" x="1061"/>
        <item m="1" x="1375"/>
        <item m="1" x="573"/>
        <item m="1" x="870"/>
        <item h="1" m="1" x="224"/>
        <item h="1" x="159"/>
        <item h="1" x="160"/>
        <item h="1" x="161"/>
        <item h="1" m="1" x="1417"/>
        <item h="1" m="1" x="612"/>
        <item h="1" m="1" x="912"/>
        <item h="1" m="1" x="1219"/>
        <item h="1" m="1" x="265"/>
        <item h="1" x="163"/>
        <item m="1" x="382"/>
        <item h="1" x="164"/>
        <item m="1" x="1140"/>
        <item m="1" x="1457"/>
        <item h="1" m="1" x="654"/>
        <item h="1" m="1" x="956"/>
        <item h="1" m="1" x="1267"/>
        <item h="1" m="1" x="1063"/>
        <item m="1" x="421"/>
        <item m="1" x="875"/>
        <item m="1" x="1180"/>
        <item m="1" x="228"/>
        <item h="1" x="167"/>
        <item h="1" m="1" x="343"/>
        <item h="1" m="1" x="1099"/>
        <item h="1" x="168"/>
        <item h="1" x="169"/>
        <item h="1" x="170"/>
        <item h="1" x="171"/>
        <item h="1" x="172"/>
        <item h="1" x="173"/>
        <item h="1" x="175"/>
        <item m="1" x="700"/>
        <item m="1" x="1143"/>
        <item h="1" m="1" x="1460"/>
        <item h="1" x="176"/>
        <item h="1" x="177"/>
        <item m="1" x="426"/>
        <item m="1" x="736"/>
        <item m="1" x="1183"/>
        <item m="1" x="230"/>
        <item m="1" x="546"/>
        <item m="1" x="345"/>
        <item m="1" x="1101"/>
        <item m="1" x="461"/>
        <item m="1" x="772"/>
        <item m="1" x="1227"/>
        <item m="1" x="270"/>
        <item m="1" x="583"/>
        <item m="1" x="890"/>
        <item m="1" x="1340"/>
        <item m="1" x="1003"/>
        <item m="1" x="1463"/>
        <item h="1" m="1" x="507"/>
        <item h="1" m="1" x="806"/>
        <item m="1" x="309"/>
        <item h="1" x="182"/>
        <item m="1" x="236"/>
        <item m="1" x="548"/>
        <item m="1" x="848"/>
        <item h="1" m="1" x="1157"/>
        <item m="1" x="1077"/>
        <item m="1" x="273"/>
        <item m="1" x="586"/>
        <item m="1" x="892"/>
        <item m="1" x="1196"/>
        <item m="1" x="386"/>
        <item m="1" x="703"/>
        <item m="1" x="510"/>
        <item m="1" x="811"/>
        <item h="1" x="185"/>
        <item h="1" x="186"/>
        <item m="1" x="930"/>
        <item m="1" x="429"/>
        <item m="1" x="849"/>
        <item m="1" x="1160"/>
        <item m="1" x="1474"/>
        <item h="1" m="1" x="670"/>
        <item h="1" x="213"/>
        <item h="1" x="212"/>
        <item m="1" x="1176"/>
        <item m="1" x="1289"/>
        <item m="1" x="289"/>
        <item m="1" x="868"/>
        <item x="17"/>
        <item x="22"/>
        <item m="1" x="1148"/>
        <item h="1" m="1" x="566"/>
        <item h="1" m="1" x="1027"/>
        <item h="1" m="1" x="681"/>
        <item h="1" m="1" x="455"/>
        <item h="1" m="1" x="578"/>
        <item h="1" m="1" x="541"/>
        <item h="1" m="1" x="926"/>
        <item h="1" m="1" x="1388"/>
        <item h="1" m="1" x="1238"/>
        <item h="1" m="1" x="1390"/>
        <item h="1" m="1" x="1353"/>
        <item h="1" m="1" x="438"/>
        <item h="1" m="1" x="559"/>
        <item h="1" m="1" x="1165"/>
        <item h="1" m="1" x="1365"/>
        <item h="1" m="1" x="1139"/>
        <item h="1" m="1" x="1106"/>
        <item h="1" x="129"/>
        <item h="1" m="1" x="250"/>
        <item h="1" m="1" x="867"/>
        <item h="1" m="1" x="1217"/>
        <item h="1" m="1" x="490"/>
        <item h="1" x="165"/>
        <item h="1" m="1" x="762"/>
        <item h="1" m="1" x="502"/>
        <item h="1" m="1" x="1273"/>
        <item h="1" x="183"/>
        <item h="1" m="1" x="668"/>
        <item h="1" m="1" x="629"/>
        <item h="1" m="1" x="1354"/>
        <item h="1" m="1" x="552"/>
        <item h="1" m="1" x="777"/>
        <item h="1" m="1" x="1078"/>
        <item h="1" m="1" x="1394"/>
        <item h="1" m="1" x="589"/>
        <item h="1" m="1" x="895"/>
        <item h="1" m="1" x="1198"/>
        <item h="1" m="1" x="247"/>
        <item h="1" m="1" x="1315"/>
        <item h="1" m="1" x="361"/>
        <item h="1" m="1" x="813"/>
        <item h="1" m="1" x="1116"/>
        <item h="1" m="1" x="633"/>
        <item h="1" m="1" x="1243"/>
        <item h="1" m="1" x="398"/>
        <item h="1" m="1" x="855"/>
        <item h="1" m="1" x="1162"/>
        <item h="1" m="1" x="1480"/>
        <item m="1" x="1236"/>
        <item m="1" x="407"/>
        <item m="1" x="626"/>
        <item m="1" x="1451"/>
        <item m="1" x="225"/>
        <item m="1" x="1477"/>
        <item m="1" x="883"/>
        <item m="1" x="453"/>
        <item m="1" x="1048"/>
        <item h="1" m="1" x="1221"/>
        <item h="1" m="1" x="665"/>
        <item h="1" m="1" x="226"/>
        <item h="1" m="1" x="1002"/>
        <item h="1" m="1" x="942"/>
        <item h="1" m="1" x="790"/>
        <item h="1" x="60"/>
        <item h="1" m="1" x="666"/>
        <item h="1" m="1" x="889"/>
        <item h="1" m="1" x="243"/>
        <item h="1" m="1" x="902"/>
        <item h="1" x="68"/>
        <item h="1" m="1" x="1209"/>
        <item h="1" m="1" x="697"/>
        <item h="1" m="1" x="1039"/>
        <item h="1" x="79"/>
        <item h="1" m="1" x="282"/>
        <item h="1" m="1" x="558"/>
        <item h="1" m="1" x="1086"/>
        <item h="1" m="1" x="595"/>
        <item h="1" m="1" x="1202"/>
        <item h="1" x="107"/>
        <item h="1" m="1" x="773"/>
        <item h="1" m="1" x="594"/>
        <item h="1" m="1" x="677"/>
        <item h="1" m="1" x="865"/>
        <item h="1" m="1" x="691"/>
        <item h="1" m="1" x="728"/>
        <item h="1" m="1" x="624"/>
        <item h="1" m="1" x="1067"/>
        <item h="1" x="178"/>
        <item h="1" m="1" x="739"/>
        <item h="1" m="1" x="1285"/>
        <item h="1" m="1" x="1395"/>
        <item h="1" m="1" x="442"/>
        <item h="1" m="1" x="897"/>
        <item h="1" m="1" x="1201"/>
        <item h="1" m="1" x="248"/>
        <item h="1" m="1" x="564"/>
        <item h="1" m="1" x="1009"/>
        <item h="1" m="1" x="683"/>
        <item h="1" m="1" x="1119"/>
        <item h="1" m="1" x="1438"/>
        <item h="1" m="1" x="478"/>
        <item h="1" m="1" x="1246"/>
        <item h="1" m="1" x="606"/>
        <item h="1" x="193"/>
        <item h="1" x="194"/>
        <item h="1" m="1" x="526"/>
        <item h="1" m="1" x="828"/>
        <item x="5"/>
        <item x="7"/>
        <item x="16"/>
        <item x="20"/>
        <item x="30"/>
        <item x="38"/>
        <item x="41"/>
        <item x="44"/>
        <item h="1" x="52"/>
        <item h="1" x="55"/>
        <item h="1" x="58"/>
        <item h="1" x="63"/>
        <item h="1" x="64"/>
        <item h="1" x="65"/>
        <item h="1" x="71"/>
        <item h="1" x="72"/>
        <item h="1" x="76"/>
        <item h="1" x="82"/>
        <item h="1" x="84"/>
        <item h="1" x="85"/>
        <item h="1" x="87"/>
        <item h="1" x="89"/>
        <item h="1" x="93"/>
        <item h="1" x="95"/>
        <item h="1" x="96"/>
        <item h="1" x="100"/>
        <item h="1" x="109"/>
        <item h="1" x="120"/>
        <item h="1" x="137"/>
        <item h="1" x="152"/>
        <item h="1" x="156"/>
        <item h="1" x="158"/>
        <item h="1" x="162"/>
        <item h="1" x="166"/>
        <item h="1" x="174"/>
        <item h="1" x="179"/>
        <item h="1" x="180"/>
        <item h="1" x="181"/>
        <item h="1" x="184"/>
        <item h="1" x="187"/>
        <item h="1" x="188"/>
        <item h="1" x="189"/>
        <item h="1" x="190"/>
        <item h="1" x="191"/>
        <item h="1" x="192"/>
        <item h="1" x="195"/>
        <item h="1" x="196"/>
        <item h="1" x="197"/>
        <item h="1" x="198"/>
        <item h="1" x="199"/>
        <item h="1" x="200"/>
        <item h="1" x="201"/>
        <item h="1" x="202"/>
        <item h="1" x="203"/>
        <item h="1" x="204"/>
        <item h="1" x="205"/>
        <item h="1" x="206"/>
        <item h="1" x="207"/>
        <item h="1" x="208"/>
        <item h="1" x="209"/>
        <item h="1" x="210"/>
        <item h="1" x="211"/>
        <item x="2"/>
        <item x="4"/>
      </items>
    </pivotField>
    <pivotField numFmtId="1" multipleItemSelectionAllowed="1" showAll="0" defaultSubtotal="0"/>
    <pivotField showAll="0">
      <items count="15">
        <item x="0"/>
        <item x="1"/>
        <item x="2"/>
        <item x="3"/>
        <item x="4"/>
        <item x="5"/>
        <item x="6"/>
        <item x="7"/>
        <item x="8"/>
        <item x="9"/>
        <item x="10"/>
        <item x="11"/>
        <item x="12"/>
        <item x="13"/>
        <item t="default"/>
      </items>
    </pivotField>
    <pivotField axis="axisRow" showAll="0">
      <items count="27">
        <item x="21"/>
        <item x="16"/>
        <item x="2"/>
        <item x="11"/>
        <item x="14"/>
        <item x="20"/>
        <item x="13"/>
        <item x="12"/>
        <item x="18"/>
        <item x="3"/>
        <item x="6"/>
        <item x="15"/>
        <item x="4"/>
        <item m="1" x="24"/>
        <item x="17"/>
        <item x="1"/>
        <item x="19"/>
        <item x="22"/>
        <item x="0"/>
        <item m="1" x="25"/>
        <item x="10"/>
        <item x="9"/>
        <item x="7"/>
        <item m="1" x="23"/>
        <item x="8"/>
        <item x="5"/>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axis="axisPage" multipleItemSelectionAllowed="1" showAll="0" defaultSubtotal="0">
      <items count="8">
        <item h="1" x="3"/>
        <item h="1" x="4"/>
        <item x="0"/>
        <item m="1" x="6"/>
        <item m="1" x="7"/>
        <item h="1" x="2"/>
        <item h="1" x="1"/>
        <item h="1"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3"/>
  </rowFields>
  <rowItems count="12">
    <i>
      <x v="2"/>
    </i>
    <i>
      <x v="9"/>
    </i>
    <i>
      <x v="10"/>
    </i>
    <i>
      <x v="12"/>
    </i>
    <i>
      <x v="15"/>
    </i>
    <i>
      <x v="18"/>
    </i>
    <i>
      <x v="20"/>
    </i>
    <i>
      <x v="21"/>
    </i>
    <i>
      <x v="22"/>
    </i>
    <i>
      <x v="24"/>
    </i>
    <i>
      <x v="25"/>
    </i>
    <i t="grand">
      <x/>
    </i>
  </rowItems>
  <colFields count="1">
    <field x="-2"/>
  </colFields>
  <colItems count="13">
    <i>
      <x/>
    </i>
    <i i="1">
      <x v="1"/>
    </i>
    <i i="2">
      <x v="2"/>
    </i>
    <i i="3">
      <x v="3"/>
    </i>
    <i i="4">
      <x v="4"/>
    </i>
    <i i="5">
      <x v="5"/>
    </i>
    <i i="6">
      <x v="6"/>
    </i>
    <i i="7">
      <x v="7"/>
    </i>
    <i i="8">
      <x v="8"/>
    </i>
    <i i="9">
      <x v="9"/>
    </i>
    <i i="10">
      <x v="10"/>
    </i>
    <i i="11">
      <x v="11"/>
    </i>
    <i i="12">
      <x v="12"/>
    </i>
  </colItems>
  <pageFields count="3">
    <pageField fld="0" hier="-1"/>
    <pageField fld="5" hier="-1"/>
    <pageField fld="39" hier="-1"/>
  </pageFields>
  <dataFields count="13">
    <dataField name="Sanitary Kit " fld="25" baseField="3" baseItem="1"/>
    <dataField name=" Mosquito net" fld="26" baseField="3" baseItem="6"/>
    <dataField name=" Tarpaulin" fld="27" baseField="6" baseItem="3"/>
    <dataField name=" Blanket" fld="28" baseField="6" baseItem="3"/>
    <dataField name=" Kitchen Set" fld="29" baseField="6" baseItem="3"/>
    <dataField name=" Complementary Kit" fld="30" baseField="6" baseItem="3"/>
    <dataField name=" Plastic Bucket" fld="31" baseField="6" baseItem="3"/>
    <dataField name=" Jerry Can" fld="32" baseField="6" baseItem="0"/>
    <dataField name=" Plastic  Mat" fld="33" baseField="6" baseItem="3"/>
    <dataField name="Adult Clothes " fld="34" baseField="0" baseItem="0"/>
    <dataField name="Children Clothes " fld="35" baseField="0" baseItem="0"/>
    <dataField name="Sewing Kit " fld="36" baseField="0" baseItem="0"/>
    <dataField name="Solar Lantern " fld="22" baseField="3" baseItem="2"/>
  </dataFields>
  <formats count="7">
    <format dxfId="557">
      <pivotArea outline="0" collapsedLevelsAreSubtotals="1" fieldPosition="0"/>
    </format>
    <format dxfId="556">
      <pivotArea type="all" dataOnly="0" outline="0" fieldPosition="0"/>
    </format>
    <format dxfId="555">
      <pivotArea type="all" dataOnly="0" outline="0" fieldPosition="0"/>
    </format>
    <format dxfId="554">
      <pivotArea type="all" dataOnly="0" outline="0" fieldPosition="0"/>
    </format>
    <format dxfId="553">
      <pivotArea outline="0" collapsedLevelsAreSubtotals="1" fieldPosition="0"/>
    </format>
    <format dxfId="552">
      <pivotArea field="3" type="button" dataOnly="0" labelOnly="1" outline="0" axis="axisRow" fieldPosition="0"/>
    </format>
    <format dxfId="55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R43:AE50" firstHeaderRow="0" firstDataRow="1" firstDataCol="1" rowPageCount="3" colPageCount="1"/>
  <pivotFields count="43">
    <pivotField axis="axisPage" numFmtId="1" multipleItemSelectionAllowed="1" showAll="0" defaultSubtotal="0">
      <items count="1489">
        <item m="1" x="402"/>
        <item m="1" x="383"/>
        <item m="1" x="447"/>
        <item m="1" x="977"/>
        <item m="1" x="237"/>
        <item m="1" x="1486"/>
        <item m="1" x="403"/>
        <item m="1" x="1274"/>
        <item m="1" x="1251"/>
        <item m="1" x="843"/>
        <item m="1" x="1224"/>
        <item m="1" x="296"/>
        <item m="1" x="1350"/>
        <item m="1" x="1329"/>
        <item m="1" x="600"/>
        <item m="1" x="1110"/>
        <item x="0"/>
        <item x="1"/>
        <item x="3"/>
        <item m="1" x="480"/>
        <item m="1" x="1005"/>
        <item m="1" x="1389"/>
        <item m="1" x="663"/>
        <item m="1" x="441"/>
        <item m="1" x="1341"/>
        <item m="1" x="393"/>
        <item m="1" x="807"/>
        <item x="6"/>
        <item m="1" x="1400"/>
        <item m="1" x="214"/>
        <item m="1" x="658"/>
        <item m="1" x="482"/>
        <item m="1" x="317"/>
        <item x="8"/>
        <item m="1" x="1418"/>
        <item m="1" x="362"/>
        <item m="1" x="998"/>
        <item m="1" x="1205"/>
        <item m="1" x="299"/>
        <item m="1" x="521"/>
        <item m="1" x="1258"/>
        <item m="1" x="729"/>
        <item m="1" x="1466"/>
        <item x="9"/>
        <item x="10"/>
        <item m="1" x="1358"/>
        <item x="11"/>
        <item x="12"/>
        <item x="13"/>
        <item x="14"/>
        <item x="15"/>
        <item m="1" x="1283"/>
        <item m="1" x="750"/>
        <item m="1" x="220"/>
        <item m="1" x="963"/>
        <item m="1" x="245"/>
        <item m="1" x="1316"/>
        <item m="1" x="984"/>
        <item x="18"/>
        <item x="19"/>
        <item m="1" x="1406"/>
        <item x="21"/>
        <item m="1" x="498"/>
        <item m="1" x="901"/>
        <item m="1" x="372"/>
        <item m="1" x="1102"/>
        <item x="23"/>
        <item m="1" x="920"/>
        <item m="1" x="1382"/>
        <item m="1" x="590"/>
        <item m="1" x="392"/>
        <item m="1" x="857"/>
        <item m="1" x="1321"/>
        <item m="1" x="1124"/>
        <item m="1" x="326"/>
        <item m="1" x="1407"/>
        <item m="1" x="1064"/>
        <item m="1" x="414"/>
        <item m="1" x="549"/>
        <item m="1" x="352"/>
        <item x="24"/>
        <item m="1" x="1287"/>
        <item m="1" x="1082"/>
        <item m="1" x="288"/>
        <item x="25"/>
        <item m="1" x="1025"/>
        <item m="1" x="836"/>
        <item m="1" x="503"/>
        <item m="1" x="1103"/>
        <item x="26"/>
        <item m="1" x="774"/>
        <item m="1" x="1240"/>
        <item m="1" x="591"/>
        <item x="27"/>
        <item x="28"/>
        <item m="1" x="716"/>
        <item x="29"/>
        <item m="1" x="527"/>
        <item m="1" x="987"/>
        <item m="1" x="328"/>
        <item m="1" x="457"/>
        <item m="1" x="1065"/>
        <item m="1" x="267"/>
        <item m="1" x="1192"/>
        <item m="1" x="1475"/>
        <item m="1" x="1288"/>
        <item m="1" x="717"/>
        <item x="31"/>
        <item x="32"/>
        <item m="1" x="528"/>
        <item m="1" x="754"/>
        <item x="33"/>
        <item m="1" x="1214"/>
        <item m="1" x="1453"/>
        <item m="1" x="659"/>
        <item m="1" x="1026"/>
        <item m="1" x="1152"/>
        <item m="1" x="504"/>
        <item x="34"/>
        <item m="1" x="967"/>
        <item m="1" x="1193"/>
        <item m="1" x="1432"/>
        <item m="1" x="395"/>
        <item m="1" x="639"/>
        <item m="1" x="1004"/>
        <item m="1" x="1476"/>
        <item x="35"/>
        <item m="1" x="1129"/>
        <item x="36"/>
        <item m="1" x="718"/>
        <item m="1" x="945"/>
        <item m="1" x="1174"/>
        <item m="1" x="1411"/>
        <item m="1" x="617"/>
        <item m="1" x="988"/>
        <item m="1" x="1215"/>
        <item x="37"/>
        <item m="1" x="882"/>
        <item m="1" x="699"/>
        <item x="39"/>
        <item m="1" x="1153"/>
        <item m="1" x="596"/>
        <item m="1" x="968"/>
        <item m="1" x="1194"/>
        <item m="1" x="1088"/>
        <item m="1" x="439"/>
        <item m="1" x="680"/>
        <item m="1" x="1367"/>
        <item m="1" x="334"/>
        <item m="1" x="946"/>
        <item m="1" x="1175"/>
        <item m="1" x="1412"/>
        <item m="1" x="377"/>
        <item m="1" x="1070"/>
        <item m="1" x="1454"/>
        <item m="1" x="660"/>
        <item m="1" x="313"/>
        <item m="1" x="555"/>
        <item m="1" x="924"/>
        <item m="1" x="1154"/>
        <item m="1" x="1386"/>
        <item m="1" x="818"/>
        <item x="40"/>
        <item m="1" x="640"/>
        <item m="1" x="532"/>
        <item m="1" x="1130"/>
        <item m="1" x="1368"/>
        <item m="1" x="1029"/>
        <item m="1" x="1413"/>
        <item m="1" x="1309"/>
        <item m="1" x="274"/>
        <item m="1" x="1108"/>
        <item m="1" x="1232"/>
        <item m="1" x="1346"/>
        <item m="1" x="1468"/>
        <item m="1" x="432"/>
        <item m="1" x="556"/>
        <item m="1" x="673"/>
        <item m="1" x="779"/>
        <item m="1" x="1387"/>
        <item m="1" x="242"/>
        <item m="1" x="357"/>
        <item m="1" x="597"/>
        <item m="1" x="708"/>
        <item m="1" x="819"/>
        <item m="1" x="1167"/>
        <item m="1" x="747"/>
        <item m="1" x="862"/>
        <item m="1" x="1208"/>
        <item m="1" x="1326"/>
        <item m="1" x="1447"/>
        <item m="1" x="408"/>
        <item m="1" x="533"/>
        <item m="1" x="651"/>
        <item m="1" x="871"/>
        <item m="1" x="1369"/>
        <item m="1" x="216"/>
        <item m="1" x="335"/>
        <item m="1" x="693"/>
        <item m="1" x="797"/>
        <item m="1" x="1144"/>
        <item m="1" x="231"/>
        <item m="1" x="731"/>
        <item m="1" x="842"/>
        <item m="1" x="960"/>
        <item m="1" x="1186"/>
        <item m="1" x="1424"/>
        <item m="1" x="275"/>
        <item m="1" x="511"/>
        <item m="1" x="630"/>
        <item m="1" x="850"/>
        <item m="1" x="972"/>
        <item m="1" x="1469"/>
        <item x="42"/>
        <item x="43"/>
        <item m="1" x="674"/>
        <item m="1" x="780"/>
        <item m="1" x="898"/>
        <item m="1" x="1247"/>
        <item m="1" x="820"/>
        <item m="1" x="937"/>
        <item m="1" x="1293"/>
        <item m="1" x="1401"/>
        <item m="1" x="251"/>
        <item m="1" x="367"/>
        <item m="1" x="722"/>
        <item m="1" x="950"/>
        <item m="1" x="1057"/>
        <item m="1" x="1327"/>
        <item m="1" x="1448"/>
        <item m="1" x="293"/>
        <item m="1" x="409"/>
        <item m="1" x="758"/>
        <item m="1" x="872"/>
        <item m="1" x="990"/>
        <item m="1" x="1096"/>
        <item m="1" x="1220"/>
        <item m="1" x="303"/>
        <item m="1" x="422"/>
        <item m="1" x="694"/>
        <item m="1" x="798"/>
        <item m="1" x="915"/>
        <item h="1" x="45"/>
        <item m="1" x="1378"/>
        <item m="1" x="232"/>
        <item m="1" x="346"/>
        <item m="1" x="462"/>
        <item m="1" x="808"/>
        <item m="1" x="1040"/>
        <item m="1" x="276"/>
        <item m="1" x="387"/>
        <item h="1" m="1" x="512"/>
        <item m="1" x="740"/>
        <item m="1" x="851"/>
        <item m="1" x="973"/>
        <item m="1" x="1435"/>
        <item m="1" x="283"/>
        <item m="1" x="399"/>
        <item m="1" x="899"/>
        <item m="1" x="1010"/>
        <item h="1" m="1" x="1120"/>
        <item m="1" x="1248"/>
        <item m="1" x="1359"/>
        <item m="1" x="1482"/>
        <item m="1" x="443"/>
        <item h="1" m="1" x="788"/>
        <item m="1" x="1022"/>
        <item m="1" x="1294"/>
        <item m="1" x="1402"/>
        <item h="1" m="1" x="252"/>
        <item m="1" x="368"/>
        <item m="1" x="484"/>
        <item m="1" x="723"/>
        <item m="1" x="832"/>
        <item m="1" x="951"/>
        <item m="1" x="1058"/>
        <item m="1" x="1302"/>
        <item m="1" x="1416"/>
        <item m="1" x="263"/>
        <item m="1" x="380"/>
        <item m="1" x="652"/>
        <item m="1" x="759"/>
        <item h="1" m="1" x="991"/>
        <item m="1" x="304"/>
        <item m="1" x="423"/>
        <item m="1" x="543"/>
        <item h="1" m="1" x="887"/>
        <item m="1" x="1270"/>
        <item m="1" x="1379"/>
        <item m="1" x="233"/>
        <item h="1" m="1" x="347"/>
        <item h="1" m="1" x="463"/>
        <item m="1" x="584"/>
        <item m="1" x="809"/>
        <item h="1" m="1" x="928"/>
        <item h="1" m="1" x="1041"/>
        <item m="1" x="1391"/>
        <item m="1" x="631"/>
        <item h="1" m="1" x="741"/>
        <item m="1" x="852"/>
        <item m="1" x="974"/>
        <item m="1" x="1079"/>
        <item h="1" x="46"/>
        <item m="1" x="1317"/>
        <item m="1" x="1436"/>
        <item h="1" m="1" x="400"/>
        <item m="1" x="523"/>
        <item h="1" x="47"/>
        <item h="1" x="48"/>
        <item m="1" x="1249"/>
        <item h="1" m="1" x="1360"/>
        <item h="1" m="1" x="1483"/>
        <item h="1" x="49"/>
        <item m="1" x="444"/>
        <item m="1" x="567"/>
        <item h="1" m="1" x="684"/>
        <item h="1" m="1" x="789"/>
        <item m="1" x="906"/>
        <item m="1" x="1134"/>
        <item m="1" x="1372"/>
        <item m="1" x="221"/>
        <item m="1" x="338"/>
        <item m="1" x="608"/>
        <item m="1" x="724"/>
        <item h="1" m="1" x="833"/>
        <item m="1" x="952"/>
        <item m="1" x="300"/>
        <item h="1" m="1" x="1059"/>
        <item m="1" x="418"/>
        <item h="1" m="1" x="1177"/>
        <item m="1" x="540"/>
        <item m="1" x="1303"/>
        <item m="1" x="661"/>
        <item m="1" x="910"/>
        <item m="1" x="381"/>
        <item m="1" x="1138"/>
        <item m="1" x="499"/>
        <item h="1" m="1" x="1265"/>
        <item m="1" x="621"/>
        <item m="1" x="1376"/>
        <item m="1" x="734"/>
        <item h="1" m="1" x="844"/>
        <item m="1" x="341"/>
        <item m="1" x="964"/>
        <item h="1" m="1" x="458"/>
        <item m="1" x="1222"/>
        <item m="1" x="580"/>
        <item m="1" x="1336"/>
        <item m="1" x="1458"/>
        <item h="1" x="50"/>
        <item h="1" m="1" x="305"/>
        <item m="1" x="925"/>
        <item m="1" x="424"/>
        <item m="1" x="1037"/>
        <item m="1" x="544"/>
        <item h="1" m="1" x="1155"/>
        <item m="1" x="1280"/>
        <item m="1" x="268"/>
        <item m="1" x="888"/>
        <item m="1" x="505"/>
        <item m="1" x="1112"/>
        <item h="1" x="51"/>
        <item m="1" x="1237"/>
        <item m="1" x="737"/>
        <item m="1" x="1351"/>
        <item h="1" x="53"/>
        <item h="1" m="1" x="969"/>
        <item m="1" x="318"/>
        <item m="1" x="1195"/>
        <item m="1" x="701"/>
        <item h="1" m="1" x="1433"/>
        <item m="1" x="929"/>
        <item h="1" m="1" x="280"/>
        <item m="1" x="1042"/>
        <item h="1" m="1" x="396"/>
        <item m="1" x="1158"/>
        <item h="1" x="54"/>
        <item m="1" x="1284"/>
        <item m="1" x="641"/>
        <item m="1" x="1392"/>
        <item m="1" x="893"/>
        <item m="1" x="246"/>
        <item m="1" x="475"/>
        <item m="1" x="1241"/>
        <item m="1" x="603"/>
        <item m="1" x="1355"/>
        <item h="1" m="1" x="713"/>
        <item h="1" m="1" x="1478"/>
        <item m="1" x="825"/>
        <item m="1" x="321"/>
        <item m="1" x="1199"/>
        <item m="1" x="562"/>
        <item m="1" x="1318"/>
        <item m="1" x="785"/>
        <item m="1" x="284"/>
        <item h="1" x="56"/>
        <item h="1" m="1" x="1019"/>
        <item m="1" x="524"/>
        <item m="1" x="1131"/>
        <item m="1" x="644"/>
        <item m="1" x="751"/>
        <item m="1" x="249"/>
        <item m="1" x="864"/>
        <item m="1" x="363"/>
        <item m="1" x="985"/>
        <item m="1" x="479"/>
        <item m="1" x="1092"/>
        <item h="1" m="1" x="1213"/>
        <item h="1" m="1" x="719"/>
        <item h="1" m="1" x="1331"/>
        <item h="1" m="1" x="829"/>
        <item m="1" x="947"/>
        <item h="1" x="57"/>
        <item m="1" x="1054"/>
        <item m="1" x="685"/>
        <item h="1" m="1" x="1300"/>
        <item m="1" x="907"/>
        <item h="1" m="1" x="261"/>
        <item h="1" m="1" x="1023"/>
        <item m="1" x="1135"/>
        <item m="1" x="495"/>
        <item m="1" x="1262"/>
        <item m="1" x="618"/>
        <item m="1" x="1373"/>
        <item m="1" x="866"/>
        <item m="1" x="222"/>
        <item m="1" x="989"/>
        <item m="1" x="339"/>
        <item h="1" m="1" x="1216"/>
        <item h="1" m="1" x="1334"/>
        <item h="1" m="1" x="696"/>
        <item m="1" x="1455"/>
        <item m="1" x="803"/>
        <item m="1" x="301"/>
        <item m="1" x="921"/>
        <item h="1" m="1" x="419"/>
        <item m="1" x="1178"/>
        <item m="1" x="662"/>
        <item h="1" m="1" x="768"/>
        <item h="1" m="1" x="264"/>
        <item h="1" m="1" x="884"/>
        <item h="1" x="59"/>
        <item m="1" x="999"/>
        <item m="1" x="500"/>
        <item h="1" m="1" x="622"/>
        <item h="1" m="1" x="1233"/>
        <item h="1" m="1" x="735"/>
        <item m="1" x="227"/>
        <item m="1" x="845"/>
        <item m="1" x="342"/>
        <item m="1" x="965"/>
        <item m="1" x="459"/>
        <item m="1" x="1073"/>
        <item h="1" m="1" x="581"/>
        <item h="1" m="1" x="1190"/>
        <item h="1" x="61"/>
        <item m="1" x="1429"/>
        <item m="1" x="1038"/>
        <item m="1" x="545"/>
        <item m="1" x="1156"/>
        <item m="1" x="1281"/>
        <item m="1" x="771"/>
        <item h="1" x="62"/>
        <item h="1" m="1" x="1113"/>
        <item h="1" m="1" x="472"/>
        <item m="1" x="598"/>
        <item m="1" x="1352"/>
        <item m="1" x="847"/>
        <item m="1" x="1472"/>
        <item m="1" x="970"/>
        <item m="1" x="319"/>
        <item m="1" x="1076"/>
        <item h="1" m="1" x="436"/>
        <item h="1" x="66"/>
        <item m="1" x="1434"/>
        <item m="1" x="783"/>
        <item m="1" x="281"/>
        <item m="1" x="397"/>
        <item m="1" x="1159"/>
        <item m="1" x="522"/>
        <item h="1" x="67"/>
        <item m="1" x="642"/>
        <item m="1" x="1393"/>
        <item h="1" m="1" x="748"/>
        <item h="1" x="69"/>
        <item m="1" x="360"/>
        <item m="1" x="476"/>
        <item h="1" m="1" x="1089"/>
        <item h="1" m="1" x="604"/>
        <item m="1" x="714"/>
        <item h="1" m="1" x="1479"/>
        <item m="1" x="826"/>
        <item m="1" x="322"/>
        <item m="1" x="943"/>
        <item h="1" m="1" x="440"/>
        <item m="1" x="1051"/>
        <item h="1" m="1" x="563"/>
        <item m="1" x="1172"/>
        <item m="1" x="682"/>
        <item m="1" x="786"/>
        <item m="1" x="1408"/>
        <item m="1" x="905"/>
        <item h="1" x="70"/>
        <item m="1" x="1020"/>
        <item m="1" x="525"/>
        <item m="1" x="1132"/>
        <item m="1" x="645"/>
        <item h="1" m="1" x="1260"/>
        <item m="1" x="752"/>
        <item m="1" x="1370"/>
        <item m="1" x="217"/>
        <item m="1" x="986"/>
        <item m="1" x="1093"/>
        <item h="1" x="73"/>
        <item h="1" x="74"/>
        <item m="1" x="1332"/>
        <item m="1" x="830"/>
        <item m="1" x="1452"/>
        <item h="1" m="1" x="948"/>
        <item m="1" x="1055"/>
        <item h="1" m="1" x="415"/>
        <item h="1" x="75"/>
        <item m="1" x="1301"/>
        <item m="1" x="656"/>
        <item m="1" x="1414"/>
        <item h="1" m="1" x="765"/>
        <item h="1" m="1" x="878"/>
        <item m="1" x="378"/>
        <item m="1" x="1136"/>
        <item m="1" x="496"/>
        <item m="1" x="1263"/>
        <item m="1" x="619"/>
        <item h="1" m="1" x="1374"/>
        <item m="1" x="732"/>
        <item m="1" x="223"/>
        <item m="1" x="340"/>
        <item h="1" m="1" x="1187"/>
        <item h="1" m="1" x="1456"/>
        <item m="1" x="302"/>
        <item h="1" m="1" x="922"/>
        <item m="1" x="420"/>
        <item m="1" x="1034"/>
        <item m="1" x="542"/>
        <item m="1" x="1149"/>
        <item m="1" x="664"/>
        <item m="1" x="1277"/>
        <item m="1" x="769"/>
        <item h="1" m="1" x="1383"/>
        <item h="1" m="1" x="885"/>
        <item m="1" x="1000"/>
        <item m="1" x="501"/>
        <item m="1" x="1109"/>
        <item h="1" m="1" x="623"/>
        <item h="1" m="1" x="1234"/>
        <item m="1" x="1347"/>
        <item h="1" m="1" x="846"/>
        <item m="1" x="966"/>
        <item m="1" x="314"/>
        <item m="1" x="1074"/>
        <item h="1" m="1" x="433"/>
        <item m="1" x="557"/>
        <item h="1" x="77"/>
        <item m="1" x="805"/>
        <item h="1" m="1" x="1430"/>
        <item m="1" x="927"/>
        <item h="1" x="78"/>
        <item m="1" x="518"/>
        <item m="1" x="1282"/>
        <item m="1" x="636"/>
        <item m="1" x="744"/>
        <item m="1" x="358"/>
        <item h="1" m="1" x="1114"/>
        <item h="1" m="1" x="473"/>
        <item m="1" x="1239"/>
        <item m="1" x="599"/>
        <item m="1" x="709"/>
        <item m="1" x="1473"/>
        <item m="1" x="821"/>
        <item m="1" x="320"/>
        <item m="1" x="938"/>
        <item m="1" x="437"/>
        <item m="1" x="1049"/>
        <item h="1" m="1" x="561"/>
        <item m="1" x="1168"/>
        <item m="1" x="679"/>
        <item h="1" x="80"/>
        <item m="1" x="903"/>
        <item h="1" x="81"/>
        <item m="1" x="1015"/>
        <item m="1" x="1125"/>
        <item m="1" x="643"/>
        <item m="1" x="1255"/>
        <item m="1" x="749"/>
        <item h="1" m="1" x="1363"/>
        <item m="1" x="477"/>
        <item h="1" m="1" x="1090"/>
        <item h="1" m="1" x="605"/>
        <item m="1" x="1210"/>
        <item m="1" x="715"/>
        <item h="1" m="1" x="1328"/>
        <item m="1" x="827"/>
        <item m="1" x="944"/>
        <item m="1" x="294"/>
        <item m="1" x="1052"/>
        <item m="1" x="410"/>
        <item h="1" x="83"/>
        <item m="1" x="534"/>
        <item m="1" x="1299"/>
        <item m="1" x="787"/>
        <item m="1" x="1409"/>
        <item m="1" x="258"/>
        <item m="1" x="1021"/>
        <item m="1" x="1133"/>
        <item m="1" x="491"/>
        <item m="1" x="1261"/>
        <item m="1" x="613"/>
        <item m="1" x="1371"/>
        <item m="1" x="218"/>
        <item m="1" x="837"/>
        <item m="1" x="336"/>
        <item m="1" x="1094"/>
        <item h="1" x="86"/>
        <item h="1" m="1" x="575"/>
        <item h="1" m="1" x="1333"/>
        <item h="1" x="88"/>
        <item m="1" x="799"/>
        <item m="1" x="298"/>
        <item m="1" x="916"/>
        <item m="1" x="416"/>
        <item m="1" x="1030"/>
        <item m="1" x="1145"/>
        <item m="1" x="657"/>
        <item m="1" x="1415"/>
        <item m="1" x="766"/>
        <item m="1" x="262"/>
        <item m="1" x="879"/>
        <item m="1" x="379"/>
        <item m="1" x="996"/>
        <item m="1" x="497"/>
        <item m="1" x="1104"/>
        <item m="1" x="620"/>
        <item h="1" m="1" x="1228"/>
        <item m="1" x="733"/>
        <item h="1" m="1" x="1342"/>
        <item m="1" x="1464"/>
        <item m="1" x="961"/>
        <item m="1" x="456"/>
        <item h="1" m="1" x="1071"/>
        <item h="1" m="1" x="579"/>
        <item h="1" m="1" x="1188"/>
        <item m="1" x="698"/>
        <item m="1" x="1310"/>
        <item m="1" x="804"/>
        <item m="1" x="1425"/>
        <item h="1" m="1" x="923"/>
        <item m="1" x="277"/>
        <item m="1" x="1035"/>
        <item m="1" x="388"/>
        <item m="1" x="1150"/>
        <item m="1" x="513"/>
        <item m="1" x="1278"/>
        <item m="1" x="770"/>
        <item m="1" x="1384"/>
        <item m="1" x="886"/>
        <item m="1" x="239"/>
        <item m="1" x="1001"/>
        <item m="1" x="353"/>
        <item h="1" m="1" x="1111"/>
        <item h="1" m="1" x="468"/>
        <item m="1" x="1235"/>
        <item h="1" m="1" x="592"/>
        <item m="1" x="1348"/>
        <item m="1" x="1470"/>
        <item m="1" x="814"/>
        <item m="1" x="315"/>
        <item m="1" x="1075"/>
        <item m="1" x="434"/>
        <item h="1" m="1" x="1191"/>
        <item h="1" m="1" x="1314"/>
        <item m="1" x="675"/>
        <item h="1" m="1" x="1431"/>
        <item m="1" x="781"/>
        <item m="1" x="279"/>
        <item m="1" x="900"/>
        <item m="1" x="1011"/>
        <item m="1" x="519"/>
        <item m="1" x="637"/>
        <item m="1" x="745"/>
        <item m="1" x="244"/>
        <item m="1" x="859"/>
        <item h="1" m="1" x="359"/>
        <item m="1" x="980"/>
        <item m="1" x="474"/>
        <item m="1" x="1083"/>
        <item h="1" m="1" x="601"/>
        <item h="1" m="1" x="710"/>
        <item m="1" x="822"/>
        <item m="1" x="1441"/>
        <item m="1" x="939"/>
        <item h="1" x="90"/>
        <item h="1" x="91"/>
        <item m="1" x="1295"/>
        <item m="1" x="784"/>
        <item m="1" x="1403"/>
        <item h="1" m="1" x="602"/>
        <item m="1" x="1206"/>
        <item m="1" x="253"/>
        <item m="1" x="712"/>
        <item m="1" x="1016"/>
        <item h="1" m="1" x="1324"/>
        <item m="1" x="369"/>
        <item m="1" x="824"/>
        <item m="1" x="1126"/>
        <item m="1" x="1444"/>
        <item h="1" m="1" x="485"/>
        <item m="1" x="941"/>
        <item m="1" x="1256"/>
        <item h="1" x="92"/>
        <item m="1" x="1364"/>
        <item m="1" x="863"/>
        <item m="1" x="1170"/>
        <item m="1" x="1488"/>
        <item h="1" m="1" x="530"/>
        <item m="1" x="983"/>
        <item m="1" x="1297"/>
        <item m="1" x="329"/>
        <item m="1" x="648"/>
        <item m="1" x="1091"/>
        <item h="1" x="94"/>
        <item m="1" x="449"/>
        <item m="1" x="904"/>
        <item m="1" x="1211"/>
        <item m="1" x="256"/>
        <item m="1" x="571"/>
        <item h="1" m="1" x="1018"/>
        <item m="1" x="1330"/>
        <item m="1" x="371"/>
        <item m="1" x="689"/>
        <item m="1" x="1128"/>
        <item m="1" x="488"/>
        <item m="1" x="1259"/>
        <item m="1" x="295"/>
        <item m="1" x="611"/>
        <item m="1" x="1053"/>
        <item m="1" x="1366"/>
        <item m="1" x="411"/>
        <item m="1" x="727"/>
        <item m="1" x="1173"/>
        <item m="1" x="215"/>
        <item m="1" x="535"/>
        <item m="1" x="332"/>
        <item m="1" x="653"/>
        <item m="1" x="954"/>
        <item m="1" x="1410"/>
        <item m="1" x="451"/>
        <item h="1" m="1" x="760"/>
        <item m="1" x="1212"/>
        <item m="1" x="259"/>
        <item m="1" x="574"/>
        <item m="1" x="873"/>
        <item h="1" m="1" x="374"/>
        <item m="1" x="992"/>
        <item m="1" x="1450"/>
        <item m="1" x="492"/>
        <item m="1" x="795"/>
        <item m="1" x="1097"/>
        <item m="1" x="297"/>
        <item m="1" x="614"/>
        <item h="1" m="1" x="913"/>
        <item m="1" x="413"/>
        <item m="1" x="1028"/>
        <item m="1" x="219"/>
        <item m="1" x="537"/>
        <item m="1" x="838"/>
        <item m="1" x="1141"/>
        <item m="1" x="337"/>
        <item m="1" x="655"/>
        <item m="1" x="957"/>
        <item m="1" x="1268"/>
        <item m="1" x="454"/>
        <item m="1" x="763"/>
        <item h="1" x="97"/>
        <item m="1" x="260"/>
        <item m="1" x="576"/>
        <item m="1" x="876"/>
        <item m="1" x="1181"/>
        <item m="1" x="376"/>
        <item h="1" x="98"/>
        <item m="1" x="994"/>
        <item m="1" x="1305"/>
        <item m="1" x="494"/>
        <item m="1" x="800"/>
        <item m="1" x="1100"/>
        <item m="1" x="1420"/>
        <item h="1" m="1" x="616"/>
        <item m="1" x="917"/>
        <item m="1" x="1225"/>
        <item h="1" m="1" x="417"/>
        <item m="1" x="730"/>
        <item m="1" x="1031"/>
        <item m="1" x="1338"/>
        <item m="1" x="539"/>
        <item m="1" x="840"/>
        <item m="1" x="1461"/>
        <item m="1" x="959"/>
        <item m="1" x="1271"/>
        <item m="1" x="307"/>
        <item m="1" x="767"/>
        <item m="1" x="1068"/>
        <item m="1" x="1380"/>
        <item m="1" x="577"/>
        <item m="1" x="880"/>
        <item m="1" x="1184"/>
        <item m="1" x="234"/>
        <item m="1" x="1307"/>
        <item m="1" x="348"/>
        <item m="1" x="802"/>
        <item m="1" x="1105"/>
        <item m="1" x="1422"/>
        <item m="1" x="464"/>
        <item m="1" x="919"/>
        <item h="1" m="1" x="1229"/>
        <item h="1" m="1" x="271"/>
        <item m="1" x="1033"/>
        <item m="1" x="1343"/>
        <item m="1" x="385"/>
        <item m="1" x="508"/>
        <item m="1" x="962"/>
        <item m="1" x="1275"/>
        <item m="1" x="310"/>
        <item m="1" x="627"/>
        <item m="1" x="1072"/>
        <item m="1" x="1381"/>
        <item h="1" m="1" x="428"/>
        <item h="1" m="1" x="881"/>
        <item m="1" x="1189"/>
        <item m="1" x="238"/>
        <item m="1" x="550"/>
        <item m="1" x="1311"/>
        <item m="1" x="350"/>
        <item m="1" x="669"/>
        <item m="1" x="1107"/>
        <item h="1" m="1" x="1426"/>
        <item m="1" x="466"/>
        <item m="1" x="775"/>
        <item h="1" m="1" x="1231"/>
        <item h="1" x="99"/>
        <item h="1" m="1" x="587"/>
        <item h="1" m="1" x="1036"/>
        <item m="1" x="1345"/>
        <item m="1" x="389"/>
        <item m="1" x="704"/>
        <item m="1" x="1151"/>
        <item m="1" x="514"/>
        <item m="1" x="1279"/>
        <item m="1" x="931"/>
        <item h="1" m="1" x="1385"/>
        <item h="1" m="1" x="430"/>
        <item m="1" x="240"/>
        <item m="1" x="553"/>
        <item h="1" m="1" x="853"/>
        <item h="1" m="1" x="1313"/>
        <item m="1" x="354"/>
        <item m="1" x="671"/>
        <item h="1" m="1" x="975"/>
        <item m="1" x="1428"/>
        <item m="1" x="469"/>
        <item m="1" x="778"/>
        <item h="1" m="1" x="1080"/>
        <item m="1" x="278"/>
        <item h="1" m="1" x="593"/>
        <item m="1" x="1349"/>
        <item m="1" x="391"/>
        <item m="1" x="706"/>
        <item m="1" x="1007"/>
        <item m="1" x="1471"/>
        <item m="1" x="516"/>
        <item m="1" x="1117"/>
        <item m="1" x="316"/>
        <item m="1" x="634"/>
        <item m="1" x="933"/>
        <item m="1" x="1244"/>
        <item h="1" m="1" x="435"/>
        <item h="1" m="1" x="743"/>
        <item h="1" m="1" x="1045"/>
        <item m="1" x="241"/>
        <item h="1" m="1" x="856"/>
        <item h="1" m="1" x="1163"/>
        <item h="1" m="1" x="356"/>
        <item m="1" x="676"/>
        <item m="1" x="978"/>
        <item m="1" x="1290"/>
        <item h="1" m="1" x="471"/>
        <item h="1" m="1" x="782"/>
        <item m="1" x="1081"/>
        <item m="1" x="1396"/>
        <item h="1" x="101"/>
        <item m="1" x="394"/>
        <item h="1" m="1" x="707"/>
        <item m="1" x="1012"/>
        <item m="1" x="1319"/>
        <item h="1" m="1" x="520"/>
        <item m="1" x="816"/>
        <item m="1" x="1439"/>
        <item m="1" x="638"/>
        <item m="1" x="935"/>
        <item h="1" m="1" x="1250"/>
        <item m="1" x="286"/>
        <item m="1" x="746"/>
        <item h="1" x="102"/>
        <item h="1" x="103"/>
        <item h="1" m="1" x="560"/>
        <item h="1" m="1" x="860"/>
        <item h="1" m="1" x="1484"/>
        <item m="1" x="678"/>
        <item m="1" x="981"/>
        <item m="1" x="1292"/>
        <item m="1" x="324"/>
        <item h="1" x="104"/>
        <item m="1" x="1084"/>
        <item h="1" m="1" x="1398"/>
        <item m="1" x="445"/>
        <item h="1" x="105"/>
        <item m="1" x="1203"/>
        <item h="1" x="106"/>
        <item m="1" x="711"/>
        <item m="1" x="1014"/>
        <item h="1" m="1" x="1322"/>
        <item m="1" x="365"/>
        <item m="1" x="823"/>
        <item m="1" x="1122"/>
        <item m="1" x="1442"/>
        <item h="1" m="1" x="940"/>
        <item m="1" x="1253"/>
        <item m="1" x="290"/>
        <item h="1" m="1" x="607"/>
        <item h="1" m="1" x="1050"/>
        <item h="1" m="1" x="1361"/>
        <item h="1" m="1" x="404"/>
        <item m="1" x="861"/>
        <item h="1" m="1" x="1169"/>
        <item h="1" x="108"/>
        <item m="1" x="982"/>
        <item h="1" m="1" x="1296"/>
        <item m="1" x="325"/>
        <item m="1" x="647"/>
        <item m="1" x="1087"/>
        <item m="1" x="1404"/>
        <item m="1" x="755"/>
        <item m="1" x="1207"/>
        <item m="1" x="254"/>
        <item m="1" x="569"/>
        <item h="1" m="1" x="1017"/>
        <item m="1" x="1325"/>
        <item m="1" x="370"/>
        <item h="1" m="1" x="687"/>
        <item m="1" x="1127"/>
        <item m="1" x="1445"/>
        <item h="1" m="1" x="486"/>
        <item m="1" x="792"/>
        <item m="1" x="1257"/>
        <item h="1" m="1" x="292"/>
        <item m="1" x="609"/>
        <item h="1" x="110"/>
        <item h="1" m="1" x="406"/>
        <item h="1" m="1" x="725"/>
        <item m="1" x="1171"/>
        <item h="1" x="111"/>
        <item h="1" x="112"/>
        <item h="1" x="113"/>
        <item m="1" x="1298"/>
        <item h="1" m="1" x="330"/>
        <item m="1" x="649"/>
        <item m="1" x="953"/>
        <item m="1" x="1405"/>
        <item m="1" x="450"/>
        <item h="1" m="1" x="756"/>
        <item m="1" x="1060"/>
        <item m="1" x="257"/>
        <item m="1" x="572"/>
        <item m="1" x="869"/>
        <item h="1" x="114"/>
        <item m="1" x="373"/>
        <item m="1" x="690"/>
        <item h="1" x="115"/>
        <item h="1" m="1" x="1449"/>
        <item m="1" x="489"/>
        <item m="1" x="794"/>
        <item m="1" x="1095"/>
        <item h="1" x="116"/>
        <item m="1" x="911"/>
        <item m="1" x="1218"/>
        <item h="1" m="1" x="412"/>
        <item h="1" x="117"/>
        <item h="1" x="118"/>
        <item m="1" x="536"/>
        <item m="1" x="835"/>
        <item h="1" m="1" x="333"/>
        <item m="1" x="955"/>
        <item m="1" x="1266"/>
        <item h="1" m="1" x="452"/>
        <item h="1" m="1" x="761"/>
        <item h="1" m="1" x="1062"/>
        <item h="1" m="1" x="874"/>
        <item m="1" x="1179"/>
        <item m="1" x="375"/>
        <item m="1" x="692"/>
        <item m="1" x="993"/>
        <item h="1" m="1" x="1304"/>
        <item m="1" x="493"/>
        <item h="1" m="1" x="796"/>
        <item m="1" x="1098"/>
        <item m="1" x="1419"/>
        <item h="1" m="1" x="615"/>
        <item m="1" x="914"/>
        <item m="1" x="1223"/>
        <item m="1" x="266"/>
        <item h="1" x="119"/>
        <item m="1" x="1337"/>
        <item m="1" x="538"/>
        <item m="1" x="839"/>
        <item m="1" x="1142"/>
        <item m="1" x="1459"/>
        <item h="1" x="121"/>
        <item m="1" x="958"/>
        <item m="1" x="1269"/>
        <item h="1" m="1" x="306"/>
        <item h="1" m="1" x="764"/>
        <item h="1" m="1" x="1066"/>
        <item m="1" x="1377"/>
        <item h="1" m="1" x="425"/>
        <item m="1" x="877"/>
        <item m="1" x="1182"/>
        <item m="1" x="229"/>
        <item m="1" x="695"/>
        <item h="1" m="1" x="995"/>
        <item m="1" x="1306"/>
        <item m="1" x="344"/>
        <item m="1" x="801"/>
        <item h="1" x="122"/>
        <item h="1" m="1" x="1421"/>
        <item h="1" m="1" x="460"/>
        <item h="1" m="1" x="918"/>
        <item m="1" x="1226"/>
        <item m="1" x="269"/>
        <item m="1" x="582"/>
        <item h="1" m="1" x="1032"/>
        <item h="1" m="1" x="1339"/>
        <item m="1" x="384"/>
        <item m="1" x="841"/>
        <item m="1" x="1146"/>
        <item m="1" x="1462"/>
        <item m="1" x="506"/>
        <item h="1" x="123"/>
        <item m="1" x="1272"/>
        <item m="1" x="308"/>
        <item m="1" x="625"/>
        <item h="1" m="1" x="1069"/>
        <item h="1" x="124"/>
        <item m="1" x="427"/>
        <item h="1" m="1" x="1185"/>
        <item m="1" x="235"/>
        <item m="1" x="547"/>
        <item m="1" x="997"/>
        <item m="1" x="1308"/>
        <item h="1" m="1" x="349"/>
        <item m="1" x="667"/>
        <item h="1" m="1" x="1423"/>
        <item h="1" m="1" x="465"/>
        <item m="1" x="1230"/>
        <item h="1" m="1" x="272"/>
        <item h="1" m="1" x="585"/>
        <item h="1" m="1" x="891"/>
        <item m="1" x="1344"/>
        <item m="1" x="702"/>
        <item m="1" x="1147"/>
        <item m="1" x="1465"/>
        <item m="1" x="509"/>
        <item m="1" x="810"/>
        <item m="1" x="1276"/>
        <item m="1" x="311"/>
        <item m="1" x="628"/>
        <item h="1" x="125"/>
        <item h="1" x="126"/>
        <item h="1" m="1" x="738"/>
        <item h="1" m="1" x="1043"/>
        <item h="1" x="127"/>
        <item m="1" x="551"/>
        <item h="1" m="1" x="1312"/>
        <item h="1" m="1" x="351"/>
        <item h="1" x="128"/>
        <item h="1" m="1" x="971"/>
        <item h="1" m="1" x="1427"/>
        <item h="1" m="1" x="467"/>
        <item h="1" m="1" x="776"/>
        <item h="1" m="1" x="588"/>
        <item m="1" x="894"/>
        <item h="1" m="1" x="1197"/>
        <item h="1" m="1" x="390"/>
        <item m="1" x="705"/>
        <item m="1" x="1006"/>
        <item m="1" x="1467"/>
        <item m="1" x="515"/>
        <item m="1" x="812"/>
        <item m="1" x="1115"/>
        <item m="1" x="312"/>
        <item m="1" x="632"/>
        <item h="1" m="1" x="932"/>
        <item h="1" m="1" x="1242"/>
        <item h="1" m="1" x="431"/>
        <item h="1" m="1" x="742"/>
        <item m="1" x="1044"/>
        <item m="1" x="1356"/>
        <item m="1" x="554"/>
        <item h="1" m="1" x="854"/>
        <item h="1" m="1" x="1161"/>
        <item h="1" m="1" x="355"/>
        <item h="1" m="1" x="672"/>
        <item m="1" x="976"/>
        <item h="1" m="1" x="1286"/>
        <item h="1" m="1" x="470"/>
        <item h="1" x="130"/>
        <item h="1" x="131"/>
        <item h="1" x="132"/>
        <item m="1" x="896"/>
        <item h="1" m="1" x="1200"/>
        <item h="1" x="133"/>
        <item h="1" x="134"/>
        <item h="1" m="1" x="1008"/>
        <item m="1" x="517"/>
        <item m="1" x="815"/>
        <item m="1" x="1118"/>
        <item m="1" x="1437"/>
        <item h="1" m="1" x="635"/>
        <item h="1" m="1" x="934"/>
        <item m="1" x="1245"/>
        <item h="1" m="1" x="285"/>
        <item h="1" m="1" x="1046"/>
        <item h="1" m="1" x="1357"/>
        <item h="1" m="1" x="401"/>
        <item m="1" x="858"/>
        <item m="1" x="1164"/>
        <item h="1" m="1" x="1481"/>
        <item h="1" m="1" x="979"/>
        <item h="1" m="1" x="1291"/>
        <item h="1" m="1" x="323"/>
        <item h="1" x="135"/>
        <item h="1" x="136"/>
        <item m="1" x="1397"/>
        <item h="1" x="138"/>
        <item h="1" m="1" x="565"/>
        <item m="1" x="1013"/>
        <item m="1" x="1320"/>
        <item h="1" m="1" x="364"/>
        <item m="1" x="817"/>
        <item m="1" x="1121"/>
        <item h="1" m="1" x="1440"/>
        <item h="1" m="1" x="481"/>
        <item m="1" x="936"/>
        <item m="1" x="1252"/>
        <item h="1" m="1" x="287"/>
        <item h="1" x="139"/>
        <item m="1" x="1047"/>
        <item h="1" x="140"/>
        <item h="1" x="141"/>
        <item h="1" m="1" x="720"/>
        <item m="1" x="1166"/>
        <item h="1" m="1" x="1485"/>
        <item h="1" x="142"/>
        <item h="1" x="143"/>
        <item h="1" x="144"/>
        <item h="1" x="145"/>
        <item h="1" m="1" x="646"/>
        <item h="1" m="1" x="1085"/>
        <item m="1" x="1399"/>
        <item h="1" m="1" x="446"/>
        <item m="1" x="753"/>
        <item m="1" x="1204"/>
        <item m="1" x="568"/>
        <item h="1" m="1" x="1323"/>
        <item h="1" m="1" x="366"/>
        <item m="1" x="686"/>
        <item h="1" m="1" x="1123"/>
        <item h="1" m="1" x="1443"/>
        <item m="1" x="483"/>
        <item h="1" m="1" x="791"/>
        <item h="1" m="1" x="1254"/>
        <item h="1" m="1" x="291"/>
        <item h="1" x="146"/>
        <item h="1" m="1" x="908"/>
        <item h="1" m="1" x="1362"/>
        <item h="1" m="1" x="405"/>
        <item h="1" m="1" x="721"/>
        <item h="1" m="1" x="1024"/>
        <item m="1" x="1487"/>
        <item m="1" x="529"/>
        <item m="1" x="831"/>
        <item h="1" x="147"/>
        <item h="1" m="1" x="327"/>
        <item h="1" x="148"/>
        <item h="1" m="1" x="949"/>
        <item h="1" x="149"/>
        <item m="1" x="448"/>
        <item h="1" x="150"/>
        <item m="1" x="1056"/>
        <item m="1" x="255"/>
        <item m="1" x="570"/>
        <item h="1" x="151"/>
        <item h="1" m="1" x="688"/>
        <item h="1" m="1" x="1446"/>
        <item h="1" m="1" x="487"/>
        <item h="1" m="1" x="793"/>
        <item h="1" x="153"/>
        <item h="1" x="154"/>
        <item h="1" m="1" x="610"/>
        <item h="1" m="1" x="909"/>
        <item h="1" m="1" x="726"/>
        <item h="1" x="155"/>
        <item m="1" x="1335"/>
        <item h="1" m="1" x="531"/>
        <item m="1" x="834"/>
        <item h="1" m="1" x="1137"/>
        <item m="1" x="331"/>
        <item h="1" m="1" x="650"/>
        <item h="1" m="1" x="1264"/>
        <item h="1" x="157"/>
        <item h="1" m="1" x="757"/>
        <item h="1" m="1" x="1061"/>
        <item m="1" x="1375"/>
        <item m="1" x="573"/>
        <item m="1" x="870"/>
        <item h="1" m="1" x="224"/>
        <item h="1" x="159"/>
        <item h="1" x="160"/>
        <item h="1" x="161"/>
        <item h="1" m="1" x="1417"/>
        <item h="1" m="1" x="612"/>
        <item h="1" m="1" x="912"/>
        <item h="1" m="1" x="1219"/>
        <item h="1" m="1" x="265"/>
        <item h="1" x="163"/>
        <item m="1" x="382"/>
        <item h="1" x="164"/>
        <item m="1" x="1140"/>
        <item m="1" x="1457"/>
        <item h="1" m="1" x="654"/>
        <item h="1" m="1" x="956"/>
        <item h="1" m="1" x="1267"/>
        <item h="1" m="1" x="1063"/>
        <item m="1" x="421"/>
        <item m="1" x="875"/>
        <item m="1" x="1180"/>
        <item m="1" x="228"/>
        <item h="1" x="167"/>
        <item h="1" m="1" x="343"/>
        <item h="1" m="1" x="1099"/>
        <item h="1" x="168"/>
        <item h="1" x="169"/>
        <item h="1" x="170"/>
        <item h="1" x="171"/>
        <item h="1" x="172"/>
        <item h="1" x="173"/>
        <item h="1" x="175"/>
        <item m="1" x="700"/>
        <item m="1" x="1143"/>
        <item h="1" m="1" x="1460"/>
        <item h="1" x="176"/>
        <item h="1" x="177"/>
        <item h="1" m="1" x="426"/>
        <item m="1" x="736"/>
        <item m="1" x="1183"/>
        <item m="1" x="230"/>
        <item m="1" x="546"/>
        <item h="1" m="1" x="345"/>
        <item h="1" m="1" x="1101"/>
        <item m="1" x="461"/>
        <item m="1" x="772"/>
        <item m="1" x="1227"/>
        <item m="1" x="270"/>
        <item m="1" x="583"/>
        <item m="1" x="890"/>
        <item m="1" x="1340"/>
        <item m="1" x="1003"/>
        <item m="1" x="1463"/>
        <item h="1" m="1" x="507"/>
        <item h="1" m="1" x="806"/>
        <item m="1" x="309"/>
        <item h="1" x="182"/>
        <item m="1" x="236"/>
        <item h="1" m="1" x="548"/>
        <item h="1" m="1" x="848"/>
        <item h="1" m="1" x="1157"/>
        <item h="1" m="1" x="1077"/>
        <item h="1" m="1" x="273"/>
        <item h="1" m="1" x="586"/>
        <item h="1" m="1" x="892"/>
        <item h="1" m="1" x="1196"/>
        <item h="1" m="1" x="386"/>
        <item h="1" m="1" x="703"/>
        <item h="1" m="1" x="510"/>
        <item h="1" m="1" x="811"/>
        <item h="1" x="185"/>
        <item h="1" x="186"/>
        <item h="1" m="1" x="930"/>
        <item h="1" m="1" x="429"/>
        <item h="1" m="1" x="849"/>
        <item h="1" m="1" x="1160"/>
        <item h="1" m="1" x="1474"/>
        <item h="1" m="1" x="670"/>
        <item h="1" x="213"/>
        <item h="1" x="212"/>
        <item m="1" x="1176"/>
        <item m="1" x="1289"/>
        <item m="1" x="289"/>
        <item m="1" x="868"/>
        <item x="17"/>
        <item x="22"/>
        <item m="1" x="1148"/>
        <item h="1" m="1" x="566"/>
        <item h="1" m="1" x="1027"/>
        <item h="1" m="1" x="681"/>
        <item h="1" m="1" x="455"/>
        <item h="1" m="1" x="578"/>
        <item h="1" m="1" x="541"/>
        <item h="1" m="1" x="926"/>
        <item h="1" m="1" x="1388"/>
        <item h="1" m="1" x="1238"/>
        <item h="1" m="1" x="1390"/>
        <item h="1" m="1" x="1353"/>
        <item h="1" m="1" x="438"/>
        <item h="1" m="1" x="559"/>
        <item h="1" m="1" x="1165"/>
        <item h="1" m="1" x="1365"/>
        <item h="1" m="1" x="1139"/>
        <item h="1" m="1" x="1106"/>
        <item h="1" x="129"/>
        <item h="1" m="1" x="250"/>
        <item h="1" m="1" x="867"/>
        <item h="1" m="1" x="1217"/>
        <item h="1" m="1" x="490"/>
        <item h="1" x="165"/>
        <item h="1" m="1" x="762"/>
        <item h="1" m="1" x="502"/>
        <item h="1" m="1" x="1273"/>
        <item h="1" x="183"/>
        <item h="1" m="1" x="668"/>
        <item h="1" m="1" x="629"/>
        <item h="1" m="1" x="1354"/>
        <item h="1" m="1" x="552"/>
        <item h="1" m="1" x="777"/>
        <item h="1" m="1" x="1078"/>
        <item h="1" m="1" x="1394"/>
        <item h="1" m="1" x="589"/>
        <item h="1" m="1" x="895"/>
        <item h="1" m="1" x="1198"/>
        <item h="1" m="1" x="247"/>
        <item h="1" m="1" x="1315"/>
        <item h="1" m="1" x="361"/>
        <item h="1" m="1" x="813"/>
        <item h="1" m="1" x="1116"/>
        <item h="1" m="1" x="633"/>
        <item h="1" m="1" x="1243"/>
        <item h="1" m="1" x="398"/>
        <item h="1" m="1" x="855"/>
        <item h="1" m="1" x="1162"/>
        <item h="1" m="1" x="1480"/>
        <item m="1" x="1236"/>
        <item m="1" x="407"/>
        <item m="1" x="626"/>
        <item m="1" x="1451"/>
        <item m="1" x="225"/>
        <item m="1" x="1477"/>
        <item m="1" x="883"/>
        <item m="1" x="453"/>
        <item m="1" x="1048"/>
        <item h="1" m="1" x="1221"/>
        <item h="1" m="1" x="665"/>
        <item h="1" m="1" x="226"/>
        <item h="1" m="1" x="1002"/>
        <item h="1" m="1" x="942"/>
        <item h="1" m="1" x="790"/>
        <item h="1" x="60"/>
        <item h="1" m="1" x="666"/>
        <item h="1" m="1" x="889"/>
        <item h="1" m="1" x="243"/>
        <item h="1" m="1" x="902"/>
        <item h="1" x="68"/>
        <item h="1" m="1" x="1209"/>
        <item h="1" m="1" x="697"/>
        <item h="1" m="1" x="1039"/>
        <item h="1" x="79"/>
        <item h="1" m="1" x="282"/>
        <item h="1" m="1" x="558"/>
        <item h="1" m="1" x="1086"/>
        <item h="1" m="1" x="595"/>
        <item h="1" m="1" x="1202"/>
        <item h="1" x="107"/>
        <item h="1" m="1" x="773"/>
        <item h="1" m="1" x="594"/>
        <item h="1" m="1" x="677"/>
        <item h="1" m="1" x="865"/>
        <item h="1" m="1" x="691"/>
        <item h="1" m="1" x="728"/>
        <item h="1" m="1" x="624"/>
        <item h="1" m="1" x="1067"/>
        <item h="1" x="178"/>
        <item h="1" m="1" x="739"/>
        <item h="1" m="1" x="1285"/>
        <item h="1" m="1" x="1395"/>
        <item h="1" m="1" x="442"/>
        <item h="1" m="1" x="897"/>
        <item h="1" m="1" x="1201"/>
        <item h="1" m="1" x="248"/>
        <item h="1" m="1" x="564"/>
        <item h="1" m="1" x="1009"/>
        <item h="1" m="1" x="683"/>
        <item h="1" m="1" x="1119"/>
        <item h="1" m="1" x="1438"/>
        <item h="1" m="1" x="478"/>
        <item h="1" m="1" x="1246"/>
        <item h="1" m="1" x="606"/>
        <item h="1" x="193"/>
        <item h="1" x="194"/>
        <item h="1" m="1" x="526"/>
        <item h="1" m="1" x="828"/>
        <item x="5"/>
        <item x="7"/>
        <item x="16"/>
        <item x="20"/>
        <item x="30"/>
        <item x="38"/>
        <item x="41"/>
        <item x="44"/>
        <item h="1" x="52"/>
        <item h="1" x="55"/>
        <item h="1" x="58"/>
        <item h="1" x="63"/>
        <item h="1" x="64"/>
        <item h="1" x="65"/>
        <item h="1" x="71"/>
        <item h="1" x="72"/>
        <item h="1" x="76"/>
        <item h="1" x="82"/>
        <item h="1" x="84"/>
        <item h="1" x="85"/>
        <item h="1" x="87"/>
        <item h="1" x="89"/>
        <item h="1" x="93"/>
        <item h="1" x="95"/>
        <item h="1" x="96"/>
        <item h="1" x="100"/>
        <item h="1" x="109"/>
        <item h="1" x="120"/>
        <item h="1" x="137"/>
        <item h="1" x="152"/>
        <item h="1" x="156"/>
        <item h="1" x="158"/>
        <item h="1" x="162"/>
        <item h="1" x="166"/>
        <item h="1" x="174"/>
        <item h="1" x="179"/>
        <item h="1" x="180"/>
        <item h="1" x="181"/>
        <item h="1" x="184"/>
        <item h="1" x="187"/>
        <item h="1" x="188"/>
        <item h="1" x="189"/>
        <item h="1" x="190"/>
        <item h="1" x="191"/>
        <item h="1" x="192"/>
        <item h="1" x="195"/>
        <item h="1" x="196"/>
        <item h="1" x="197"/>
        <item h="1" x="198"/>
        <item h="1" x="199"/>
        <item h="1" x="200"/>
        <item h="1" x="201"/>
        <item h="1" x="202"/>
        <item h="1" x="203"/>
        <item h="1" x="204"/>
        <item h="1" x="205"/>
        <item h="1" x="206"/>
        <item h="1" x="207"/>
        <item h="1" x="208"/>
        <item h="1" x="209"/>
        <item h="1" x="210"/>
        <item h="1" x="211"/>
        <item x="2"/>
        <item x="4"/>
      </items>
    </pivotField>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1"/>
        <item x="8"/>
        <item x="6"/>
        <item m="1" x="11"/>
        <item x="2"/>
        <item x="9"/>
        <item x="4"/>
        <item x="0"/>
        <item x="3"/>
        <item x="10"/>
        <item n="Kyaukpyu " x="5"/>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6"/>
        <item m="1" x="7"/>
        <item x="2"/>
        <item x="1"/>
        <item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6"/>
  </rowFields>
  <rowItems count="7">
    <i>
      <x v="1"/>
    </i>
    <i>
      <x v="5"/>
    </i>
    <i>
      <x v="7"/>
    </i>
    <i>
      <x v="8"/>
    </i>
    <i>
      <x v="9"/>
    </i>
    <i>
      <x v="11"/>
    </i>
    <i t="grand">
      <x/>
    </i>
  </rowItems>
  <colFields count="1">
    <field x="-2"/>
  </colFields>
  <colItems count="13">
    <i>
      <x/>
    </i>
    <i i="1">
      <x v="1"/>
    </i>
    <i i="2">
      <x v="2"/>
    </i>
    <i i="3">
      <x v="3"/>
    </i>
    <i i="4">
      <x v="4"/>
    </i>
    <i i="5">
      <x v="5"/>
    </i>
    <i i="6">
      <x v="6"/>
    </i>
    <i i="7">
      <x v="7"/>
    </i>
    <i i="8">
      <x v="8"/>
    </i>
    <i i="9">
      <x v="9"/>
    </i>
    <i i="10">
      <x v="10"/>
    </i>
    <i i="11">
      <x v="11"/>
    </i>
    <i i="12">
      <x v="12"/>
    </i>
  </colItems>
  <pageFields count="3">
    <pageField fld="5" hier="-1"/>
    <pageField fld="0" hier="-1"/>
    <pageField fld="39" item="2" hier="-1"/>
  </pageFields>
  <dataFields count="13">
    <dataField name="Sanitary Kit " fld="25" baseField="6" baseItem="1"/>
    <dataField name=" Mosquito net" fld="26" baseField="6" baseItem="3"/>
    <dataField name=" Tarpaulin" fld="27" baseField="6" baseItem="3"/>
    <dataField name=" Blanket" fld="28" baseField="6" baseItem="3"/>
    <dataField name=" Kitchen Set" fld="29" baseField="6" baseItem="3"/>
    <dataField name=" Complementary Kit" fld="30" baseField="6" baseItem="3"/>
    <dataField name=" Plastic Bucket" fld="31" baseField="6" baseItem="3"/>
    <dataField name=" Jerry Can" fld="32" baseField="6" baseItem="0"/>
    <dataField name=" Plastic  Mat" fld="33" baseField="6" baseItem="3"/>
    <dataField name="Adult Clothes " fld="34" baseField="0" baseItem="0"/>
    <dataField name="Children Clothes " fld="35" baseField="0" baseItem="0"/>
    <dataField name="Sewing Kit " fld="36" baseField="0" baseItem="0"/>
    <dataField name="Solar Lantern " fld="37" baseField="6" baseItem="8"/>
  </dataFields>
  <formats count="10">
    <format dxfId="567">
      <pivotArea outline="0" collapsedLevelsAreSubtotals="1" fieldPosition="0"/>
    </format>
    <format dxfId="566">
      <pivotArea type="all" dataOnly="0" outline="0" fieldPosition="0"/>
    </format>
    <format dxfId="565">
      <pivotArea type="all" dataOnly="0" outline="0" fieldPosition="0"/>
    </format>
    <format dxfId="564">
      <pivotArea type="all" dataOnly="0" outline="0" fieldPosition="0"/>
    </format>
    <format dxfId="563">
      <pivotArea outline="0" collapsedLevelsAreSubtotals="1" fieldPosition="0"/>
    </format>
    <format dxfId="562">
      <pivotArea field="6" type="button" dataOnly="0" labelOnly="1" outline="0" axis="axisRow" fieldPosition="0"/>
    </format>
    <format dxfId="561">
      <pivotArea dataOnly="0" labelOnly="1" grandRow="1" outline="0" fieldPosition="0"/>
    </format>
    <format dxfId="560">
      <pivotArea dataOnly="0" labelOnly="1" outline="0" fieldPosition="0">
        <references count="1">
          <reference field="4294967294" count="8">
            <x v="1"/>
            <x v="2"/>
            <x v="3"/>
            <x v="4"/>
            <x v="5"/>
            <x v="6"/>
            <x v="7"/>
            <x v="8"/>
          </reference>
        </references>
      </pivotArea>
    </format>
    <format dxfId="559">
      <pivotArea collapsedLevelsAreSubtotals="1" fieldPosition="0">
        <references count="2">
          <reference field="4294967294" count="1" selected="0">
            <x v="0"/>
          </reference>
          <reference field="6" count="1">
            <x v="11"/>
          </reference>
        </references>
      </pivotArea>
    </format>
    <format dxfId="558">
      <pivotArea dataOnly="0" labelOnly="1" fieldPosition="0">
        <references count="1">
          <reference field="6"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0:AD17" firstHeaderRow="0" firstDataRow="1" firstDataCol="1" rowPageCount="2" colPageCount="1"/>
  <pivotFields count="43">
    <pivotField showAll="0"/>
    <pivotField axis="axisRow" showAll="0">
      <items count="9">
        <item x="5"/>
        <item x="4"/>
        <item x="3"/>
        <item x="2"/>
        <item x="1"/>
        <item h="1" x="6"/>
        <item h="1" x="7"/>
        <item x="0"/>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axis="axisPage" multipleItemSelectionAllowed="1" showAll="0">
      <items count="9">
        <item h="1" x="3"/>
        <item h="1" x="4"/>
        <item x="0"/>
        <item h="1" x="1"/>
        <item m="1" x="6"/>
        <item h="1" x="2"/>
        <item m="1" x="7"/>
        <item h="1" x="5"/>
        <item t="default"/>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1"/>
  </rowFields>
  <rowItems count="7">
    <i>
      <x/>
    </i>
    <i>
      <x v="1"/>
    </i>
    <i>
      <x v="2"/>
    </i>
    <i>
      <x v="3"/>
    </i>
    <i>
      <x v="4"/>
    </i>
    <i>
      <x v="7"/>
    </i>
    <i t="grand">
      <x/>
    </i>
  </rowItems>
  <colFields count="1">
    <field x="-2"/>
  </colFields>
  <colItems count="13">
    <i>
      <x/>
    </i>
    <i i="1">
      <x v="1"/>
    </i>
    <i i="2">
      <x v="2"/>
    </i>
    <i i="3">
      <x v="3"/>
    </i>
    <i i="4">
      <x v="4"/>
    </i>
    <i i="5">
      <x v="5"/>
    </i>
    <i i="6">
      <x v="6"/>
    </i>
    <i i="7">
      <x v="7"/>
    </i>
    <i i="8">
      <x v="8"/>
    </i>
    <i i="9">
      <x v="9"/>
    </i>
    <i i="10">
      <x v="10"/>
    </i>
    <i i="11">
      <x v="11"/>
    </i>
    <i i="12">
      <x v="12"/>
    </i>
  </colItems>
  <pageFields count="2">
    <pageField fld="5" hier="-1"/>
    <pageField fld="39" hier="-1"/>
  </pageFields>
  <dataFields count="13">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 name="Adult Clothes " fld="19" baseField="1" baseItem="0"/>
    <dataField name="Children Clothes " fld="20" baseField="1" baseItem="0"/>
    <dataField name="Sewing Kit " fld="21" baseField="1" baseItem="0"/>
    <dataField name="Solar Lantern " fld="22" baseField="1" baseItem="0"/>
  </dataFields>
  <formats count="8">
    <format dxfId="510">
      <pivotArea outline="0" collapsedLevelsAreSubtotals="1" fieldPosition="0"/>
    </format>
    <format dxfId="509">
      <pivotArea type="all" dataOnly="0" outline="0" fieldPosition="0"/>
    </format>
    <format dxfId="508">
      <pivotArea outline="0" collapsedLevelsAreSubtotals="1" fieldPosition="0"/>
    </format>
    <format dxfId="507">
      <pivotArea field="1" type="button" dataOnly="0" labelOnly="1" outline="0" axis="axisRow" fieldPosition="0"/>
    </format>
    <format dxfId="506">
      <pivotArea dataOnly="0" labelOnly="1" fieldPosition="0">
        <references count="1">
          <reference field="1" count="0"/>
        </references>
      </pivotArea>
    </format>
    <format dxfId="505">
      <pivotArea dataOnly="0" labelOnly="1" grandRow="1" outline="0" fieldPosition="0"/>
    </format>
    <format dxfId="504">
      <pivotArea field="1" grandRow="1" outline="0" collapsedLevelsAreSubtotals="1" axis="axisRow" fieldPosition="0">
        <references count="1">
          <reference field="4294967294" count="1" selected="0">
            <x v="1"/>
          </reference>
        </references>
      </pivotArea>
    </format>
    <format dxfId="50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25:AD71" firstHeaderRow="0" firstDataRow="1" firstDataCol="1" rowPageCount="2" colPageCount="1"/>
  <pivotFields count="43">
    <pivotField subtotalTop="0" showAll="0"/>
    <pivotField axis="axisRow" subtotalTop="0" multipleItemSelectionAllowed="1" showAll="0">
      <items count="9">
        <item x="5"/>
        <item x="4"/>
        <item x="3"/>
        <item x="2"/>
        <item x="1"/>
        <item x="6"/>
        <item x="7"/>
        <item x="0"/>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5"/>
        <item x="1"/>
        <item x="8"/>
        <item x="6"/>
        <item m="1" x="11"/>
        <item x="7"/>
        <item x="3"/>
        <item x="2"/>
        <item x="9"/>
        <item x="4"/>
        <item x="0"/>
        <item x="10"/>
        <item t="default"/>
      </items>
    </pivotField>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howAll="0" defaultSubtotal="0"/>
    <pivotField dataField="1" showAll="0" defaultSubtotal="0"/>
    <pivotField dataField="1" showAll="0" defaultSubtotal="0"/>
    <pivotField dataField="1"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howAll="0" defaultSubtotal="0"/>
    <pivotField subtotalTop="0" showAll="0"/>
    <pivotField axis="axisPage" subtotalTop="0" multipleItemSelectionAllowed="1" showAll="0">
      <items count="9">
        <item h="1" x="3"/>
        <item h="1" x="4"/>
        <item x="0"/>
        <item h="1" x="1"/>
        <item m="1" x="6"/>
        <item h="1" x="2"/>
        <item m="1" x="7"/>
        <item h="1" x="5"/>
        <item t="default"/>
      </items>
    </pivotField>
    <pivotField showAll="0" defaultSubtotal="0"/>
    <pivotField subtotalTop="0" dragToRow="0" dragToCol="0" dragToPage="0" showAll="0"/>
    <pivotField showAll="0" defaultSubtotal="0">
      <items count="8">
        <item x="1"/>
        <item x="2"/>
        <item x="3"/>
        <item x="4"/>
        <item x="5"/>
        <item x="6"/>
        <item x="0"/>
        <item x="7"/>
      </items>
    </pivotField>
  </pivotFields>
  <rowFields count="2">
    <field x="1"/>
    <field x="6"/>
  </rowFields>
  <rowItems count="46">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x v="7"/>
    </i>
    <i r="1">
      <x v="2"/>
    </i>
    <i r="1">
      <x v="7"/>
    </i>
    <i r="1">
      <x v="8"/>
    </i>
    <i r="1">
      <x v="10"/>
    </i>
    <i r="1">
      <x v="11"/>
    </i>
    <i t="default">
      <x v="7"/>
    </i>
    <i t="grand">
      <x/>
    </i>
  </rowItems>
  <colFields count="1">
    <field x="-2"/>
  </colFields>
  <colItems count="13">
    <i>
      <x/>
    </i>
    <i i="1">
      <x v="1"/>
    </i>
    <i i="2">
      <x v="2"/>
    </i>
    <i i="3">
      <x v="3"/>
    </i>
    <i i="4">
      <x v="4"/>
    </i>
    <i i="5">
      <x v="5"/>
    </i>
    <i i="6">
      <x v="6"/>
    </i>
    <i i="7">
      <x v="7"/>
    </i>
    <i i="8">
      <x v="8"/>
    </i>
    <i i="9">
      <x v="9"/>
    </i>
    <i i="10">
      <x v="10"/>
    </i>
    <i i="11">
      <x v="11"/>
    </i>
    <i i="12">
      <x v="12"/>
    </i>
  </colItems>
  <pageFields count="2">
    <pageField fld="5" hier="-1"/>
    <pageField fld="39" hier="-1"/>
  </pageFields>
  <dataFields count="13">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 name="Adult Clothes " fld="19" baseField="1" baseItem="0"/>
    <dataField name="Children Clothes " fld="20" baseField="1" baseItem="0"/>
    <dataField name="Sewing Kit " fld="21" baseField="1" baseItem="0"/>
    <dataField name="Solar Lantern " fld="22" baseField="6" baseItem="11"/>
  </dataFields>
  <formats count="6">
    <format dxfId="516">
      <pivotArea outline="0" collapsedLevelsAreSubtotals="1" fieldPosition="0"/>
    </format>
    <format dxfId="515">
      <pivotArea type="all" dataOnly="0" outline="0" fieldPosition="0"/>
    </format>
    <format dxfId="514">
      <pivotArea outline="0" collapsedLevelsAreSubtotals="1" fieldPosition="0"/>
    </format>
    <format dxfId="513">
      <pivotArea field="1" type="button" dataOnly="0" labelOnly="1" outline="0" axis="axisRow" fieldPosition="0"/>
    </format>
    <format dxfId="512">
      <pivotArea dataOnly="0" labelOnly="1" fieldPosition="0">
        <references count="1">
          <reference field="1" count="0"/>
        </references>
      </pivotArea>
    </format>
    <format dxfId="5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6" s="1"/>
        <i x="4" s="1"/>
        <i x="0" s="1"/>
        <i x="7" s="1"/>
        <i x="1" s="1"/>
        <i x="3" s="1"/>
        <i x="5" s="1"/>
        <i x="2" s="1"/>
        <i x="9" s="1" nd="1"/>
        <i x="8"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6" s="1"/>
        <i x="4" s="1"/>
        <i x="0" s="1"/>
        <i x="9" s="1"/>
        <i x="8" s="1"/>
        <i x="7" s="1"/>
        <i x="1" s="1"/>
        <i x="3" s="1"/>
        <i x="5"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445" dataDxfId="1444">
  <autoFilter ref="J1:J2"/>
  <tableColumns count="1">
    <tableColumn id="1" name="State" dataDxfId="1443"/>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442" dataDxfId="1441">
  <autoFilter ref="L1:L11"/>
  <tableColumns count="1">
    <tableColumn id="1" name="Rakhine" dataDxfId="1440"/>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439" dataDxfId="1438">
  <autoFilter ref="N1:N6"/>
  <sortState ref="N2:N5">
    <sortCondition ref="N3"/>
  </sortState>
  <tableColumns count="1">
    <tableColumn id="1" name="Type of Accomodation" dataDxfId="1437"/>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436" dataDxfId="1435">
  <autoFilter ref="P1:P4"/>
  <tableColumns count="1">
    <tableColumn id="1" name="Camp_Acessibility" dataDxfId="1434"/>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6" totalsRowShown="0">
  <autoFilter ref="A1:F16"/>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433">
  <autoFilter ref="Z1:AB7"/>
  <sortState ref="Z2:AB7">
    <sortCondition ref="Z6"/>
  </sortState>
  <tableColumns count="3">
    <tableColumn id="1" name="Organization_Code" dataDxfId="1432"/>
    <tableColumn id="2" name="Organization" dataDxfId="1431"/>
    <tableColumn id="3" name="Contact" dataDxfId="1430"/>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429"/>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1424" dataDxfId="1422" headerRowBorderDxfId="1423" tableBorderDxfId="1421" headerRowCellStyle="Normal_Sheet11">
  <autoFilter ref="A4:AJ141">
    <filterColumn colId="0">
      <filters>
        <filter val="Open"/>
        <filter val="Relocated"/>
        <filter val="Returned"/>
      </filters>
    </filterColumn>
  </autoFilter>
  <sortState ref="A13:AJ39">
    <sortCondition ref="A4:A141"/>
  </sortState>
  <tableColumns count="36">
    <tableColumn id="24" uniqueName="Status" name="Status" dataDxfId="1420">
      <xmlColumnPr mapId="8" xpath="/dataroot/Data_CCCM_t/Status" xmlDataType="string"/>
    </tableColumn>
    <tableColumn id="2" uniqueName="State" name="State" dataDxfId="1419">
      <xmlColumnPr mapId="8" xpath="/dataroot/Data_CCCM_t/State" xmlDataType="string"/>
    </tableColumn>
    <tableColumn id="12" uniqueName="State_Pcode" name="State_Pcode" dataDxfId="1418">
      <xmlColumnPr mapId="8" xpath="/dataroot/Data_CCCM_t/State_Pcode" xmlDataType="string"/>
    </tableColumn>
    <tableColumn id="23" uniqueName="District" name="District" dataDxfId="1417">
      <xmlColumnPr mapId="8" xpath="/dataroot/Data_CCCM_t/District" xmlDataType="string"/>
    </tableColumn>
    <tableColumn id="19" uniqueName="District_Pcode" name="District_Pcode" dataDxfId="1416">
      <xmlColumnPr mapId="8" xpath="/dataroot/Data_CCCM_t/District_Pcode" xmlDataType="string"/>
    </tableColumn>
    <tableColumn id="3" uniqueName="TOWNSHIP_NAME" name="TOWNSHIP_NAME" dataDxfId="1415">
      <xmlColumnPr mapId="8" xpath="/dataroot/Data_CCCM_t/TOWNSHIP_NAME" xmlDataType="string"/>
    </tableColumn>
    <tableColumn id="13" uniqueName="Township_Pcode" name="Township_Pcode" dataDxfId="1414">
      <xmlColumnPr mapId="8" xpath="/dataroot/Data_CCCM_t/Township_Pcode" xmlDataType="string"/>
    </tableColumn>
    <tableColumn id="14" uniqueName="VillageTracKTown_Name" name="VillageTracKTown_Name" dataDxfId="1413">
      <xmlColumnPr mapId="8" xpath="/dataroot/Data_CCCM_t/VillageTracKTown_Name" xmlDataType="string"/>
    </tableColumn>
    <tableColumn id="15" uniqueName="VillageTrackTown_Pcode" name="VillageTrackTown_Pcode" dataDxfId="1412">
      <xmlColumnPr mapId="8" xpath="/dataroot/Data_CCCM_t/VillageTrackTown_Pcode" xmlDataType="string"/>
    </tableColumn>
    <tableColumn id="16" uniqueName="VillageWard_Name" name="VillageWard_Name" dataDxfId="1411">
      <xmlColumnPr mapId="8" xpath="/dataroot/Data_CCCM_t/VillageWard_Name" xmlDataType="string"/>
    </tableColumn>
    <tableColumn id="17" uniqueName="VillageWard_Pcode" name="VillageWard_Pcode" dataDxfId="1410">
      <xmlColumnPr mapId="8" xpath="/dataroot/Data_CCCM_t/VillageWard_Pcode" xmlDataType="string"/>
    </tableColumn>
    <tableColumn id="4" uniqueName="Camp Name" name="Camp Name" dataDxfId="1409">
      <xmlColumnPr mapId="8" xpath="/dataroot/Data_CCCM_t/Camp_x005f_x0020_Name" xmlDataType="string"/>
    </tableColumn>
    <tableColumn id="5" uniqueName="P_Code" name="P_Code" dataDxfId="1408">
      <xmlColumnPr mapId="8" xpath="/dataroot/Data_CCCM_t/P_Code" xmlDataType="string"/>
    </tableColumn>
    <tableColumn id="6" uniqueName="Longitude" name="Longitude" dataDxfId="1407">
      <xmlColumnPr mapId="8" xpath="/dataroot/Data_CCCM_t/Longitude" xmlDataType="double"/>
    </tableColumn>
    <tableColumn id="7" uniqueName="Latitude" name="Latitude" dataDxfId="1406">
      <xmlColumnPr mapId="8" xpath="/dataroot/Data_CCCM_t/Latitude" xmlDataType="double"/>
    </tableColumn>
    <tableColumn id="1" uniqueName="Altitude" name="Altitude" dataDxfId="1405">
      <xmlColumnPr mapId="8" xpath="/dataroot/Data_CCCM_t/Altitude" xmlDataType="string"/>
    </tableColumn>
    <tableColumn id="8" uniqueName="HH" name="HH" dataDxfId="1404" dataCellStyle="Percent">
      <xmlColumnPr mapId="8" xpath="/dataroot/Data_CCCM_t/HH" xmlDataType="double"/>
    </tableColumn>
    <tableColumn id="9" uniqueName="Total" name="Total" dataDxfId="1403" dataCellStyle="Comma">
      <xmlColumnPr mapId="8" xpath="/dataroot/Data_CCCM_t/Total" xmlDataType="double"/>
    </tableColumn>
    <tableColumn id="11" uniqueName="Avg" name="Avg" dataDxfId="1402" dataCellStyle="Percent">
      <xmlColumnPr mapId="8" xpath="/dataroot/Data_CCCM_t/Avg" xmlDataType="double"/>
    </tableColumn>
    <tableColumn id="29" uniqueName="Accessibility" name="Accessibility" dataDxfId="1401">
      <xmlColumnPr mapId="8" xpath="/dataroot/Data_CCCM_t/Accessibility" xmlDataType="string"/>
    </tableColumn>
    <tableColumn id="33" uniqueName="Affected population" name="Affected population" dataDxfId="1400">
      <xmlColumnPr mapId="8" xpath="/dataroot/Data_CCCM_t/Affected_x005f_x0020_population" xmlDataType="string"/>
    </tableColumn>
    <tableColumn id="26" uniqueName="Type of Accomodation" name="Type of Accomodation" dataDxfId="1399">
      <xmlColumnPr mapId="8" xpath="/dataroot/Data_CCCM_t/Type_x005f_x0020_of_x005f_x0020_Accomodation" xmlDataType="string"/>
    </tableColumn>
    <tableColumn id="37" uniqueName="Isolated Location" name="Isolated Location" dataDxfId="1398">
      <xmlColumnPr mapId="8" xpath="/dataroot/Data_CCCM_t/Isolated_x005f_x0020_Location" xmlDataType="string"/>
    </tableColumn>
    <tableColumn id="30" uniqueName="Opening Date" name="Opening Date" dataDxfId="1397">
      <xmlColumnPr mapId="8" xpath="/dataroot/Data_CCCM_t/Opening_x005f_x0020_Date" xmlDataType="string"/>
    </tableColumn>
    <tableColumn id="34" uniqueName="Ethnicity" name="Ethnicity" dataDxfId="1396">
      <xmlColumnPr mapId="8" xpath="/dataroot/Data_CCCM_t/Ethnicity" xmlDataType="string"/>
    </tableColumn>
    <tableColumn id="35" uniqueName="Religion" name="Religion" dataDxfId="1395">
      <xmlColumnPr mapId="8" xpath="/dataroot/Data_CCCM_t/Religion" xmlDataType="string"/>
    </tableColumn>
    <tableColumn id="36" uniqueName="Type of Population" name="Type of Population" dataDxfId="1394">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1393"/>
    <tableColumn id="32" uniqueName="CM/FP" name="CM/FP" dataDxfId="1392">
      <xmlColumnPr mapId="8" xpath="/dataroot/Data_CCCM_t/CM_x005f_x002F_FP" xmlDataType="string"/>
    </tableColumn>
    <tableColumn id="22" uniqueName="Responsible Agency" name="Responsible Agency" dataDxfId="1391">
      <xmlColumnPr mapId="8" xpath="/dataroot/Data_CCCM_t/Responsible_x005f_x0020_Agency" xmlDataType="string"/>
    </tableColumn>
    <tableColumn id="18" uniqueName="Source" name="Source" dataDxfId="1390">
      <xmlColumnPr mapId="8" xpath="/dataroot/Data_CCCM_t/Source" xmlDataType="string"/>
    </tableColumn>
    <tableColumn id="20" uniqueName="Method" name="Method" dataDxfId="1389">
      <xmlColumnPr mapId="8" xpath="/dataroot/Data_CCCM_t/Method" xmlDataType="string"/>
    </tableColumn>
    <tableColumn id="31" uniqueName="Update Date" name="Update Date" dataDxfId="1388">
      <xmlColumnPr mapId="8" xpath="/dataroot/Data_CCCM_t/Update_x005f_x0020_Date" xmlDataType="dateTime"/>
    </tableColumn>
    <tableColumn id="25" uniqueName="Comment" name="Comment" dataDxfId="1387">
      <xmlColumnPr mapId="8" xpath="/dataroot/Data_CCCM_t/Comment" xmlDataType="string"/>
    </tableColumn>
    <tableColumn id="10" uniqueName="Contact" name="Contact" dataDxfId="1386">
      <calculatedColumnFormula>IFERROR(VLOOKUP(Camp_List[[#This Row],[Responsible Agency]],Organization_t[],3,0),"")</calculatedColumnFormula>
      <xmlColumnPr mapId="8" xpath="/dataroot/Data_CCCM_t/Contact" xmlDataType="double"/>
    </tableColumn>
    <tableColumn id="21" uniqueName="shelter_coverage" name="shelter_coverage" dataDxfId="1385"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266" headerRowBorderDxfId="1265" tableBorderDxfId="1264" totalsRowBorderDxfId="1263">
  <tableColumns count="5">
    <tableColumn id="1" name="Township" dataDxfId="1262"/>
    <tableColumn id="2" name="# of HH" dataDxfId="1261" dataCellStyle="Comma"/>
    <tableColumn id="3" name="# of IDPs" dataDxfId="1260" dataCellStyle="Comma"/>
    <tableColumn id="4" name="# of Planned Camp" dataDxfId="1259" dataCellStyle="Comma">
      <calculatedColumnFormula>AN23</calculatedColumnFormula>
    </tableColumn>
    <tableColumn id="5" name="# of Other Accomodation" dataDxfId="1258">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252" dataDxfId="1250" headerRowBorderDxfId="1251" tableBorderDxfId="1249" totalsRowBorderDxfId="1248" dataCellStyle="Percent">
  <autoFilter ref="T2:AG13"/>
  <tableColumns count="14">
    <tableColumn id="1" name="Pcode" dataDxfId="1247" totalsRowDxfId="1246"/>
    <tableColumn id="2" name="Township" dataDxfId="1245" totalsRowDxfId="1244">
      <calculatedColumnFormula>'CCCM Dashboard'!H17</calculatedColumnFormula>
    </tableColumn>
    <tableColumn id="3" name="Long." dataDxfId="1243" totalsRowDxfId="1242"/>
    <tableColumn id="4" name="Lat." dataDxfId="1241" totalsRowDxfId="1240"/>
    <tableColumn id="5" name="HS" dataDxfId="1239" totalsRowDxfId="1238">
      <calculatedColumnFormula>'CCCM Dashboard'!I17</calculatedColumnFormula>
    </tableColumn>
    <tableColumn id="6" name="Pop" dataDxfId="1237" totalsRowDxfId="1236" dataCellStyle="Comma">
      <calculatedColumnFormula>'CCCM Dashboard'!J17</calculatedColumnFormula>
    </tableColumn>
    <tableColumn id="7" name="N_cps" dataDxfId="1235" totalsRowDxfId="1234">
      <calculatedColumnFormula>'CCCM Dashboard'!K17</calculatedColumnFormula>
    </tableColumn>
    <tableColumn id="8" name="Coverage" dataDxfId="1233" totalsRowDxfId="1232" dataCellStyle="Percent"/>
    <tableColumn id="9" name="Hygiene" dataDxfId="1231" totalsRowDxfId="1230" dataCellStyle="Percent"/>
    <tableColumn id="10" name="Core" dataDxfId="1229" totalsRowDxfId="1228" dataCellStyle="Percent"/>
    <tableColumn id="11" name="Sanitary" dataDxfId="1227" totalsRowDxfId="1226" dataCellStyle="Percent"/>
    <tableColumn id="12" name="Y" dataDxfId="1225" totalsRowDxfId="1224">
      <calculatedColumnFormula>$S$3-ROUND((W3-$S$1)*$S$5,0)</calculatedColumnFormula>
    </tableColumn>
    <tableColumn id="13" name="X" dataDxfId="1223" totalsRowDxfId="1222">
      <calculatedColumnFormula>ROUND((V3-$S$2)*$S$5,0)+$S$4</calculatedColumnFormula>
    </tableColumn>
    <tableColumn id="14" name="Column1" dataDxfId="1221" totalsRowDxfId="1220"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08" tableType="xml" totalsRowShown="0" headerRowDxfId="1011" dataDxfId="1009" headerRowBorderDxfId="1010" tableBorderDxfId="1008" totalsRowBorderDxfId="1007">
  <autoFilter ref="A4:J208"/>
  <sortState ref="A131:J144">
    <sortCondition ref="C1:C275"/>
  </sortState>
  <tableColumns count="10">
    <tableColumn id="1" uniqueName="State" name="State" dataDxfId="1006">
      <xmlColumnPr mapId="2" xpath="/dataroot/Data_Demography_t/State" xmlDataType="string"/>
    </tableColumn>
    <tableColumn id="2" uniqueName="Township" name="Township" dataDxfId="1005">
      <xmlColumnPr mapId="2" xpath="/dataroot/Data_Demography_t/Township" xmlDataType="string"/>
    </tableColumn>
    <tableColumn id="3" uniqueName="Camp" name="Camp" dataDxfId="1004">
      <xmlColumnPr mapId="2" xpath="/dataroot/Data_Demography_t/Camp" xmlDataType="string"/>
    </tableColumn>
    <tableColumn id="9" uniqueName="Pcode" name="Pcode" dataDxfId="1003">
      <calculatedColumnFormula>IFERROR(OFFSET(Camp_List[P_Code],MATCH(Data_Demography_t[[#This Row],[Camp]],Camp_List[Camp Name],0)-1,0,1,1),"")</calculatedColumnFormula>
      <xmlColumnPr mapId="2" xpath="/dataroot/Data_Demography_t/Pcode" xmlDataType="string"/>
    </tableColumn>
    <tableColumn id="4" uniqueName="Age_Cat" name="Age_Cat" dataDxfId="1002">
      <xmlColumnPr mapId="2" xpath="/dataroot/Data_Demography_t/Age_Cat" xmlDataType="string"/>
    </tableColumn>
    <tableColumn id="6" uniqueName="Sex" name="Sex" dataDxfId="1001">
      <xmlColumnPr mapId="2" xpath="/dataroot/Data_Demography_t/Sex" xmlDataType="string"/>
    </tableColumn>
    <tableColumn id="5" uniqueName="Total" name="Total" dataDxfId="1000" dataCellStyle="Comma">
      <xmlColumnPr mapId="2" xpath="/dataroot/Data_Demography_t/Total" xmlDataType="double"/>
    </tableColumn>
    <tableColumn id="7" uniqueName="Total2" name="Total2" dataDxfId="999">
      <calculatedColumnFormula>IF(F5="M",-G5,G5)</calculatedColumnFormula>
      <xmlColumnPr mapId="2" xpath="/dataroot/Data_Demography_t/Total2" xmlDataType="double"/>
    </tableColumn>
    <tableColumn id="8" uniqueName="Source" name="Source" dataDxfId="998">
      <xmlColumnPr mapId="2" xpath="/dataroot/Data_Demography_t/Source" xmlDataType="string"/>
    </tableColumn>
    <tableColumn id="10" uniqueName="Updated Date" name="Updated Date" dataDxfId="997">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982" dataDxfId="980" headerRowBorderDxfId="981" tableBorderDxfId="979" totalsRowBorderDxfId="978">
  <autoFilter ref="A1:H154"/>
  <sortState ref="A2:H183">
    <sortCondition descending="1" ref="C1:C183"/>
  </sortState>
  <tableColumns count="8">
    <tableColumn id="1" uniqueName="State" name="State" dataDxfId="977">
      <xmlColumnPr mapId="6" xpath="/dataroot/Data_Vulnerability_t/State" xmlDataType="string"/>
    </tableColumn>
    <tableColumn id="2" uniqueName="Township" name="Township" dataDxfId="976">
      <xmlColumnPr mapId="6" xpath="/dataroot/Data_Vulnerability_t/Township" xmlDataType="string"/>
    </tableColumn>
    <tableColumn id="3" uniqueName="Camp Name" name="Camp Name" dataDxfId="975">
      <xmlColumnPr mapId="6" xpath="/dataroot/Data_Vulnerability_t/Camp_x005f_x0020_Name" xmlDataType="string"/>
    </tableColumn>
    <tableColumn id="7" uniqueName="Pcode" name="Pcode" dataDxfId="974">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973">
      <xmlColumnPr mapId="6" xpath="/dataroot/Data_Vulnerability_t/Vulnerability" xmlDataType="string"/>
    </tableColumn>
    <tableColumn id="5" uniqueName="Total" name="Total" dataDxfId="972">
      <xmlColumnPr mapId="6" xpath="/dataroot/Data_Vulnerability_t/Total" xmlDataType="double"/>
    </tableColumn>
    <tableColumn id="6" uniqueName="Source" name="Source" dataDxfId="971">
      <xmlColumnPr mapId="6" xpath="/dataroot/Data_Vulnerability_t/Source" xmlDataType="string"/>
    </tableColumn>
    <tableColumn id="8" uniqueName="Updated date" name="Updated date" dataDxfId="970">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733" headerRowBorderDxfId="732" tableBorderDxfId="731" totalsRowBorderDxfId="730">
  <autoFilter ref="A4:Y141"/>
  <sortState ref="A5:Y141">
    <sortCondition descending="1" ref="A4:A141"/>
  </sortState>
  <tableColumns count="25">
    <tableColumn id="1" uniqueName="DateUpdated" name="DateUpdated" totalsRowLabel="Total" dataDxfId="729" totalsRowDxfId="728">
      <xmlColumnPr mapId="5" xpath="/dataroot/Data_Shelter_t/DateUpdated" xmlDataType="dateTime"/>
    </tableColumn>
    <tableColumn id="2" uniqueName="Organization" name="Organization" dataDxfId="727" totalsRowDxfId="726">
      <xmlColumnPr mapId="5" xpath="/dataroot/Data_Shelter_t/Organization" xmlDataType="string"/>
    </tableColumn>
    <tableColumn id="3" uniqueName="Implementing Partner" name="Implementing Partner" dataDxfId="725" totalsRowDxfId="724">
      <xmlColumnPr mapId="5" xpath="/dataroot/Data_Shelter_t/Implementing_x005f_x0020_Partner" xmlDataType="string"/>
    </tableColumn>
    <tableColumn id="4" uniqueName="State" name="State" dataDxfId="723" totalsRowDxfId="722">
      <xmlColumnPr mapId="5" xpath="/dataroot/Data_Shelter_t/State" xmlDataType="string"/>
    </tableColumn>
    <tableColumn id="5" uniqueName="Township" name="Township" dataDxfId="721" totalsRowDxfId="720">
      <xmlColumnPr mapId="5" xpath="/dataroot/Data_Shelter_t/Township" xmlDataType="string"/>
    </tableColumn>
    <tableColumn id="6" uniqueName="Camp Name" name="Camp Name" dataDxfId="719" totalsRowDxfId="718">
      <xmlColumnPr mapId="5" xpath="/dataroot/Data_Shelter_t/Camp_x005f_x0020_Name" xmlDataType="string"/>
    </tableColumn>
    <tableColumn id="7" uniqueName="HH per Shelter" name="HH per Shelter" dataDxfId="717" totalsRowDxfId="716">
      <xmlColumnPr mapId="5" xpath="/dataroot/Data_Shelter_t/HH_x005f_x0020_per_x005f_x0020_Shelter" xmlDataType="double"/>
    </tableColumn>
    <tableColumn id="8" uniqueName="#ofFamilyTentPlanned(Target)" name="#ofFamilyTentPlanned(Target)" totalsRowFunction="sum" dataDxfId="715" totalsRowDxfId="714">
      <xmlColumnPr mapId="5" xpath="/dataroot/Data_Shelter_t/_x005f_x0023_ofFamilyTentPlanned_x005f_x0028_Target_x005f_x0029_" xmlDataType="string"/>
    </tableColumn>
    <tableColumn id="9" uniqueName="#ofFamilyTentDistributed" name="#ofFamilyTentDistributed" totalsRowFunction="sum" dataDxfId="713" totalsRowDxfId="712">
      <xmlColumnPr mapId="5" xpath="/dataroot/Data_Shelter_t/_x005f_x0023_ofFamilyTentDistributed" xmlDataType="string"/>
    </tableColumn>
    <tableColumn id="10" uniqueName="# of Temporary Shelter Planned (Target)" name="# of Temporary Shelter Planned (Target)" totalsRowFunction="sum" dataDxfId="711" totalsRowDxfId="710">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709" totalsRowDxfId="708">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707" totalsRowDxfId="706">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705" totalsRowDxfId="704">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703" totalsRowDxfId="702">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701" totalsRowDxfId="700">
      <xmlColumnPr mapId="5" xpath="/dataroot/Data_Shelter_t/_x005f_x0023_ofPermanentHouseUnderConstruction" xmlDataType="string"/>
    </tableColumn>
    <tableColumn id="23" uniqueName="23" name="# of Individual Shelter Planned (Target)" totalsRowFunction="sum" dataDxfId="699" totalsRowDxfId="698"/>
    <tableColumn id="22" uniqueName="22" name="# of Individual Shelter Built" totalsRowFunction="sum" dataDxfId="697" totalsRowDxfId="696"/>
    <tableColumn id="16" uniqueName="HH Covered" name="#of Individual Shelter Under Construction" totalsRowFunction="sum" dataDxfId="695" totalsRowDxfId="694">
      <xmlColumnPr mapId="5" xpath="/dataroot/Data_Shelter_t/HH_x005f_x0020_Covered" xmlDataType="double"/>
    </tableColumn>
    <tableColumn id="17" uniqueName="17" name="HH Covered" totalsRowFunction="sum" dataDxfId="693" totalsRowDxfId="692"/>
    <tableColumn id="18" uniqueName="Pcode" name="HH Covered 2" totalsRowFunction="sum" dataDxfId="691" totalsRowDxfId="690">
      <calculatedColumnFormula>IF(Data_Shelter_t[[#This Row],[Status]]="Open",Data_Shelter_t[[#This Row],[HH Covered]],0)</calculatedColumnFormula>
      <xmlColumnPr mapId="5" xpath="/dataroot/Data_Shelter_t/Pcode" xmlDataType="string"/>
    </tableColumn>
    <tableColumn id="27" uniqueName="27" name="Pcode" dataDxfId="689" totalsRowDxfId="688"/>
    <tableColumn id="19" uniqueName="Status" name="Status" dataDxfId="687" totalsRowDxfId="686"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685" totalsRowDxfId="684">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683" totalsRowDxfId="682">
      <calculatedColumnFormula>Data_Shelter_t[[#This Row],['# of Permanent House Planned (Target)]]+Data_Shelter_t[[#This Row],['# of Individual Shelter Planned (Target)]]</calculatedColumnFormula>
    </tableColumn>
    <tableColumn id="25" uniqueName="25" name="Built" totalsRowFunction="sum" dataDxfId="681" totalsRowDxfId="680">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76" dataDxfId="674" headerRowBorderDxfId="675">
  <autoFilter ref="A12:J45"/>
  <sortState ref="A13:J45">
    <sortCondition ref="D22"/>
  </sortState>
  <tableColumns count="10">
    <tableColumn id="1" uniqueName="Lot" name="Lot" dataDxfId="673">
      <xmlColumnPr mapId="3" xpath="/dataroot/Data_Infrastructure_t/Lot" xmlDataType="string"/>
    </tableColumn>
    <tableColumn id="8" uniqueName="State" name="State" dataDxfId="672">
      <xmlColumnPr mapId="3" xpath="/dataroot/Data_Infrastructure_t/State" xmlDataType="string"/>
    </tableColumn>
    <tableColumn id="9" uniqueName="Township" name="Township" dataDxfId="671">
      <xmlColumnPr mapId="3" xpath="/dataroot/Data_Infrastructure_t/Township" xmlDataType="string"/>
    </tableColumn>
    <tableColumn id="2" uniqueName="Camp" name="Camp" dataDxfId="670">
      <xmlColumnPr mapId="3" xpath="/dataroot/Data_Infrastructure_t/Camp" xmlDataType="string"/>
    </tableColumn>
    <tableColumn id="10" uniqueName="Pcode" name="Pcode" dataDxfId="669">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68">
      <xmlColumnPr mapId="3" xpath="/dataroot/Data_Infrastructure_t/Infrastructure" xmlDataType="string"/>
    </tableColumn>
    <tableColumn id="7" uniqueName="Type" name="Type" dataDxfId="667">
      <xmlColumnPr mapId="3" xpath="/dataroot/Data_Infrastructure_t/Type" xmlDataType="string"/>
    </tableColumn>
    <tableColumn id="4" uniqueName="Total" name="Total" dataDxfId="666" dataCellStyle="Comma 2">
      <xmlColumnPr mapId="3" xpath="/dataroot/Data_Infrastructure_t/Total" xmlDataType="double"/>
    </tableColumn>
    <tableColumn id="5" uniqueName="Status" name="Status" dataDxfId="665" dataCellStyle="Comma 2">
      <xmlColumnPr mapId="3" xpath="/dataroot/Data_Infrastructure_t/Status" xmlDataType="string"/>
    </tableColumn>
    <tableColumn id="6" uniqueName="Comment" name="Comment" dataDxfId="664">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39" tableBorderDxfId="638">
  <tableColumns count="7">
    <tableColumn id="1" name="Township" dataDxfId="637"/>
    <tableColumn id="2" name="# of HH" dataDxfId="636" dataCellStyle="Comma"/>
    <tableColumn id="3" name="# of Ind." dataDxfId="635" dataCellStyle="Comma"/>
    <tableColumn id="4" name="# of Camp" dataDxfId="634" dataCellStyle="Comma"/>
    <tableColumn id="5" name="# Ind. Covered" dataDxfId="633" dataCellStyle="Comma">
      <calculatedColumnFormula>'Shelter Progress'!O6</calculatedColumnFormula>
    </tableColumn>
    <tableColumn id="6" name="# Ind. Not Covered" dataDxfId="632" dataCellStyle="Comma">
      <calculatedColumnFormula>'Shelter Progress'!R6</calculatedColumnFormula>
    </tableColumn>
    <tableColumn id="7" name="% Coverage" dataDxfId="631"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O605" tableType="xml" totalsRowCount="1" headerRowDxfId="628" headerRowBorderDxfId="627" tableBorderDxfId="626">
  <autoFilter ref="A5:AO604"/>
  <sortState ref="A6:AM587">
    <sortCondition descending="1" ref="C5:C587"/>
  </sortState>
  <tableColumns count="41">
    <tableColumn id="29" uniqueName="Months" name="Months" dataDxfId="625">
      <calculatedColumnFormula>IF(ISBLANK(C6),"",(Report_Date-C6)/30)</calculatedColumnFormula>
      <xmlColumnPr mapId="4" xpath="/dataroot/Data_NFI_T/Months" xmlDataType="double"/>
    </tableColumn>
    <tableColumn id="31" uniqueName="year" name="year" dataDxfId="624" totalsRowDxfId="623">
      <calculatedColumnFormula>YEAR(Data_NFI_t[[#This Row],[Distribution Date]])</calculatedColumnFormula>
      <xmlColumnPr mapId="4" xpath="/dataroot/Data_NFI_T/year" xmlDataType="double"/>
    </tableColumn>
    <tableColumn id="1" uniqueName="Distribution Date" name="Distribution Date" dataDxfId="622">
      <xmlColumnPr mapId="4" xpath="/dataroot/Data_NFI_T/Distribution_x005f_x0020_Date" xmlDataType="dateTime"/>
    </tableColumn>
    <tableColumn id="2" uniqueName="Organization" name="Organization" dataDxfId="621">
      <xmlColumnPr mapId="4" xpath="/dataroot/Data_NFI_T/Organization" xmlDataType="string"/>
    </tableColumn>
    <tableColumn id="3" uniqueName="Implementing Partner" name="Implementing Partner" dataDxfId="620" totalsRowDxfId="619">
      <xmlColumnPr mapId="4" xpath="/dataroot/Data_NFI_T/Implementing_x005f_x0020_Partner" xmlDataType="string"/>
    </tableColumn>
    <tableColumn id="4" uniqueName="State" name="State" dataDxfId="618">
      <xmlColumnPr mapId="4" xpath="/dataroot/Data_NFI_T/State" xmlDataType="string"/>
    </tableColumn>
    <tableColumn id="5" uniqueName="Township" name="Township" dataDxfId="617">
      <xmlColumnPr mapId="4" xpath="/dataroot/Data_NFI_T/Township" xmlDataType="string"/>
    </tableColumn>
    <tableColumn id="6" uniqueName="Camp Name" name="Camp Name" dataDxfId="616">
      <xmlColumnPr mapId="4" xpath="/dataroot/Data_NFI_T/Camp_x005f_x0020_Name" xmlDataType="string"/>
    </tableColumn>
    <tableColumn id="7" uniqueName="Hygiene Kit" name="Hygiene Kit" dataDxfId="615" totalsRowDxfId="614">
      <xmlColumnPr mapId="4" xpath="/dataroot/Data_NFI_T/Hygiene_x005f_x0020_Kit" xmlDataType="string"/>
    </tableColumn>
    <tableColumn id="8" uniqueName="NFI Core Kit" name="NFI Core Kit" dataDxfId="613" totalsRowDxfId="612">
      <xmlColumnPr mapId="4" xpath="/dataroot/Data_NFI_T/NFI_x005f_x0020_Core_x005f_x0020_Kit" xmlDataType="string"/>
    </tableColumn>
    <tableColumn id="9" uniqueName="Sanitary Kit" name="Sanitary Kit" dataDxfId="611" totalsRowDxfId="610">
      <xmlColumnPr mapId="4" xpath="/dataroot/Data_NFI_T/Sanitary_x005f_x0020_Kit" xmlDataType="string"/>
    </tableColumn>
    <tableColumn id="10" uniqueName="Mosquito net" name="Mosquito net" dataDxfId="609" totalsRowDxfId="608">
      <xmlColumnPr mapId="4" xpath="/dataroot/Data_NFI_T/Mosquito_x005f_x0020_net" xmlDataType="string"/>
    </tableColumn>
    <tableColumn id="11" uniqueName="Tarpaulin" name="Tarpaulin" dataDxfId="607" totalsRowDxfId="606">
      <xmlColumnPr mapId="4" xpath="/dataroot/Data_NFI_T/Tarpaulin" xmlDataType="double"/>
    </tableColumn>
    <tableColumn id="12" uniqueName="Blanket" name="Blanket" dataDxfId="605" totalsRowDxfId="604">
      <xmlColumnPr mapId="4" xpath="/dataroot/Data_NFI_T/Blanket" xmlDataType="string"/>
    </tableColumn>
    <tableColumn id="13" uniqueName="Kitchen Set" name="Kitchen Set" dataDxfId="603" totalsRowDxfId="602">
      <xmlColumnPr mapId="4" xpath="/dataroot/Data_NFI_T/Kitchen_x005f_x0020_Set" xmlDataType="string"/>
    </tableColumn>
    <tableColumn id="14" uniqueName="Complementary Kit" name="Complementary Kit" dataDxfId="601" totalsRowDxfId="600">
      <xmlColumnPr mapId="4" xpath="/dataroot/Data_NFI_T/Complementary_x005f_x0020_Kit" xmlDataType="string"/>
    </tableColumn>
    <tableColumn id="26" uniqueName="Plastic Bucket" name="Plastic Bucket" dataDxfId="599" totalsRowDxfId="598">
      <xmlColumnPr mapId="4" xpath="/dataroot/Data_NFI_T/Plastic_x005f_x0020_Bucket" xmlDataType="string"/>
    </tableColumn>
    <tableColumn id="30" uniqueName="30" name="Jerry Can" dataDxfId="597" totalsRowDxfId="596"/>
    <tableColumn id="25" uniqueName="Plastic Mat" name="Plastic Mat" dataDxfId="595" totalsRowDxfId="594">
      <xmlColumnPr mapId="4" xpath="/dataroot/Data_NFI_T/Plastic_x005f_x0020_Mat" xmlDataType="string"/>
    </tableColumn>
    <tableColumn id="35" uniqueName="35" name="Adult Clothes" dataDxfId="593" totalsRowDxfId="592"/>
    <tableColumn id="34" uniqueName="34" name="Children Clothes" dataDxfId="591" totalsRowDxfId="590"/>
    <tableColumn id="32" uniqueName="32" name="Sewing Kit" dataDxfId="589" totalsRowDxfId="588"/>
    <tableColumn id="40" uniqueName="40" name="Solar Lantern" dataDxfId="587" totalsRowDxfId="586"/>
    <tableColumn id="15" uniqueName="Hygiene Kit_LS" name="Hygiene Kit_LS" dataDxfId="585">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584">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583">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582">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581">
      <calculatedColumnFormula>IF(NFI_Expiration=1,IF($A6&lt;VLOOKUP(M$5,NFI,5,0),1,0)*Data_NFI_t[[#This Row],[Tarpaulin]],0)</calculatedColumnFormula>
      <xmlColumnPr mapId="4" xpath="/dataroot/Data_NFI_T/Tarpaulin_LS" xmlDataType="double"/>
    </tableColumn>
    <tableColumn id="20" uniqueName="Blanket_LS" name="Blanket_LS" dataDxfId="580">
      <calculatedColumnFormula>IF(NFI_Expiration=1,IF($A6&lt;VLOOKUP(N$5,NFI,5,0),1,0)*Data_NFI_t[[#This Row],[Blanket]],0)</calculatedColumnFormula>
      <xmlColumnPr mapId="4" xpath="/dataroot/Data_NFI_T/Blanket_LS" xmlDataType="double"/>
    </tableColumn>
    <tableColumn id="21" uniqueName="Kitchen Set_LS" name="Kitchen Set_LS" dataDxfId="579">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578">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577">
      <calculatedColumnFormula>IF(NFI_Expiration=1,IF($A6&lt;VLOOKUP(Q$5,NFI,5,0),1,0)*Data_NFI_t[[#This Row],[Plastic Bucket]],0)</calculatedColumnFormula>
      <xmlColumnPr mapId="4" xpath="/dataroot/Data_NFI_T/Plastic_x005f_x0020_Bucket_LS" xmlDataType="double"/>
    </tableColumn>
    <tableColumn id="33" uniqueName="33" name="Jerry Can_LS" dataDxfId="576">
      <calculatedColumnFormula>IF(NFI_Expiration=1,IF($A6&lt;VLOOKUP(R$5,NFI,5,0),1,0)*Data_NFI_t[[#This Row],[Jerry Can]],0)</calculatedColumnFormula>
    </tableColumn>
    <tableColumn id="27" uniqueName="Plastic  Mat_LS" name="Plastic  Mat_LS" dataDxfId="575">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36" uniqueName="36" name="Adult Clothes_LS" dataDxfId="574">
      <calculatedColumnFormula>IF(NFI_Expiration=1,IF($A6&lt;VLOOKUP(T$5,NFI,5,0),1,0)*Data_NFI_t[[#This Row],[Adult Clothes]],0)</calculatedColumnFormula>
    </tableColumn>
    <tableColumn id="38" uniqueName="38" name="Children Clothes_LS" dataDxfId="573">
      <calculatedColumnFormula>IF(NFI_Expiration=1,IF($A6&lt;VLOOKUP(U$5,NFI,5,0),1,0)*Data_NFI_t[[#This Row],[Children Clothes]],0)</calculatedColumnFormula>
    </tableColumn>
    <tableColumn id="37" uniqueName="37" name="Sewing Kit_LS" dataDxfId="572">
      <calculatedColumnFormula>IF(NFI_Expiration=1,IF($A6&lt;VLOOKUP(V$5,NFI,5,0),1,0)*Data_NFI_t[[#This Row],[Sewing Kit]],0)</calculatedColumnFormula>
    </tableColumn>
    <tableColumn id="41" uniqueName="41" name="Solar Lantern_LS" dataDxfId="571">
      <calculatedColumnFormula>IF(NFI_Expiration=1,IF($A6&lt;VLOOKUP(V$5,NFI,5,0),1,0)*Data_NFI_t[[#This Row],[Solar Lantern]],0)</calculatedColumnFormula>
    </tableColumn>
    <tableColumn id="23" uniqueName="Pcode" name="Pcode" dataDxfId="570">
      <calculatedColumnFormula>IFERROR(OFFSET(Camp_List[P_Code],MATCH(Data_NFI_t[[#This Row],[Camp Name]],Camp_List[Camp Name],0)-1,0,1,1),"")</calculatedColumnFormula>
      <xmlColumnPr mapId="4" xpath="/dataroot/Data_NFI_T/Pcode" xmlDataType="string"/>
    </tableColumn>
    <tableColumn id="24" uniqueName="Status" name="Status" dataDxfId="569">
      <calculatedColumnFormula>IFERROR(OFFSET(Camp_List[Status],MATCH(Data_NFI_t[[#This Row],[Camp Name]],Camp_List[Camp Name],0)-1,0,1,1),"")</calculatedColumnFormula>
      <xmlColumnPr mapId="4" xpath="/dataroot/Data_NFI_T/Status" xmlDataType="string"/>
    </tableColumn>
    <tableColumn id="39" uniqueName="39" name="Remark" dataDxfId="568"/>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N52" totalsRowShown="0" headerRowDxfId="550" headerRowBorderDxfId="549" tableBorderDxfId="548" totalsRowBorderDxfId="547">
  <autoFilter ref="A43:N52"/>
  <sortState ref="A44:N49">
    <sortCondition descending="1" ref="A43:A49"/>
  </sortState>
  <tableColumns count="14">
    <tableColumn id="1" name="Township" dataDxfId="546">
      <calculatedColumnFormula>R44</calculatedColumnFormula>
    </tableColumn>
    <tableColumn id="2" name="Sanitary Kit" dataDxfId="545"/>
    <tableColumn id="3" name=" Mosquito net" dataDxfId="544"/>
    <tableColumn id="4" name=" Tarpaulin" dataDxfId="543"/>
    <tableColumn id="5" name=" Blanket" dataDxfId="542"/>
    <tableColumn id="6" name=" Kitchen Set" dataDxfId="541"/>
    <tableColumn id="7" name=" Complementary Kit" dataDxfId="540"/>
    <tableColumn id="8" name=" Plastic Bucket" dataDxfId="539"/>
    <tableColumn id="9" name=" Jerry Can" dataDxfId="538"/>
    <tableColumn id="10" name=" Plastic  Mat" dataDxfId="537"/>
    <tableColumn id="11" name="Adult Clothes" dataDxfId="536"/>
    <tableColumn id="12" name="Children Clothes" dataDxfId="535"/>
    <tableColumn id="13" name="Sewing Kit" dataDxfId="534"/>
    <tableColumn id="14" name="Solar Lantern" dataDxfId="533"/>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59:N71" totalsRowShown="0" headerRowDxfId="532" totalsRowDxfId="529" headerRowBorderDxfId="531" tableBorderDxfId="530" totalsRowBorderDxfId="528">
  <autoFilter ref="A59:N71"/>
  <tableColumns count="14">
    <tableColumn id="1" name="Organization">
      <calculatedColumnFormula>#REF!</calculatedColumnFormula>
    </tableColumn>
    <tableColumn id="2" name="Sanitary Kit" totalsRowDxfId="527"/>
    <tableColumn id="3" name=" Mosquito net" totalsRowDxfId="526"/>
    <tableColumn id="4" name=" Tarpaulin" totalsRowDxfId="525"/>
    <tableColumn id="5" name=" Blanket" totalsRowDxfId="524"/>
    <tableColumn id="6" name=" Kitchen Set" totalsRowDxfId="523"/>
    <tableColumn id="7" name=" Complementary Kit" totalsRowDxfId="522"/>
    <tableColumn id="8" name=" Plastic Bucket" totalsRowDxfId="521"/>
    <tableColumn id="9" name=" Jerry Can" totalsRowDxfId="520"/>
    <tableColumn id="10" name=" Plastic  Mat" totalsRowDxfId="519">
      <calculatedColumnFormula>GETPIVOTDATA(" Plastic  Mat",$R$59,"Organization","RI")/5</calculatedColumnFormula>
    </tableColumn>
    <tableColumn id="11" name="Adult Clothes" totalsRowDxfId="518">
      <calculatedColumnFormula>GETPIVOTDATA("Children Clothes ",$R$59,"Organization","SI")</calculatedColumnFormula>
    </tableColumn>
    <tableColumn id="12" name="Children Clothes" totalsRowDxfId="517">
      <calculatedColumnFormula>GETPIVOTDATA("Sewing Kit ",$R$59,"Organization","S")</calculatedColumnFormula>
    </tableColumn>
    <tableColumn id="13" name="Sewing Kit"/>
    <tableColumn id="14" name="Solar Lantern"/>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N17" totalsRowCount="1">
  <autoFilter ref="A10:N16"/>
  <tableColumns count="14">
    <tableColumn id="1" name="Year" totalsRowFunction="custom" dataDxfId="502" totalsRowDxfId="501">
      <calculatedColumnFormula>Q11</calculatedColumnFormula>
      <totalsRowFormula>Q17</totalsRowFormula>
    </tableColumn>
    <tableColumn id="2" name="Sanitary Kit" totalsRowFunction="sum" dataDxfId="500" totalsRowDxfId="499">
      <calculatedColumnFormula>R11/1</calculatedColumnFormula>
    </tableColumn>
    <tableColumn id="3" name="Mosquito net" totalsRowFunction="sum" dataDxfId="498" totalsRowDxfId="497">
      <calculatedColumnFormula>S11/2</calculatedColumnFormula>
    </tableColumn>
    <tableColumn id="4" name="Tarpaulin" totalsRowFunction="sum" dataDxfId="496" totalsRowDxfId="495">
      <calculatedColumnFormula>T11/1</calculatedColumnFormula>
    </tableColumn>
    <tableColumn id="5" name="Blanket" totalsRowFunction="sum" dataDxfId="494" totalsRowDxfId="493">
      <calculatedColumnFormula>U11/2</calculatedColumnFormula>
    </tableColumn>
    <tableColumn id="6" name="Kitchen Set" totalsRowFunction="sum" dataDxfId="492" totalsRowDxfId="491">
      <calculatedColumnFormula>V11/1</calculatedColumnFormula>
    </tableColumn>
    <tableColumn id="7" name="Complementary Kit" totalsRowFunction="sum" dataDxfId="490" totalsRowDxfId="489">
      <calculatedColumnFormula>W11/1</calculatedColumnFormula>
    </tableColumn>
    <tableColumn id="8" name="Plastic Bucket" totalsRowFunction="sum" dataDxfId="488" totalsRowDxfId="487">
      <calculatedColumnFormula>X11/1</calculatedColumnFormula>
    </tableColumn>
    <tableColumn id="9" name="Jerry Can" totalsRowFunction="sum" dataDxfId="486" totalsRowDxfId="485"/>
    <tableColumn id="10" name="Plastic Mat" totalsRowFunction="sum" dataDxfId="484" totalsRowDxfId="483"/>
    <tableColumn id="11" name="Adult Clothes" totalsRowFunction="sum" dataDxfId="482" totalsRowDxfId="481"/>
    <tableColumn id="12" name="Children Clothes" totalsRowFunction="sum" dataDxfId="480" totalsRowDxfId="479"/>
    <tableColumn id="13" name="Sewing Kit" totalsRowFunction="sum" dataDxfId="478" totalsRowDxfId="477"/>
    <tableColumn id="14" name="Solar Lantern " totalsRowFunction="sum" dataDxfId="476" totalsRowDxfId="475"/>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5:N71" totalsRowShown="0" headerRowBorderDxfId="474" tableBorderDxfId="473" totalsRowBorderDxfId="472">
  <autoFilter ref="A25:N71"/>
  <tableColumns count="14">
    <tableColumn id="1" name="Township" dataDxfId="471"/>
    <tableColumn id="2" name="Sanitary Kit" dataDxfId="470"/>
    <tableColumn id="3" name="Mosquito net" dataDxfId="469"/>
    <tableColumn id="4" name="Tarpaulin" dataDxfId="468"/>
    <tableColumn id="5" name="Blanket" dataDxfId="467"/>
    <tableColumn id="6" name="Kitchen Set" dataDxfId="466"/>
    <tableColumn id="7" name="Complementary Kit" dataDxfId="465"/>
    <tableColumn id="8" name="Plastic Bucket" dataDxfId="464"/>
    <tableColumn id="9" name="Jerry Can" dataDxfId="463"/>
    <tableColumn id="10" name="Plastic Mat" dataDxfId="462"/>
    <tableColumn id="11" name="Adult Clothes" dataDxfId="461"/>
    <tableColumn id="12" name="Children Clothes" dataDxfId="460"/>
    <tableColumn id="13" name="Sewing Kit" dataDxfId="459">
      <calculatedColumnFormula>SUM(M22:M25)</calculatedColumnFormula>
    </tableColumn>
    <tableColumn id="14" name="Solar Lantern " dataDxfId="4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 Id="rId4" Type="http://schemas.microsoft.com/office/2007/relationships/slicer" Target="../slicers/slicer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7.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ivotTable" Target="../pivotTables/pivotTable31.xml"/><Relationship Id="rId1" Type="http://schemas.openxmlformats.org/officeDocument/2006/relationships/pivotTable" Target="../pivotTables/pivotTable30.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x14ac:dyDescent="0.25"/>
  <cols>
    <col min="1" max="1" width="6.7109375" customWidth="1"/>
    <col min="2" max="2" width="34.42578125" customWidth="1"/>
  </cols>
  <sheetData>
    <row r="1" spans="1:13" x14ac:dyDescent="0.25">
      <c r="A1" s="128"/>
      <c r="B1" s="129"/>
      <c r="C1" s="90"/>
      <c r="E1" t="s">
        <v>674</v>
      </c>
      <c r="K1" t="s">
        <v>675</v>
      </c>
      <c r="L1" t="s">
        <v>676</v>
      </c>
    </row>
    <row r="2" spans="1:13" ht="51.75" x14ac:dyDescent="0.25">
      <c r="A2" s="128"/>
      <c r="B2" s="129" t="s">
        <v>677</v>
      </c>
      <c r="C2" s="129" t="str">
        <f>CONCATENATE("d:\",C3,".kml")</f>
        <v>d:\Rakhine_CampList_20170501.kml</v>
      </c>
      <c r="G2" t="s">
        <v>678</v>
      </c>
      <c r="H2" t="s">
        <v>679</v>
      </c>
      <c r="K2" t="s">
        <v>680</v>
      </c>
      <c r="L2" t="s">
        <v>681</v>
      </c>
      <c r="M2" t="s">
        <v>682</v>
      </c>
    </row>
    <row r="3" spans="1:13" x14ac:dyDescent="0.25">
      <c r="A3" s="128"/>
      <c r="B3" s="130" t="s">
        <v>683</v>
      </c>
      <c r="C3" s="90" t="str">
        <f>CONCATENATE("Rakhine_CampList_",TEXT(Report_Date,"yyyymmdd"))</f>
        <v>Rakhine_CampList_20170501</v>
      </c>
      <c r="G3" t="s">
        <v>684</v>
      </c>
      <c r="H3" t="s">
        <v>685</v>
      </c>
      <c r="K3" t="s">
        <v>686</v>
      </c>
      <c r="L3" t="s">
        <v>687</v>
      </c>
      <c r="M3" t="s">
        <v>688</v>
      </c>
    </row>
    <row r="4" spans="1:13" x14ac:dyDescent="0.25">
      <c r="A4" s="128"/>
      <c r="B4" s="130"/>
      <c r="C4" s="90"/>
      <c r="G4" t="s">
        <v>689</v>
      </c>
      <c r="H4" t="s">
        <v>690</v>
      </c>
      <c r="K4" t="s">
        <v>691</v>
      </c>
      <c r="L4" t="s">
        <v>692</v>
      </c>
      <c r="M4" t="s">
        <v>693</v>
      </c>
    </row>
    <row r="5" spans="1:13" x14ac:dyDescent="0.25">
      <c r="B5" t="s">
        <v>694</v>
      </c>
      <c r="C5" t="s">
        <v>695</v>
      </c>
      <c r="K5" t="s">
        <v>696</v>
      </c>
      <c r="L5" t="s">
        <v>697</v>
      </c>
      <c r="M5" t="s">
        <v>698</v>
      </c>
    </row>
    <row r="6" spans="1:13" x14ac:dyDescent="0.25">
      <c r="B6" t="s">
        <v>699</v>
      </c>
      <c r="C6" t="s">
        <v>700</v>
      </c>
      <c r="K6" t="s">
        <v>701</v>
      </c>
      <c r="L6" t="s">
        <v>702</v>
      </c>
      <c r="M6" t="s">
        <v>703</v>
      </c>
    </row>
    <row r="8" spans="1:13" x14ac:dyDescent="0.25">
      <c r="B8" t="s">
        <v>665</v>
      </c>
      <c r="C8" t="s">
        <v>666</v>
      </c>
    </row>
    <row r="9" spans="1:13" x14ac:dyDescent="0.25">
      <c r="B9" t="s">
        <v>667</v>
      </c>
      <c r="C9" t="s">
        <v>668</v>
      </c>
      <c r="D9" t="s">
        <v>669</v>
      </c>
    </row>
    <row r="10" spans="1:13" x14ac:dyDescent="0.25">
      <c r="B10" t="s">
        <v>670</v>
      </c>
      <c r="C10" t="s">
        <v>671</v>
      </c>
    </row>
    <row r="11" spans="1:13" x14ac:dyDescent="0.25">
      <c r="B11" t="s">
        <v>672</v>
      </c>
      <c r="C11" t="s">
        <v>673</v>
      </c>
    </row>
    <row r="13" spans="1:13" x14ac:dyDescent="0.25">
      <c r="B13" t="s">
        <v>704</v>
      </c>
      <c r="C13" t="s">
        <v>705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election activeCell="W35" sqref="W35"/>
    </sheetView>
  </sheetViews>
  <sheetFormatPr defaultColWidth="9.140625" defaultRowHeight="15" x14ac:dyDescent="0.2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x14ac:dyDescent="0.25"/>
    <row r="2" spans="3:27" ht="29.25" customHeight="1" x14ac:dyDescent="0.55000000000000004">
      <c r="C2" s="125" t="s">
        <v>217</v>
      </c>
      <c r="D2" s="125"/>
      <c r="E2" s="125"/>
      <c r="F2" s="125"/>
      <c r="G2" s="125"/>
      <c r="H2" s="125"/>
      <c r="I2" s="125"/>
      <c r="J2" s="125"/>
      <c r="K2" s="125"/>
      <c r="L2" s="125"/>
      <c r="M2" s="125"/>
      <c r="N2" s="125"/>
      <c r="O2" s="125"/>
      <c r="P2" s="125"/>
      <c r="Q2" s="125"/>
      <c r="R2" s="125"/>
      <c r="S2" s="125"/>
      <c r="T2" s="125"/>
      <c r="U2" s="125"/>
      <c r="V2" s="125"/>
    </row>
    <row r="3" spans="3:27" ht="14.25" customHeight="1" x14ac:dyDescent="0.55000000000000004">
      <c r="C3" s="125"/>
      <c r="D3" s="125"/>
      <c r="E3" s="125"/>
      <c r="F3" s="125"/>
      <c r="G3" s="125"/>
      <c r="H3" s="125"/>
      <c r="I3" s="125"/>
      <c r="J3" s="125"/>
      <c r="K3" s="125"/>
      <c r="L3" s="125"/>
      <c r="M3" s="125"/>
      <c r="N3" s="125"/>
      <c r="O3" s="125"/>
      <c r="P3" s="125"/>
      <c r="Q3" s="125"/>
      <c r="R3" s="125"/>
      <c r="S3" s="125"/>
      <c r="T3" s="125"/>
      <c r="U3" s="125"/>
      <c r="V3" s="125"/>
    </row>
    <row r="4" spans="3:27" ht="14.25" customHeight="1" x14ac:dyDescent="0.55000000000000004">
      <c r="C4" s="125"/>
      <c r="D4" s="125"/>
      <c r="E4" s="125"/>
      <c r="F4" s="125"/>
      <c r="G4" s="125"/>
      <c r="H4" s="125"/>
      <c r="I4" s="125"/>
      <c r="J4" s="125"/>
      <c r="K4" s="125"/>
      <c r="L4" s="125"/>
      <c r="M4" s="125"/>
      <c r="N4" s="125"/>
      <c r="O4" s="125"/>
      <c r="P4" s="125"/>
      <c r="Q4" s="125"/>
      <c r="R4" s="125"/>
      <c r="S4" s="125"/>
      <c r="T4" s="125"/>
      <c r="U4" s="125"/>
      <c r="V4" s="125"/>
    </row>
    <row r="5" spans="3:27" ht="14.25" customHeight="1" x14ac:dyDescent="0.25">
      <c r="C5" s="1004">
        <f>Report_Date</f>
        <v>42856</v>
      </c>
      <c r="D5" s="1004"/>
      <c r="E5" s="1004"/>
      <c r="F5" s="1004"/>
      <c r="G5" s="1004"/>
      <c r="H5" s="1004"/>
      <c r="I5" s="1004"/>
      <c r="J5" s="1004"/>
      <c r="K5" s="1004"/>
      <c r="L5" s="1004"/>
      <c r="M5" s="1004"/>
      <c r="N5" s="1004"/>
      <c r="O5" s="1004"/>
      <c r="P5" s="127"/>
      <c r="Q5" s="127"/>
      <c r="R5" s="127"/>
    </row>
    <row r="6" spans="3:27" ht="14.25" customHeight="1" x14ac:dyDescent="0.25"/>
    <row r="7" spans="3:27" ht="14.25" customHeight="1" x14ac:dyDescent="0.25">
      <c r="C7" s="124" t="s">
        <v>238</v>
      </c>
      <c r="D7" s="124"/>
      <c r="E7" s="33"/>
      <c r="F7" s="154" t="s">
        <v>243</v>
      </c>
      <c r="G7" s="126"/>
      <c r="H7" s="126"/>
      <c r="I7" s="126"/>
      <c r="J7" s="126"/>
      <c r="K7" s="33"/>
      <c r="L7" s="154" t="s">
        <v>236</v>
      </c>
      <c r="M7" s="126"/>
      <c r="N7" s="126"/>
      <c r="O7" s="33"/>
      <c r="P7" s="126" t="s">
        <v>241</v>
      </c>
      <c r="Q7" s="126"/>
      <c r="R7" s="126"/>
      <c r="S7" s="33"/>
      <c r="T7" s="126" t="s">
        <v>242</v>
      </c>
      <c r="U7" s="126"/>
      <c r="V7" s="126"/>
    </row>
    <row r="8" spans="3:27" ht="14.25" customHeight="1" x14ac:dyDescent="0.25">
      <c r="C8" s="124"/>
      <c r="D8" s="124"/>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x14ac:dyDescent="0.25">
      <c r="C9" s="124"/>
      <c r="D9" s="124"/>
      <c r="E9" s="33"/>
      <c r="F9" s="33"/>
      <c r="G9" s="33"/>
      <c r="H9" s="33"/>
      <c r="I9" s="33"/>
      <c r="J9" s="33"/>
      <c r="K9" s="33"/>
      <c r="L9" s="172" t="s">
        <v>7</v>
      </c>
      <c r="M9" s="95" t="s">
        <v>6</v>
      </c>
      <c r="N9" s="73" t="s">
        <v>237</v>
      </c>
      <c r="O9" s="33"/>
      <c r="P9" s="31" t="s">
        <v>7</v>
      </c>
      <c r="Q9" s="72" t="s">
        <v>6</v>
      </c>
      <c r="R9" s="73" t="s">
        <v>237</v>
      </c>
      <c r="S9" s="33"/>
      <c r="T9" s="31" t="s">
        <v>7</v>
      </c>
      <c r="U9" s="32" t="s">
        <v>6</v>
      </c>
      <c r="V9" s="30" t="s">
        <v>237</v>
      </c>
    </row>
    <row r="10" spans="3:27" ht="14.25" customHeight="1" x14ac:dyDescent="0.25">
      <c r="C10" s="124"/>
      <c r="D10" s="124"/>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x14ac:dyDescent="0.25">
      <c r="C11" s="124"/>
      <c r="D11" s="124"/>
      <c r="E11" s="33"/>
      <c r="F11" s="33"/>
      <c r="G11" s="33"/>
      <c r="H11" s="33"/>
      <c r="I11" s="33"/>
      <c r="J11" s="33"/>
      <c r="K11" s="33"/>
      <c r="L11" s="33"/>
      <c r="M11" s="33"/>
      <c r="N11" s="33"/>
      <c r="O11" s="33"/>
      <c r="P11" s="33"/>
      <c r="Q11" s="33"/>
      <c r="R11" s="33"/>
      <c r="S11" s="33"/>
      <c r="T11" s="33"/>
      <c r="U11" s="33"/>
      <c r="V11" s="33"/>
    </row>
    <row r="12" spans="3:27" x14ac:dyDescent="0.25">
      <c r="C12" s="124"/>
      <c r="D12" s="124"/>
      <c r="E12" s="33"/>
      <c r="F12" s="33"/>
      <c r="G12" s="33"/>
      <c r="H12" s="33"/>
      <c r="I12" s="33"/>
      <c r="J12" s="33"/>
      <c r="K12" s="33"/>
      <c r="L12" s="33"/>
      <c r="M12" s="33"/>
      <c r="N12" s="33"/>
      <c r="O12" s="33"/>
      <c r="P12" s="33"/>
      <c r="Q12" s="33"/>
      <c r="R12" s="33"/>
      <c r="S12" s="33"/>
      <c r="T12" s="33"/>
      <c r="U12" s="33"/>
      <c r="V12" s="33"/>
    </row>
    <row r="14" spans="3:27" x14ac:dyDescent="0.25">
      <c r="C14" s="124" t="s">
        <v>239</v>
      </c>
      <c r="D14" s="124"/>
      <c r="E14" s="33"/>
      <c r="F14" s="33"/>
      <c r="G14" s="33"/>
      <c r="H14" s="33"/>
      <c r="I14" s="33"/>
      <c r="J14" s="33"/>
      <c r="K14" s="33"/>
      <c r="L14" s="33"/>
      <c r="M14" s="33"/>
      <c r="N14" s="33"/>
      <c r="O14" s="33"/>
      <c r="P14" s="33"/>
      <c r="Q14" s="33"/>
      <c r="R14" s="33"/>
      <c r="S14" s="33"/>
      <c r="T14" s="33"/>
      <c r="U14" s="33"/>
      <c r="V14" s="33"/>
    </row>
    <row r="15" spans="3:27" x14ac:dyDescent="0.25">
      <c r="C15" s="124"/>
      <c r="D15" s="124"/>
      <c r="E15" s="33"/>
      <c r="F15" s="33"/>
      <c r="G15" s="33"/>
      <c r="H15" s="33"/>
      <c r="I15" s="33"/>
      <c r="J15" s="33"/>
      <c r="K15" s="33"/>
      <c r="L15" s="33"/>
      <c r="M15" s="33"/>
      <c r="N15" s="33"/>
      <c r="O15" s="33"/>
      <c r="P15" s="33"/>
      <c r="Q15" s="33"/>
      <c r="R15" s="33"/>
      <c r="S15" s="33"/>
      <c r="T15" s="33"/>
      <c r="U15" s="33"/>
      <c r="V15" s="33"/>
    </row>
    <row r="16" spans="3:27" x14ac:dyDescent="0.25">
      <c r="C16" s="124"/>
      <c r="D16" s="124"/>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x14ac:dyDescent="0.25">
      <c r="C17" s="124"/>
      <c r="D17" s="124"/>
      <c r="E17" s="33"/>
      <c r="F17" s="33"/>
      <c r="G17" s="33"/>
      <c r="H17" s="33"/>
      <c r="I17" s="33"/>
      <c r="J17" s="33"/>
      <c r="K17" s="33"/>
      <c r="L17" s="33"/>
      <c r="M17" s="33"/>
      <c r="N17" s="33"/>
      <c r="O17" s="33"/>
      <c r="P17" s="33"/>
      <c r="Q17" s="33"/>
      <c r="R17" s="33"/>
      <c r="S17" s="33"/>
      <c r="T17" s="33"/>
      <c r="U17" s="33"/>
      <c r="V17" s="33"/>
    </row>
    <row r="18" spans="3:26" x14ac:dyDescent="0.25">
      <c r="C18" s="124"/>
      <c r="D18" s="124"/>
      <c r="E18" s="33"/>
      <c r="F18" s="33"/>
      <c r="G18" s="33"/>
      <c r="H18" s="33"/>
      <c r="I18" s="33"/>
      <c r="J18" s="33"/>
      <c r="K18" s="33"/>
      <c r="L18" s="33"/>
      <c r="M18" s="33"/>
      <c r="N18" s="33"/>
      <c r="O18" s="33"/>
      <c r="P18" s="33"/>
      <c r="Q18" s="33"/>
      <c r="R18" s="33"/>
      <c r="S18" s="33"/>
      <c r="T18" s="33"/>
      <c r="U18" s="33"/>
      <c r="V18" s="33"/>
    </row>
    <row r="19" spans="3:26" x14ac:dyDescent="0.25">
      <c r="C19" s="124"/>
      <c r="D19" s="124"/>
      <c r="E19" s="33"/>
      <c r="F19" s="33"/>
      <c r="G19" s="33"/>
      <c r="H19" s="33"/>
      <c r="I19" s="33"/>
      <c r="J19" s="33"/>
      <c r="K19" s="33"/>
      <c r="L19" s="33"/>
      <c r="M19" s="33"/>
      <c r="N19" s="33"/>
      <c r="O19" s="33"/>
      <c r="P19" s="33"/>
      <c r="Q19" s="33"/>
      <c r="R19" s="33"/>
      <c r="S19" s="33"/>
      <c r="T19" s="33"/>
      <c r="U19" s="33"/>
      <c r="V19" s="33"/>
    </row>
    <row r="21" spans="3:26" x14ac:dyDescent="0.25">
      <c r="C21" s="124" t="s">
        <v>240</v>
      </c>
      <c r="D21" s="124"/>
      <c r="E21" s="34"/>
      <c r="F21" s="34"/>
      <c r="G21" s="34"/>
      <c r="H21" s="34"/>
      <c r="I21" s="34"/>
      <c r="J21" s="34"/>
      <c r="K21" s="34"/>
      <c r="L21" s="33"/>
      <c r="M21" s="33"/>
      <c r="N21" s="33"/>
      <c r="O21" s="33"/>
      <c r="P21" s="33"/>
      <c r="Q21" s="33"/>
      <c r="R21" s="33"/>
      <c r="S21" s="33"/>
      <c r="T21" s="33"/>
      <c r="U21" s="33"/>
      <c r="V21" s="33"/>
    </row>
    <row r="22" spans="3:26" x14ac:dyDescent="0.25">
      <c r="C22" s="124"/>
      <c r="D22" s="124"/>
      <c r="E22" s="34"/>
      <c r="F22" s="34"/>
      <c r="G22" s="34"/>
      <c r="H22" s="34"/>
      <c r="I22" s="34"/>
      <c r="J22" s="34"/>
      <c r="K22" s="34"/>
      <c r="L22" s="72" t="s">
        <v>7</v>
      </c>
      <c r="M22" s="95" t="s">
        <v>6</v>
      </c>
      <c r="N22" s="34"/>
      <c r="O22" s="33"/>
      <c r="P22" s="33"/>
      <c r="Q22" s="33"/>
      <c r="R22" s="33"/>
      <c r="S22" s="33"/>
      <c r="T22" s="15"/>
      <c r="U22" s="15"/>
      <c r="V22" s="15"/>
    </row>
    <row r="23" spans="3:26" x14ac:dyDescent="0.25">
      <c r="C23" s="124"/>
      <c r="D23" s="124"/>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x14ac:dyDescent="0.25">
      <c r="C24" s="124"/>
      <c r="D24" s="124"/>
      <c r="E24" s="34"/>
      <c r="F24" s="34"/>
      <c r="G24" s="34"/>
      <c r="H24" s="34"/>
      <c r="I24" s="34"/>
      <c r="J24" s="34"/>
      <c r="K24" s="34"/>
      <c r="L24" s="34"/>
      <c r="M24" s="34"/>
      <c r="N24" s="34"/>
      <c r="O24" s="33"/>
      <c r="P24" s="33"/>
      <c r="Q24" s="33"/>
      <c r="R24" s="33"/>
      <c r="S24" s="33"/>
      <c r="T24" s="15"/>
      <c r="U24" s="15"/>
      <c r="V24" s="15"/>
    </row>
    <row r="25" spans="3:26" x14ac:dyDescent="0.25">
      <c r="Z25" s="6">
        <f>COUNTIFS(Camp_List[TOWNSHIP_NAME],$AI22,Camp_List[Total],"&gt;0",Camp_List[Status],"open",Camp_List[Type of Accomodation],AP$21)</f>
        <v>0</v>
      </c>
    </row>
    <row r="30" spans="3:26" x14ac:dyDescent="0.25">
      <c r="C30" s="519"/>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Export_Data">
          <controlPr defaultSize="0" autoLine="0" autoPict="0" r:id="rId5">
            <anchor moveWithCells="1">
              <from>
                <xdr:col>25</xdr:col>
                <xdr:colOff>219075</xdr:colOff>
                <xdr:row>9</xdr:row>
                <xdr:rowOff>28575</xdr:rowOff>
              </from>
              <to>
                <xdr:col>27</xdr:col>
                <xdr:colOff>514350</xdr:colOff>
                <xdr:row>11</xdr:row>
                <xdr:rowOff>95250</xdr:rowOff>
              </to>
            </anchor>
          </controlPr>
        </control>
      </mc:Choice>
      <mc:Fallback>
        <control shapeId="1027" r:id="rId4" name="Export_Data"/>
      </mc:Fallback>
    </mc:AlternateContent>
    <mc:AlternateContent xmlns:mc="http://schemas.openxmlformats.org/markup-compatibility/2006">
      <mc:Choice Requires="x14">
        <control shapeId="1025" r:id="rId6" name="Print_Report">
          <controlPr defaultSize="0" autoLine="0" autoPict="0" r:id="rId7">
            <anchor moveWithCells="1">
              <from>
                <xdr:col>25</xdr:col>
                <xdr:colOff>247650</xdr:colOff>
                <xdr:row>13</xdr:row>
                <xdr:rowOff>161925</xdr:rowOff>
              </from>
              <to>
                <xdr:col>28</xdr:col>
                <xdr:colOff>9525</xdr:colOff>
                <xdr:row>15</xdr:row>
                <xdr:rowOff>104775</xdr:rowOff>
              </to>
            </anchor>
          </controlPr>
        </control>
      </mc:Choice>
      <mc:Fallback>
        <control shapeId="1025" r:id="rId6" name="Print_Repor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topLeftCell="A118" workbookViewId="0">
      <selection activeCell="H26" sqref="H4:H121"/>
    </sheetView>
  </sheetViews>
  <sheetFormatPr defaultRowHeight="15" x14ac:dyDescent="0.2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x14ac:dyDescent="0.25">
      <c r="A1" s="47" t="s">
        <v>346</v>
      </c>
      <c r="B1" s="789" t="s">
        <v>652</v>
      </c>
      <c r="G1" s="47" t="s">
        <v>768</v>
      </c>
      <c r="H1" s="789" t="s">
        <v>652</v>
      </c>
    </row>
    <row r="2" spans="1:10" x14ac:dyDescent="0.25">
      <c r="A2" s="47" t="s">
        <v>768</v>
      </c>
      <c r="B2" s="789" t="s">
        <v>652</v>
      </c>
    </row>
    <row r="3" spans="1:10" x14ac:dyDescent="0.25">
      <c r="G3" s="47" t="s">
        <v>9</v>
      </c>
      <c r="H3" s="47" t="s">
        <v>8</v>
      </c>
      <c r="I3" s="47" t="s">
        <v>346</v>
      </c>
      <c r="J3" t="s">
        <v>653</v>
      </c>
    </row>
    <row r="4" spans="1:10" x14ac:dyDescent="0.25">
      <c r="A4" s="47" t="s">
        <v>0</v>
      </c>
      <c r="B4" s="47" t="s">
        <v>9</v>
      </c>
      <c r="C4" t="s">
        <v>651</v>
      </c>
      <c r="G4" s="789" t="s">
        <v>57</v>
      </c>
      <c r="H4" s="789" t="s">
        <v>144</v>
      </c>
      <c r="I4" s="789" t="s">
        <v>348</v>
      </c>
      <c r="J4" s="4">
        <v>251</v>
      </c>
    </row>
    <row r="5" spans="1:10" x14ac:dyDescent="0.25">
      <c r="A5" s="789" t="s">
        <v>607</v>
      </c>
      <c r="B5" s="789" t="s">
        <v>474</v>
      </c>
      <c r="C5" s="4">
        <v>1</v>
      </c>
      <c r="G5" s="789" t="s">
        <v>46</v>
      </c>
      <c r="H5" s="789" t="s">
        <v>132</v>
      </c>
      <c r="I5" s="789" t="s">
        <v>1005</v>
      </c>
      <c r="J5" s="4">
        <v>24</v>
      </c>
    </row>
    <row r="6" spans="1:10" x14ac:dyDescent="0.25">
      <c r="A6" s="789" t="s">
        <v>607</v>
      </c>
      <c r="B6" s="789" t="s">
        <v>58</v>
      </c>
      <c r="C6" s="4">
        <v>1</v>
      </c>
      <c r="G6" s="789" t="s">
        <v>49</v>
      </c>
      <c r="H6" s="789" t="s">
        <v>135</v>
      </c>
      <c r="I6" s="789" t="s">
        <v>1005</v>
      </c>
      <c r="J6" s="4">
        <v>14</v>
      </c>
    </row>
    <row r="7" spans="1:10" x14ac:dyDescent="0.25">
      <c r="A7" s="789" t="s">
        <v>15</v>
      </c>
      <c r="B7" s="789" t="s">
        <v>46</v>
      </c>
      <c r="C7" s="4">
        <v>1</v>
      </c>
      <c r="G7" s="789" t="s">
        <v>56</v>
      </c>
      <c r="H7" s="789" t="s">
        <v>142</v>
      </c>
      <c r="I7" s="789" t="s">
        <v>1005</v>
      </c>
      <c r="J7" s="4">
        <v>32</v>
      </c>
    </row>
    <row r="8" spans="1:10" x14ac:dyDescent="0.25">
      <c r="A8" s="789" t="s">
        <v>15</v>
      </c>
      <c r="B8" s="789" t="s">
        <v>49</v>
      </c>
      <c r="C8" s="4">
        <v>1</v>
      </c>
      <c r="G8" s="789" t="s">
        <v>40</v>
      </c>
      <c r="H8" s="789" t="s">
        <v>126</v>
      </c>
      <c r="I8" s="789" t="s">
        <v>348</v>
      </c>
      <c r="J8" s="4">
        <v>1238</v>
      </c>
    </row>
    <row r="9" spans="1:10" x14ac:dyDescent="0.25">
      <c r="A9" s="789" t="s">
        <v>15</v>
      </c>
      <c r="B9" s="789" t="s">
        <v>48</v>
      </c>
      <c r="C9" s="4">
        <v>1</v>
      </c>
      <c r="G9" s="789" t="s">
        <v>48</v>
      </c>
      <c r="H9" s="789" t="s">
        <v>134</v>
      </c>
      <c r="I9" s="789" t="s">
        <v>1005</v>
      </c>
      <c r="J9" s="4">
        <v>92</v>
      </c>
    </row>
    <row r="10" spans="1:10" x14ac:dyDescent="0.25">
      <c r="A10" s="789" t="s">
        <v>15</v>
      </c>
      <c r="B10" s="789" t="s">
        <v>51</v>
      </c>
      <c r="C10" s="4">
        <v>1</v>
      </c>
      <c r="G10" s="789" t="s">
        <v>110</v>
      </c>
      <c r="H10" s="789" t="s">
        <v>198</v>
      </c>
      <c r="I10" s="789" t="s">
        <v>349</v>
      </c>
      <c r="J10" s="4"/>
    </row>
    <row r="11" spans="1:10" x14ac:dyDescent="0.25">
      <c r="A11" s="789" t="s">
        <v>15</v>
      </c>
      <c r="B11" s="789" t="s">
        <v>50</v>
      </c>
      <c r="C11" s="4">
        <v>1</v>
      </c>
      <c r="G11" s="789" t="s">
        <v>90</v>
      </c>
      <c r="H11" s="789" t="s">
        <v>178</v>
      </c>
      <c r="I11" s="789" t="s">
        <v>349</v>
      </c>
      <c r="J11" s="4"/>
    </row>
    <row r="12" spans="1:10" x14ac:dyDescent="0.25">
      <c r="A12" s="789" t="s">
        <v>15</v>
      </c>
      <c r="B12" s="789" t="s">
        <v>54</v>
      </c>
      <c r="C12" s="4">
        <v>1</v>
      </c>
      <c r="G12" s="789" t="s">
        <v>30</v>
      </c>
      <c r="H12" s="789" t="s">
        <v>116</v>
      </c>
      <c r="I12" s="789" t="s">
        <v>1005</v>
      </c>
      <c r="J12" s="4">
        <v>86</v>
      </c>
    </row>
    <row r="13" spans="1:10" x14ac:dyDescent="0.25">
      <c r="A13" s="789" t="s">
        <v>15</v>
      </c>
      <c r="B13" s="789" t="s">
        <v>44</v>
      </c>
      <c r="C13" s="4">
        <v>1</v>
      </c>
      <c r="G13" s="789" t="s">
        <v>39</v>
      </c>
      <c r="H13" s="789" t="s">
        <v>125</v>
      </c>
      <c r="I13" s="789" t="s">
        <v>1004</v>
      </c>
      <c r="J13" s="4">
        <v>21</v>
      </c>
    </row>
    <row r="14" spans="1:10" x14ac:dyDescent="0.25">
      <c r="A14" s="789" t="s">
        <v>15</v>
      </c>
      <c r="B14" s="789" t="s">
        <v>47</v>
      </c>
      <c r="C14" s="4">
        <v>1</v>
      </c>
      <c r="G14" s="789" t="s">
        <v>61</v>
      </c>
      <c r="H14" s="789" t="s">
        <v>149</v>
      </c>
      <c r="I14" s="789" t="s">
        <v>348</v>
      </c>
      <c r="J14" s="4">
        <v>397</v>
      </c>
    </row>
    <row r="15" spans="1:10" x14ac:dyDescent="0.25">
      <c r="A15" s="789" t="s">
        <v>15</v>
      </c>
      <c r="B15" s="789" t="s">
        <v>53</v>
      </c>
      <c r="C15" s="4">
        <v>1</v>
      </c>
      <c r="G15" s="789" t="s">
        <v>100</v>
      </c>
      <c r="H15" s="789" t="s">
        <v>188</v>
      </c>
      <c r="I15" s="789" t="s">
        <v>349</v>
      </c>
      <c r="J15" s="4"/>
    </row>
    <row r="16" spans="1:10" x14ac:dyDescent="0.25">
      <c r="A16" s="789" t="s">
        <v>15</v>
      </c>
      <c r="B16" s="789" t="s">
        <v>45</v>
      </c>
      <c r="C16" s="4">
        <v>1</v>
      </c>
      <c r="G16" s="789" t="s">
        <v>62</v>
      </c>
      <c r="H16" s="789" t="s">
        <v>150</v>
      </c>
      <c r="I16" s="789" t="s">
        <v>349</v>
      </c>
      <c r="J16" s="4"/>
    </row>
    <row r="17" spans="1:10" x14ac:dyDescent="0.25">
      <c r="A17" s="789" t="s">
        <v>15</v>
      </c>
      <c r="B17" s="789" t="s">
        <v>52</v>
      </c>
      <c r="C17" s="4">
        <v>1</v>
      </c>
      <c r="G17" s="789" t="s">
        <v>552</v>
      </c>
      <c r="H17" s="789" t="s">
        <v>553</v>
      </c>
      <c r="I17" s="789" t="s">
        <v>348</v>
      </c>
      <c r="J17" s="4">
        <v>41</v>
      </c>
    </row>
    <row r="18" spans="1:10" x14ac:dyDescent="0.25">
      <c r="A18" s="789" t="s">
        <v>20</v>
      </c>
      <c r="B18" s="789" t="s">
        <v>110</v>
      </c>
      <c r="C18" s="4">
        <v>1</v>
      </c>
      <c r="G18" s="789" t="s">
        <v>629</v>
      </c>
      <c r="H18" s="789" t="s">
        <v>631</v>
      </c>
      <c r="I18" s="789" t="s">
        <v>348</v>
      </c>
      <c r="J18" s="4">
        <v>1011</v>
      </c>
    </row>
    <row r="19" spans="1:10" x14ac:dyDescent="0.25">
      <c r="A19" s="789" t="s">
        <v>20</v>
      </c>
      <c r="B19" s="789" t="s">
        <v>100</v>
      </c>
      <c r="C19" s="4">
        <v>1</v>
      </c>
      <c r="G19" s="789" t="s">
        <v>630</v>
      </c>
      <c r="H19" s="789" t="s">
        <v>632</v>
      </c>
      <c r="I19" s="789" t="s">
        <v>348</v>
      </c>
      <c r="J19" s="4">
        <v>1289</v>
      </c>
    </row>
    <row r="20" spans="1:10" x14ac:dyDescent="0.25">
      <c r="A20" s="789" t="s">
        <v>20</v>
      </c>
      <c r="B20" s="789" t="s">
        <v>105</v>
      </c>
      <c r="C20" s="4">
        <v>1</v>
      </c>
      <c r="G20" s="789" t="s">
        <v>105</v>
      </c>
      <c r="H20" s="789" t="s">
        <v>193</v>
      </c>
      <c r="I20" s="789" t="s">
        <v>348</v>
      </c>
      <c r="J20" s="4">
        <v>12</v>
      </c>
    </row>
    <row r="21" spans="1:10" x14ac:dyDescent="0.25">
      <c r="A21" s="789" t="s">
        <v>20</v>
      </c>
      <c r="B21" s="789" t="s">
        <v>613</v>
      </c>
      <c r="C21" s="4">
        <v>1</v>
      </c>
      <c r="G21" s="789" t="s">
        <v>613</v>
      </c>
      <c r="H21" s="789" t="s">
        <v>617</v>
      </c>
      <c r="I21" s="789" t="s">
        <v>349</v>
      </c>
      <c r="J21" s="4"/>
    </row>
    <row r="22" spans="1:10" x14ac:dyDescent="0.25">
      <c r="A22" s="789" t="s">
        <v>20</v>
      </c>
      <c r="B22" s="789" t="s">
        <v>109</v>
      </c>
      <c r="C22" s="4">
        <v>1</v>
      </c>
      <c r="G22" s="789" t="s">
        <v>73</v>
      </c>
      <c r="H22" s="789" t="s">
        <v>161</v>
      </c>
      <c r="I22" s="789" t="s">
        <v>349</v>
      </c>
      <c r="J22" s="4"/>
    </row>
    <row r="23" spans="1:10" x14ac:dyDescent="0.25">
      <c r="A23" s="789" t="s">
        <v>20</v>
      </c>
      <c r="B23" s="789" t="s">
        <v>616</v>
      </c>
      <c r="C23" s="4">
        <v>1</v>
      </c>
      <c r="G23" s="789" t="s">
        <v>74</v>
      </c>
      <c r="H23" s="789" t="s">
        <v>162</v>
      </c>
      <c r="I23" s="789" t="s">
        <v>349</v>
      </c>
      <c r="J23" s="4"/>
    </row>
    <row r="24" spans="1:10" x14ac:dyDescent="0.25">
      <c r="A24" s="789" t="s">
        <v>20</v>
      </c>
      <c r="B24" s="789" t="s">
        <v>102</v>
      </c>
      <c r="C24" s="4">
        <v>1</v>
      </c>
      <c r="G24" s="789" t="s">
        <v>604</v>
      </c>
      <c r="H24" s="789" t="s">
        <v>143</v>
      </c>
      <c r="I24" s="789" t="s">
        <v>348</v>
      </c>
      <c r="J24" s="4">
        <v>217</v>
      </c>
    </row>
    <row r="25" spans="1:10" x14ac:dyDescent="0.25">
      <c r="A25" s="789" t="s">
        <v>20</v>
      </c>
      <c r="B25" s="789" t="s">
        <v>101</v>
      </c>
      <c r="C25" s="4">
        <v>1</v>
      </c>
      <c r="G25" s="789" t="s">
        <v>80</v>
      </c>
      <c r="H25" s="789" t="s">
        <v>168</v>
      </c>
      <c r="I25" s="789" t="s">
        <v>349</v>
      </c>
      <c r="J25" s="4"/>
    </row>
    <row r="26" spans="1:10" x14ac:dyDescent="0.25">
      <c r="A26" s="789" t="s">
        <v>20</v>
      </c>
      <c r="B26" s="789" t="s">
        <v>99</v>
      </c>
      <c r="C26" s="4">
        <v>1</v>
      </c>
      <c r="G26" s="789" t="s">
        <v>81</v>
      </c>
      <c r="H26" s="789" t="s">
        <v>169</v>
      </c>
      <c r="I26" s="789" t="s">
        <v>349</v>
      </c>
      <c r="J26" s="4"/>
    </row>
    <row r="27" spans="1:10" x14ac:dyDescent="0.25">
      <c r="A27" s="789" t="s">
        <v>20</v>
      </c>
      <c r="B27" s="789" t="s">
        <v>108</v>
      </c>
      <c r="C27" s="4">
        <v>1</v>
      </c>
      <c r="G27" s="789" t="s">
        <v>77</v>
      </c>
      <c r="H27" s="789" t="s">
        <v>165</v>
      </c>
      <c r="I27" s="789" t="s">
        <v>349</v>
      </c>
      <c r="J27" s="4"/>
    </row>
    <row r="28" spans="1:10" x14ac:dyDescent="0.25">
      <c r="A28" s="789" t="s">
        <v>20</v>
      </c>
      <c r="B28" s="789" t="s">
        <v>97</v>
      </c>
      <c r="C28" s="4">
        <v>1</v>
      </c>
      <c r="G28" s="789" t="s">
        <v>63</v>
      </c>
      <c r="H28" s="789" t="s">
        <v>151</v>
      </c>
      <c r="I28" s="789" t="s">
        <v>348</v>
      </c>
      <c r="J28" s="4">
        <v>1431</v>
      </c>
    </row>
    <row r="29" spans="1:10" x14ac:dyDescent="0.25">
      <c r="A29" s="789" t="s">
        <v>20</v>
      </c>
      <c r="B29" s="789" t="s">
        <v>871</v>
      </c>
      <c r="C29" s="4">
        <v>1</v>
      </c>
      <c r="G29" s="789" t="s">
        <v>542</v>
      </c>
      <c r="H29" s="789" t="s">
        <v>543</v>
      </c>
      <c r="I29" s="789" t="s">
        <v>348</v>
      </c>
      <c r="J29" s="4">
        <v>518</v>
      </c>
    </row>
    <row r="30" spans="1:10" x14ac:dyDescent="0.25">
      <c r="A30" s="789" t="s">
        <v>20</v>
      </c>
      <c r="B30" s="789" t="s">
        <v>103</v>
      </c>
      <c r="C30" s="4">
        <v>1</v>
      </c>
      <c r="G30" s="789" t="s">
        <v>79</v>
      </c>
      <c r="H30" s="789" t="s">
        <v>167</v>
      </c>
      <c r="I30" s="789" t="s">
        <v>349</v>
      </c>
      <c r="J30" s="4"/>
    </row>
    <row r="31" spans="1:10" x14ac:dyDescent="0.25">
      <c r="A31" s="789" t="s">
        <v>20</v>
      </c>
      <c r="B31" s="789" t="s">
        <v>872</v>
      </c>
      <c r="C31" s="4">
        <v>1</v>
      </c>
      <c r="G31" s="789" t="s">
        <v>109</v>
      </c>
      <c r="H31" s="789" t="s">
        <v>197</v>
      </c>
      <c r="I31" s="789" t="s">
        <v>348</v>
      </c>
      <c r="J31" s="4">
        <v>48</v>
      </c>
    </row>
    <row r="32" spans="1:10" x14ac:dyDescent="0.25">
      <c r="A32" s="789" t="s">
        <v>20</v>
      </c>
      <c r="B32" s="789" t="s">
        <v>98</v>
      </c>
      <c r="C32" s="4">
        <v>1</v>
      </c>
      <c r="G32" s="789" t="s">
        <v>51</v>
      </c>
      <c r="H32" s="789" t="s">
        <v>137</v>
      </c>
      <c r="I32" s="789" t="s">
        <v>1005</v>
      </c>
      <c r="J32" s="4">
        <v>116</v>
      </c>
    </row>
    <row r="33" spans="1:10" x14ac:dyDescent="0.25">
      <c r="A33" s="789" t="s">
        <v>20</v>
      </c>
      <c r="B33" s="789" t="s">
        <v>107</v>
      </c>
      <c r="C33" s="4">
        <v>1</v>
      </c>
      <c r="G33" s="789" t="s">
        <v>94</v>
      </c>
      <c r="H33" s="789" t="s">
        <v>182</v>
      </c>
      <c r="I33" s="789" t="s">
        <v>349</v>
      </c>
      <c r="J33" s="4"/>
    </row>
    <row r="34" spans="1:10" x14ac:dyDescent="0.25">
      <c r="A34" s="789" t="s">
        <v>20</v>
      </c>
      <c r="B34" s="789" t="s">
        <v>873</v>
      </c>
      <c r="C34" s="4">
        <v>1</v>
      </c>
      <c r="G34" s="789" t="s">
        <v>82</v>
      </c>
      <c r="H34" s="789" t="s">
        <v>170</v>
      </c>
      <c r="I34" s="789" t="s">
        <v>349</v>
      </c>
      <c r="J34" s="4"/>
    </row>
    <row r="35" spans="1:10" x14ac:dyDescent="0.25">
      <c r="A35" s="789" t="s">
        <v>20</v>
      </c>
      <c r="B35" s="789" t="s">
        <v>106</v>
      </c>
      <c r="C35" s="4">
        <v>1</v>
      </c>
      <c r="G35" s="789" t="s">
        <v>550</v>
      </c>
      <c r="H35" s="789" t="s">
        <v>551</v>
      </c>
      <c r="I35" s="789" t="s">
        <v>349</v>
      </c>
      <c r="J35" s="4"/>
    </row>
    <row r="36" spans="1:10" x14ac:dyDescent="0.25">
      <c r="A36" s="789" t="s">
        <v>20</v>
      </c>
      <c r="B36" s="789" t="s">
        <v>614</v>
      </c>
      <c r="C36" s="4">
        <v>1</v>
      </c>
      <c r="G36" s="789" t="s">
        <v>71</v>
      </c>
      <c r="H36" s="789" t="s">
        <v>159</v>
      </c>
      <c r="I36" s="789" t="s">
        <v>349</v>
      </c>
      <c r="J36" s="4"/>
    </row>
    <row r="37" spans="1:10" x14ac:dyDescent="0.25">
      <c r="A37" s="789" t="s">
        <v>20</v>
      </c>
      <c r="B37" s="789" t="s">
        <v>615</v>
      </c>
      <c r="C37" s="4">
        <v>1</v>
      </c>
      <c r="G37" s="789" t="s">
        <v>616</v>
      </c>
      <c r="H37" s="789" t="s">
        <v>620</v>
      </c>
      <c r="I37" s="789" t="s">
        <v>348</v>
      </c>
      <c r="J37" s="4">
        <v>59</v>
      </c>
    </row>
    <row r="38" spans="1:10" x14ac:dyDescent="0.25">
      <c r="A38" s="789" t="s">
        <v>11</v>
      </c>
      <c r="B38" s="789" t="s">
        <v>30</v>
      </c>
      <c r="C38" s="4">
        <v>1</v>
      </c>
      <c r="G38" s="789" t="s">
        <v>50</v>
      </c>
      <c r="H38" s="789" t="s">
        <v>136</v>
      </c>
      <c r="I38" s="789" t="s">
        <v>1005</v>
      </c>
      <c r="J38" s="4">
        <v>236</v>
      </c>
    </row>
    <row r="39" spans="1:10" x14ac:dyDescent="0.25">
      <c r="A39" s="789" t="s">
        <v>11</v>
      </c>
      <c r="B39" s="789" t="s">
        <v>28</v>
      </c>
      <c r="C39" s="4">
        <v>1</v>
      </c>
      <c r="G39" s="789" t="s">
        <v>474</v>
      </c>
      <c r="H39" s="789" t="s">
        <v>146</v>
      </c>
      <c r="I39" s="789" t="s">
        <v>348</v>
      </c>
      <c r="J39" s="4">
        <v>65</v>
      </c>
    </row>
    <row r="40" spans="1:10" x14ac:dyDescent="0.25">
      <c r="A40" s="789" t="s">
        <v>11</v>
      </c>
      <c r="B40" s="789" t="s">
        <v>25</v>
      </c>
      <c r="C40" s="4">
        <v>1</v>
      </c>
      <c r="G40" s="789" t="s">
        <v>37</v>
      </c>
      <c r="H40" s="789" t="s">
        <v>123</v>
      </c>
      <c r="I40" s="789" t="s">
        <v>1004</v>
      </c>
      <c r="J40" s="4">
        <v>42</v>
      </c>
    </row>
    <row r="41" spans="1:10" x14ac:dyDescent="0.25">
      <c r="A41" s="789" t="s">
        <v>11</v>
      </c>
      <c r="B41" s="789" t="s">
        <v>32</v>
      </c>
      <c r="C41" s="4">
        <v>1</v>
      </c>
      <c r="G41" s="789" t="s">
        <v>102</v>
      </c>
      <c r="H41" s="789" t="s">
        <v>190</v>
      </c>
      <c r="I41" s="789" t="s">
        <v>349</v>
      </c>
      <c r="J41" s="4"/>
    </row>
    <row r="42" spans="1:10" x14ac:dyDescent="0.25">
      <c r="A42" s="789" t="s">
        <v>11</v>
      </c>
      <c r="B42" s="789" t="s">
        <v>27</v>
      </c>
      <c r="C42" s="4">
        <v>1</v>
      </c>
      <c r="G42" s="789" t="s">
        <v>92</v>
      </c>
      <c r="H42" s="789" t="s">
        <v>180</v>
      </c>
      <c r="I42" s="789" t="s">
        <v>349</v>
      </c>
      <c r="J42" s="4"/>
    </row>
    <row r="43" spans="1:10" x14ac:dyDescent="0.25">
      <c r="A43" s="789" t="s">
        <v>11</v>
      </c>
      <c r="B43" s="789" t="s">
        <v>557</v>
      </c>
      <c r="C43" s="4">
        <v>1</v>
      </c>
      <c r="G43" s="789" t="s">
        <v>64</v>
      </c>
      <c r="H43" s="789" t="s">
        <v>152</v>
      </c>
      <c r="I43" s="789" t="s">
        <v>348</v>
      </c>
      <c r="J43" s="4">
        <v>799</v>
      </c>
    </row>
    <row r="44" spans="1:10" x14ac:dyDescent="0.25">
      <c r="A44" s="789" t="s">
        <v>11</v>
      </c>
      <c r="B44" s="789" t="s">
        <v>26</v>
      </c>
      <c r="C44" s="4">
        <v>1</v>
      </c>
      <c r="G44" s="789" t="s">
        <v>54</v>
      </c>
      <c r="H44" s="789" t="s">
        <v>140</v>
      </c>
      <c r="I44" s="789" t="s">
        <v>1004</v>
      </c>
      <c r="J44" s="4">
        <v>97</v>
      </c>
    </row>
    <row r="45" spans="1:10" x14ac:dyDescent="0.25">
      <c r="A45" s="789" t="s">
        <v>11</v>
      </c>
      <c r="B45" s="789" t="s">
        <v>29</v>
      </c>
      <c r="C45" s="4">
        <v>1</v>
      </c>
      <c r="G45" s="789" t="s">
        <v>101</v>
      </c>
      <c r="H45" s="789" t="s">
        <v>189</v>
      </c>
      <c r="I45" s="789" t="s">
        <v>349</v>
      </c>
      <c r="J45" s="4"/>
    </row>
    <row r="46" spans="1:10" x14ac:dyDescent="0.25">
      <c r="A46" s="789" t="s">
        <v>11</v>
      </c>
      <c r="B46" s="789" t="s">
        <v>31</v>
      </c>
      <c r="C46" s="4">
        <v>1</v>
      </c>
      <c r="G46" s="789" t="s">
        <v>400</v>
      </c>
      <c r="H46" s="789" t="s">
        <v>605</v>
      </c>
      <c r="I46" s="789" t="s">
        <v>348</v>
      </c>
      <c r="J46" s="4">
        <v>193</v>
      </c>
    </row>
    <row r="47" spans="1:10" x14ac:dyDescent="0.25">
      <c r="A47" s="789" t="s">
        <v>1002</v>
      </c>
      <c r="B47" s="789" t="s">
        <v>35</v>
      </c>
      <c r="C47" s="4">
        <v>1</v>
      </c>
      <c r="G47" s="789" t="s">
        <v>99</v>
      </c>
      <c r="H47" s="789" t="s">
        <v>187</v>
      </c>
      <c r="I47" s="789" t="s">
        <v>349</v>
      </c>
      <c r="J47" s="4"/>
    </row>
    <row r="48" spans="1:10" x14ac:dyDescent="0.25">
      <c r="A48" s="789" t="s">
        <v>1002</v>
      </c>
      <c r="B48" s="789" t="s">
        <v>33</v>
      </c>
      <c r="C48" s="4">
        <v>1</v>
      </c>
      <c r="G48" s="789" t="s">
        <v>58</v>
      </c>
      <c r="H48" s="789" t="s">
        <v>145</v>
      </c>
      <c r="I48" s="789" t="s">
        <v>348</v>
      </c>
      <c r="J48" s="4">
        <v>427</v>
      </c>
    </row>
    <row r="49" spans="1:10" x14ac:dyDescent="0.25">
      <c r="A49" s="789" t="s">
        <v>1002</v>
      </c>
      <c r="B49" s="789" t="s">
        <v>36</v>
      </c>
      <c r="C49" s="4">
        <v>1</v>
      </c>
      <c r="G49" s="789" t="s">
        <v>42</v>
      </c>
      <c r="H49" s="789" t="s">
        <v>128</v>
      </c>
      <c r="I49" s="789" t="s">
        <v>348</v>
      </c>
      <c r="J49" s="4">
        <v>1012</v>
      </c>
    </row>
    <row r="50" spans="1:10" x14ac:dyDescent="0.25">
      <c r="A50" s="789" t="s">
        <v>1002</v>
      </c>
      <c r="B50" s="789" t="s">
        <v>626</v>
      </c>
      <c r="C50" s="4">
        <v>1</v>
      </c>
      <c r="G50" s="789" t="s">
        <v>108</v>
      </c>
      <c r="H50" s="789" t="s">
        <v>196</v>
      </c>
      <c r="I50" s="789" t="s">
        <v>349</v>
      </c>
      <c r="J50" s="4"/>
    </row>
    <row r="51" spans="1:10" x14ac:dyDescent="0.25">
      <c r="A51" s="789" t="s">
        <v>1002</v>
      </c>
      <c r="B51" s="789" t="s">
        <v>34</v>
      </c>
      <c r="C51" s="4">
        <v>1</v>
      </c>
      <c r="G51" s="789" t="s">
        <v>83</v>
      </c>
      <c r="H51" s="789" t="s">
        <v>171</v>
      </c>
      <c r="I51" s="789" t="s">
        <v>349</v>
      </c>
      <c r="J51" s="4"/>
    </row>
    <row r="52" spans="1:10" x14ac:dyDescent="0.25">
      <c r="A52" s="789" t="s">
        <v>866</v>
      </c>
      <c r="B52" s="789" t="s">
        <v>37</v>
      </c>
      <c r="C52" s="4">
        <v>1</v>
      </c>
      <c r="G52" s="789" t="s">
        <v>44</v>
      </c>
      <c r="H52" s="789" t="s">
        <v>130</v>
      </c>
      <c r="I52" s="789" t="s">
        <v>1005</v>
      </c>
      <c r="J52" s="4">
        <v>18</v>
      </c>
    </row>
    <row r="53" spans="1:10" x14ac:dyDescent="0.25">
      <c r="A53" s="789" t="s">
        <v>866</v>
      </c>
      <c r="B53" s="789" t="s">
        <v>38</v>
      </c>
      <c r="C53" s="4">
        <v>1</v>
      </c>
      <c r="G53" s="789" t="s">
        <v>75</v>
      </c>
      <c r="H53" s="789" t="s">
        <v>163</v>
      </c>
      <c r="I53" s="789" t="s">
        <v>349</v>
      </c>
      <c r="J53" s="4"/>
    </row>
    <row r="54" spans="1:10" x14ac:dyDescent="0.25">
      <c r="A54" s="789" t="s">
        <v>14</v>
      </c>
      <c r="B54" s="789" t="s">
        <v>40</v>
      </c>
      <c r="C54" s="4">
        <v>1</v>
      </c>
      <c r="G54" s="789" t="s">
        <v>93</v>
      </c>
      <c r="H54" s="789" t="s">
        <v>181</v>
      </c>
      <c r="I54" s="789" t="s">
        <v>349</v>
      </c>
      <c r="J54" s="4"/>
    </row>
    <row r="55" spans="1:10" x14ac:dyDescent="0.25">
      <c r="A55" s="789" t="s">
        <v>14</v>
      </c>
      <c r="B55" s="789" t="s">
        <v>39</v>
      </c>
      <c r="C55" s="4">
        <v>1</v>
      </c>
      <c r="G55" s="789" t="s">
        <v>628</v>
      </c>
      <c r="H55" s="789" t="s">
        <v>281</v>
      </c>
      <c r="I55" s="789" t="s">
        <v>348</v>
      </c>
      <c r="J55" s="4">
        <v>622</v>
      </c>
    </row>
    <row r="56" spans="1:10" x14ac:dyDescent="0.25">
      <c r="A56" s="789" t="s">
        <v>14</v>
      </c>
      <c r="B56" s="789" t="s">
        <v>42</v>
      </c>
      <c r="C56" s="4">
        <v>1</v>
      </c>
      <c r="G56" s="789" t="s">
        <v>97</v>
      </c>
      <c r="H56" s="789" t="s">
        <v>185</v>
      </c>
      <c r="I56" s="789" t="s">
        <v>349</v>
      </c>
      <c r="J56" s="4"/>
    </row>
    <row r="57" spans="1:10" x14ac:dyDescent="0.25">
      <c r="A57" s="789" t="s">
        <v>14</v>
      </c>
      <c r="B57" s="789" t="s">
        <v>1066</v>
      </c>
      <c r="C57" s="4">
        <v>1</v>
      </c>
      <c r="G57" s="789" t="s">
        <v>76</v>
      </c>
      <c r="H57" s="789" t="s">
        <v>164</v>
      </c>
      <c r="I57" s="789" t="s">
        <v>349</v>
      </c>
      <c r="J57" s="4"/>
    </row>
    <row r="58" spans="1:10" x14ac:dyDescent="0.25">
      <c r="A58" s="789" t="s">
        <v>14</v>
      </c>
      <c r="B58" s="789" t="s">
        <v>1067</v>
      </c>
      <c r="C58" s="4">
        <v>1</v>
      </c>
      <c r="G58" s="789" t="s">
        <v>35</v>
      </c>
      <c r="H58" s="789" t="s">
        <v>121</v>
      </c>
      <c r="I58" s="789" t="s">
        <v>349</v>
      </c>
      <c r="J58" s="4"/>
    </row>
    <row r="59" spans="1:10" x14ac:dyDescent="0.25">
      <c r="A59" s="789" t="s">
        <v>14</v>
      </c>
      <c r="B59" s="789" t="s">
        <v>43</v>
      </c>
      <c r="C59" s="4">
        <v>1</v>
      </c>
      <c r="G59" s="789" t="s">
        <v>84</v>
      </c>
      <c r="H59" s="789" t="s">
        <v>172</v>
      </c>
      <c r="I59" s="789" t="s">
        <v>349</v>
      </c>
      <c r="J59" s="4"/>
    </row>
    <row r="60" spans="1:10" x14ac:dyDescent="0.25">
      <c r="A60" s="789" t="s">
        <v>14</v>
      </c>
      <c r="B60" s="789" t="s">
        <v>541</v>
      </c>
      <c r="C60" s="4">
        <v>1</v>
      </c>
      <c r="G60" s="789" t="s">
        <v>871</v>
      </c>
      <c r="H60" s="789" t="s">
        <v>192</v>
      </c>
      <c r="I60" s="789" t="s">
        <v>348</v>
      </c>
      <c r="J60" s="4">
        <v>8</v>
      </c>
    </row>
    <row r="61" spans="1:10" x14ac:dyDescent="0.25">
      <c r="A61" s="789" t="s">
        <v>18</v>
      </c>
      <c r="B61" s="789" t="s">
        <v>60</v>
      </c>
      <c r="C61" s="4">
        <v>1</v>
      </c>
      <c r="G61" s="789" t="s">
        <v>28</v>
      </c>
      <c r="H61" s="789" t="s">
        <v>114</v>
      </c>
      <c r="I61" s="789" t="s">
        <v>349</v>
      </c>
      <c r="J61" s="4"/>
    </row>
    <row r="62" spans="1:10" x14ac:dyDescent="0.25">
      <c r="A62" s="789" t="s">
        <v>18</v>
      </c>
      <c r="B62" s="789" t="s">
        <v>59</v>
      </c>
      <c r="C62" s="4">
        <v>1</v>
      </c>
      <c r="G62" s="789" t="s">
        <v>1066</v>
      </c>
      <c r="H62" s="789" t="s">
        <v>127</v>
      </c>
      <c r="I62" s="789" t="s">
        <v>1004</v>
      </c>
      <c r="J62" s="4">
        <v>891</v>
      </c>
    </row>
    <row r="63" spans="1:10" x14ac:dyDescent="0.25">
      <c r="A63" s="789" t="s">
        <v>16</v>
      </c>
      <c r="B63" s="789" t="s">
        <v>57</v>
      </c>
      <c r="C63" s="4">
        <v>1</v>
      </c>
      <c r="G63" s="789" t="s">
        <v>1067</v>
      </c>
      <c r="H63" s="789" t="s">
        <v>127</v>
      </c>
      <c r="I63" s="789" t="s">
        <v>348</v>
      </c>
      <c r="J63" s="4">
        <v>856</v>
      </c>
    </row>
    <row r="64" spans="1:10" x14ac:dyDescent="0.25">
      <c r="A64" s="789" t="s">
        <v>16</v>
      </c>
      <c r="B64" s="789" t="s">
        <v>56</v>
      </c>
      <c r="C64" s="4">
        <v>1</v>
      </c>
      <c r="G64" s="789" t="s">
        <v>47</v>
      </c>
      <c r="H64" s="789" t="s">
        <v>133</v>
      </c>
      <c r="I64" s="789" t="s">
        <v>348</v>
      </c>
      <c r="J64" s="4">
        <v>85</v>
      </c>
    </row>
    <row r="65" spans="1:10" x14ac:dyDescent="0.25">
      <c r="A65" s="789" t="s">
        <v>16</v>
      </c>
      <c r="B65" s="789" t="s">
        <v>604</v>
      </c>
      <c r="C65" s="4">
        <v>1</v>
      </c>
      <c r="G65" s="789" t="s">
        <v>55</v>
      </c>
      <c r="H65" s="789" t="s">
        <v>141</v>
      </c>
      <c r="I65" s="789" t="s">
        <v>1005</v>
      </c>
      <c r="J65" s="4">
        <v>54</v>
      </c>
    </row>
    <row r="66" spans="1:10" x14ac:dyDescent="0.25">
      <c r="A66" s="789" t="s">
        <v>16</v>
      </c>
      <c r="B66" s="789" t="s">
        <v>400</v>
      </c>
      <c r="C66" s="4">
        <v>1</v>
      </c>
      <c r="G66" s="789" t="s">
        <v>103</v>
      </c>
      <c r="H66" s="789" t="s">
        <v>191</v>
      </c>
      <c r="I66" s="789" t="s">
        <v>1005</v>
      </c>
      <c r="J66" s="4">
        <v>17</v>
      </c>
    </row>
    <row r="67" spans="1:10" x14ac:dyDescent="0.25">
      <c r="A67" s="789" t="s">
        <v>16</v>
      </c>
      <c r="B67" s="789" t="s">
        <v>55</v>
      </c>
      <c r="C67" s="4">
        <v>1</v>
      </c>
      <c r="G67" s="789" t="s">
        <v>633</v>
      </c>
      <c r="H67" s="789" t="s">
        <v>545</v>
      </c>
      <c r="I67" s="789" t="s">
        <v>348</v>
      </c>
      <c r="J67" s="4">
        <v>681</v>
      </c>
    </row>
    <row r="68" spans="1:10" x14ac:dyDescent="0.25">
      <c r="A68" s="789" t="s">
        <v>19</v>
      </c>
      <c r="B68" s="789" t="s">
        <v>90</v>
      </c>
      <c r="C68" s="4">
        <v>1</v>
      </c>
      <c r="G68" s="789" t="s">
        <v>634</v>
      </c>
      <c r="H68" s="789" t="s">
        <v>636</v>
      </c>
      <c r="I68" s="789" t="s">
        <v>348</v>
      </c>
      <c r="J68" s="4">
        <v>2640</v>
      </c>
    </row>
    <row r="69" spans="1:10" x14ac:dyDescent="0.25">
      <c r="A69" s="789" t="s">
        <v>19</v>
      </c>
      <c r="B69" s="789" t="s">
        <v>61</v>
      </c>
      <c r="C69" s="4">
        <v>1</v>
      </c>
      <c r="G69" s="789" t="s">
        <v>635</v>
      </c>
      <c r="H69" s="789" t="s">
        <v>637</v>
      </c>
      <c r="I69" s="789" t="s">
        <v>348</v>
      </c>
      <c r="J69" s="4">
        <v>2256</v>
      </c>
    </row>
    <row r="70" spans="1:10" x14ac:dyDescent="0.25">
      <c r="A70" s="789" t="s">
        <v>19</v>
      </c>
      <c r="B70" s="789" t="s">
        <v>62</v>
      </c>
      <c r="C70" s="4">
        <v>1</v>
      </c>
      <c r="G70" s="789" t="s">
        <v>65</v>
      </c>
      <c r="H70" s="789" t="s">
        <v>153</v>
      </c>
      <c r="I70" s="789" t="s">
        <v>349</v>
      </c>
      <c r="J70" s="4"/>
    </row>
    <row r="71" spans="1:10" x14ac:dyDescent="0.25">
      <c r="A71" s="789" t="s">
        <v>19</v>
      </c>
      <c r="B71" s="789" t="s">
        <v>552</v>
      </c>
      <c r="C71" s="4">
        <v>1</v>
      </c>
      <c r="G71" s="789" t="s">
        <v>244</v>
      </c>
      <c r="H71" s="789" t="s">
        <v>279</v>
      </c>
      <c r="I71" s="789" t="s">
        <v>349</v>
      </c>
      <c r="J71" s="4"/>
    </row>
    <row r="72" spans="1:10" x14ac:dyDescent="0.25">
      <c r="A72" s="789" t="s">
        <v>19</v>
      </c>
      <c r="B72" s="789" t="s">
        <v>629</v>
      </c>
      <c r="C72" s="4">
        <v>1</v>
      </c>
      <c r="G72" s="789" t="s">
        <v>275</v>
      </c>
      <c r="H72" s="789" t="s">
        <v>546</v>
      </c>
      <c r="I72" s="789" t="s">
        <v>349</v>
      </c>
      <c r="J72" s="4"/>
    </row>
    <row r="73" spans="1:10" x14ac:dyDescent="0.25">
      <c r="A73" s="789" t="s">
        <v>19</v>
      </c>
      <c r="B73" s="789" t="s">
        <v>630</v>
      </c>
      <c r="C73" s="4">
        <v>1</v>
      </c>
      <c r="G73" s="789" t="s">
        <v>276</v>
      </c>
      <c r="H73" s="789" t="s">
        <v>547</v>
      </c>
      <c r="I73" s="789" t="s">
        <v>349</v>
      </c>
      <c r="J73" s="4"/>
    </row>
    <row r="74" spans="1:10" x14ac:dyDescent="0.25">
      <c r="A74" s="789" t="s">
        <v>19</v>
      </c>
      <c r="B74" s="789" t="s">
        <v>73</v>
      </c>
      <c r="C74" s="4">
        <v>1</v>
      </c>
      <c r="G74" s="789" t="s">
        <v>72</v>
      </c>
      <c r="H74" s="789" t="s">
        <v>160</v>
      </c>
      <c r="I74" s="789" t="s">
        <v>349</v>
      </c>
      <c r="J74" s="4"/>
    </row>
    <row r="75" spans="1:10" x14ac:dyDescent="0.25">
      <c r="A75" s="789" t="s">
        <v>19</v>
      </c>
      <c r="B75" s="789" t="s">
        <v>74</v>
      </c>
      <c r="C75" s="4">
        <v>1</v>
      </c>
      <c r="G75" s="789" t="s">
        <v>33</v>
      </c>
      <c r="H75" s="789" t="s">
        <v>119</v>
      </c>
      <c r="I75" s="789" t="s">
        <v>1005</v>
      </c>
      <c r="J75" s="4">
        <v>204</v>
      </c>
    </row>
    <row r="76" spans="1:10" x14ac:dyDescent="0.25">
      <c r="A76" s="789" t="s">
        <v>19</v>
      </c>
      <c r="B76" s="789" t="s">
        <v>80</v>
      </c>
      <c r="C76" s="4">
        <v>1</v>
      </c>
      <c r="G76" s="789" t="s">
        <v>25</v>
      </c>
      <c r="H76" s="789" t="s">
        <v>111</v>
      </c>
      <c r="I76" s="789" t="s">
        <v>1005</v>
      </c>
      <c r="J76" s="4">
        <v>19</v>
      </c>
    </row>
    <row r="77" spans="1:10" x14ac:dyDescent="0.25">
      <c r="A77" s="789" t="s">
        <v>19</v>
      </c>
      <c r="B77" s="789" t="s">
        <v>81</v>
      </c>
      <c r="C77" s="4">
        <v>1</v>
      </c>
      <c r="G77" s="789" t="s">
        <v>66</v>
      </c>
      <c r="H77" s="789" t="s">
        <v>154</v>
      </c>
      <c r="I77" s="789" t="s">
        <v>349</v>
      </c>
      <c r="J77" s="4"/>
    </row>
    <row r="78" spans="1:10" x14ac:dyDescent="0.25">
      <c r="A78" s="789" t="s">
        <v>19</v>
      </c>
      <c r="B78" s="789" t="s">
        <v>77</v>
      </c>
      <c r="C78" s="4">
        <v>1</v>
      </c>
      <c r="G78" s="789" t="s">
        <v>85</v>
      </c>
      <c r="H78" s="789" t="s">
        <v>173</v>
      </c>
      <c r="I78" s="789" t="s">
        <v>349</v>
      </c>
      <c r="J78" s="4"/>
    </row>
    <row r="79" spans="1:10" x14ac:dyDescent="0.25">
      <c r="A79" s="789" t="s">
        <v>19</v>
      </c>
      <c r="B79" s="789" t="s">
        <v>63</v>
      </c>
      <c r="C79" s="4">
        <v>1</v>
      </c>
      <c r="G79" s="789" t="s">
        <v>60</v>
      </c>
      <c r="H79" s="789" t="s">
        <v>148</v>
      </c>
      <c r="I79" s="789" t="s">
        <v>348</v>
      </c>
      <c r="J79" s="4">
        <v>18</v>
      </c>
    </row>
    <row r="80" spans="1:10" x14ac:dyDescent="0.25">
      <c r="A80" s="789" t="s">
        <v>19</v>
      </c>
      <c r="B80" s="789" t="s">
        <v>542</v>
      </c>
      <c r="C80" s="4">
        <v>1</v>
      </c>
      <c r="G80" s="789" t="s">
        <v>59</v>
      </c>
      <c r="H80" s="789" t="s">
        <v>147</v>
      </c>
      <c r="I80" s="789" t="s">
        <v>348</v>
      </c>
      <c r="J80" s="4">
        <v>57</v>
      </c>
    </row>
    <row r="81" spans="1:10" x14ac:dyDescent="0.25">
      <c r="A81" s="789" t="s">
        <v>19</v>
      </c>
      <c r="B81" s="789" t="s">
        <v>79</v>
      </c>
      <c r="C81" s="4">
        <v>1</v>
      </c>
      <c r="G81" s="789" t="s">
        <v>36</v>
      </c>
      <c r="H81" s="789" t="s">
        <v>122</v>
      </c>
      <c r="I81" s="789" t="s">
        <v>1004</v>
      </c>
      <c r="J81" s="4">
        <v>10</v>
      </c>
    </row>
    <row r="82" spans="1:10" x14ac:dyDescent="0.25">
      <c r="A82" s="789" t="s">
        <v>19</v>
      </c>
      <c r="B82" s="789" t="s">
        <v>94</v>
      </c>
      <c r="C82" s="4">
        <v>1</v>
      </c>
      <c r="G82" s="789" t="s">
        <v>32</v>
      </c>
      <c r="H82" s="789" t="s">
        <v>118</v>
      </c>
      <c r="I82" s="789" t="s">
        <v>1005</v>
      </c>
      <c r="J82" s="4">
        <v>225</v>
      </c>
    </row>
    <row r="83" spans="1:10" x14ac:dyDescent="0.25">
      <c r="A83" s="789" t="s">
        <v>19</v>
      </c>
      <c r="B83" s="789" t="s">
        <v>82</v>
      </c>
      <c r="C83" s="4">
        <v>1</v>
      </c>
      <c r="G83" s="789" t="s">
        <v>27</v>
      </c>
      <c r="H83" s="789" t="s">
        <v>113</v>
      </c>
      <c r="I83" s="789" t="s">
        <v>1005</v>
      </c>
      <c r="J83" s="4">
        <v>86</v>
      </c>
    </row>
    <row r="84" spans="1:10" x14ac:dyDescent="0.25">
      <c r="A84" s="789" t="s">
        <v>19</v>
      </c>
      <c r="B84" s="789" t="s">
        <v>550</v>
      </c>
      <c r="C84" s="4">
        <v>1</v>
      </c>
      <c r="G84" s="789" t="s">
        <v>562</v>
      </c>
      <c r="H84" s="789" t="s">
        <v>563</v>
      </c>
      <c r="I84" s="789" t="s">
        <v>349</v>
      </c>
      <c r="J84" s="4"/>
    </row>
    <row r="85" spans="1:10" x14ac:dyDescent="0.25">
      <c r="A85" s="789" t="s">
        <v>19</v>
      </c>
      <c r="B85" s="789" t="s">
        <v>71</v>
      </c>
      <c r="C85" s="4">
        <v>1</v>
      </c>
      <c r="G85" s="789" t="s">
        <v>638</v>
      </c>
      <c r="H85" s="789" t="s">
        <v>640</v>
      </c>
      <c r="I85" s="789" t="s">
        <v>1004</v>
      </c>
      <c r="J85" s="4">
        <v>249</v>
      </c>
    </row>
    <row r="86" spans="1:10" x14ac:dyDescent="0.25">
      <c r="A86" s="789" t="s">
        <v>19</v>
      </c>
      <c r="B86" s="789" t="s">
        <v>92</v>
      </c>
      <c r="C86" s="4">
        <v>1</v>
      </c>
      <c r="G86" s="789" t="s">
        <v>639</v>
      </c>
      <c r="H86" s="789" t="s">
        <v>641</v>
      </c>
      <c r="I86" s="789" t="s">
        <v>1004</v>
      </c>
      <c r="J86" s="4">
        <v>418</v>
      </c>
    </row>
    <row r="87" spans="1:10" x14ac:dyDescent="0.25">
      <c r="A87" s="789" t="s">
        <v>19</v>
      </c>
      <c r="B87" s="789" t="s">
        <v>64</v>
      </c>
      <c r="C87" s="4">
        <v>1</v>
      </c>
      <c r="G87" s="789" t="s">
        <v>67</v>
      </c>
      <c r="H87" s="789" t="s">
        <v>155</v>
      </c>
      <c r="I87" s="789" t="s">
        <v>348</v>
      </c>
      <c r="J87" s="4">
        <v>2497</v>
      </c>
    </row>
    <row r="88" spans="1:10" x14ac:dyDescent="0.25">
      <c r="A88" s="789" t="s">
        <v>19</v>
      </c>
      <c r="B88" s="789" t="s">
        <v>83</v>
      </c>
      <c r="C88" s="4">
        <v>1</v>
      </c>
      <c r="G88" s="789" t="s">
        <v>557</v>
      </c>
      <c r="H88" s="789" t="s">
        <v>558</v>
      </c>
      <c r="I88" s="789" t="s">
        <v>1005</v>
      </c>
      <c r="J88" s="4">
        <v>17</v>
      </c>
    </row>
    <row r="89" spans="1:10" x14ac:dyDescent="0.25">
      <c r="A89" s="789" t="s">
        <v>19</v>
      </c>
      <c r="B89" s="789" t="s">
        <v>75</v>
      </c>
      <c r="C89" s="4">
        <v>1</v>
      </c>
      <c r="G89" s="789" t="s">
        <v>78</v>
      </c>
      <c r="H89" s="789" t="s">
        <v>166</v>
      </c>
      <c r="I89" s="789" t="s">
        <v>1004</v>
      </c>
      <c r="J89" s="4">
        <v>72</v>
      </c>
    </row>
    <row r="90" spans="1:10" x14ac:dyDescent="0.25">
      <c r="A90" s="789" t="s">
        <v>19</v>
      </c>
      <c r="B90" s="789" t="s">
        <v>93</v>
      </c>
      <c r="C90" s="4">
        <v>1</v>
      </c>
      <c r="G90" s="789" t="s">
        <v>245</v>
      </c>
      <c r="H90" s="789" t="s">
        <v>282</v>
      </c>
      <c r="I90" s="789" t="s">
        <v>1004</v>
      </c>
      <c r="J90" s="4">
        <v>151</v>
      </c>
    </row>
    <row r="91" spans="1:10" x14ac:dyDescent="0.25">
      <c r="A91" s="789" t="s">
        <v>19</v>
      </c>
      <c r="B91" s="789" t="s">
        <v>628</v>
      </c>
      <c r="C91" s="4">
        <v>1</v>
      </c>
      <c r="G91" s="789" t="s">
        <v>53</v>
      </c>
      <c r="H91" s="789" t="s">
        <v>139</v>
      </c>
      <c r="I91" s="789" t="s">
        <v>1005</v>
      </c>
      <c r="J91" s="4">
        <v>144</v>
      </c>
    </row>
    <row r="92" spans="1:10" x14ac:dyDescent="0.25">
      <c r="A92" s="789" t="s">
        <v>19</v>
      </c>
      <c r="B92" s="789" t="s">
        <v>76</v>
      </c>
      <c r="C92" s="4">
        <v>1</v>
      </c>
      <c r="G92" s="789" t="s">
        <v>86</v>
      </c>
      <c r="H92" s="789" t="s">
        <v>174</v>
      </c>
      <c r="I92" s="789" t="s">
        <v>349</v>
      </c>
      <c r="J92" s="4"/>
    </row>
    <row r="93" spans="1:10" x14ac:dyDescent="0.25">
      <c r="A93" s="789" t="s">
        <v>19</v>
      </c>
      <c r="B93" s="789" t="s">
        <v>84</v>
      </c>
      <c r="C93" s="4">
        <v>1</v>
      </c>
      <c r="G93" s="789" t="s">
        <v>89</v>
      </c>
      <c r="H93" s="789" t="s">
        <v>177</v>
      </c>
      <c r="I93" s="789" t="s">
        <v>349</v>
      </c>
      <c r="J93" s="4"/>
    </row>
    <row r="94" spans="1:10" x14ac:dyDescent="0.25">
      <c r="A94" s="789" t="s">
        <v>19</v>
      </c>
      <c r="B94" s="789" t="s">
        <v>633</v>
      </c>
      <c r="C94" s="4">
        <v>1</v>
      </c>
      <c r="G94" s="789" t="s">
        <v>43</v>
      </c>
      <c r="H94" s="789" t="s">
        <v>129</v>
      </c>
      <c r="I94" s="789" t="s">
        <v>348</v>
      </c>
      <c r="J94" s="4">
        <v>534</v>
      </c>
    </row>
    <row r="95" spans="1:10" x14ac:dyDescent="0.25">
      <c r="A95" s="789" t="s">
        <v>19</v>
      </c>
      <c r="B95" s="789" t="s">
        <v>634</v>
      </c>
      <c r="C95" s="4">
        <v>1</v>
      </c>
      <c r="G95" s="789" t="s">
        <v>541</v>
      </c>
      <c r="H95" s="789" t="s">
        <v>278</v>
      </c>
      <c r="I95" s="789" t="s">
        <v>349</v>
      </c>
      <c r="J95" s="4"/>
    </row>
    <row r="96" spans="1:10" x14ac:dyDescent="0.25">
      <c r="A96" s="789" t="s">
        <v>19</v>
      </c>
      <c r="B96" s="789" t="s">
        <v>635</v>
      </c>
      <c r="C96" s="4">
        <v>1</v>
      </c>
      <c r="G96" s="789" t="s">
        <v>872</v>
      </c>
      <c r="H96" s="789" t="s">
        <v>283</v>
      </c>
      <c r="I96" s="789" t="s">
        <v>348</v>
      </c>
      <c r="J96" s="4">
        <v>8</v>
      </c>
    </row>
    <row r="97" spans="1:10" x14ac:dyDescent="0.25">
      <c r="A97" s="789" t="s">
        <v>19</v>
      </c>
      <c r="B97" s="789" t="s">
        <v>65</v>
      </c>
      <c r="C97" s="4">
        <v>1</v>
      </c>
      <c r="G97" s="789" t="s">
        <v>87</v>
      </c>
      <c r="H97" s="789" t="s">
        <v>175</v>
      </c>
      <c r="I97" s="789" t="s">
        <v>349</v>
      </c>
      <c r="J97" s="4"/>
    </row>
    <row r="98" spans="1:10" x14ac:dyDescent="0.25">
      <c r="A98" s="789" t="s">
        <v>19</v>
      </c>
      <c r="B98" s="789" t="s">
        <v>244</v>
      </c>
      <c r="C98" s="4">
        <v>1</v>
      </c>
      <c r="G98" s="789" t="s">
        <v>45</v>
      </c>
      <c r="H98" s="789" t="s">
        <v>131</v>
      </c>
      <c r="I98" s="789" t="s">
        <v>1005</v>
      </c>
      <c r="J98" s="4">
        <v>63</v>
      </c>
    </row>
    <row r="99" spans="1:10" x14ac:dyDescent="0.25">
      <c r="A99" s="789" t="s">
        <v>19</v>
      </c>
      <c r="B99" s="789" t="s">
        <v>275</v>
      </c>
      <c r="C99" s="4">
        <v>1</v>
      </c>
      <c r="G99" s="789" t="s">
        <v>38</v>
      </c>
      <c r="H99" s="789" t="s">
        <v>124</v>
      </c>
      <c r="I99" s="789" t="s">
        <v>348</v>
      </c>
      <c r="J99" s="4">
        <v>698</v>
      </c>
    </row>
    <row r="100" spans="1:10" x14ac:dyDescent="0.25">
      <c r="A100" s="789" t="s">
        <v>19</v>
      </c>
      <c r="B100" s="789" t="s">
        <v>276</v>
      </c>
      <c r="C100" s="4">
        <v>1</v>
      </c>
      <c r="G100" s="789" t="s">
        <v>26</v>
      </c>
      <c r="H100" s="789" t="s">
        <v>112</v>
      </c>
      <c r="I100" s="789" t="s">
        <v>1005</v>
      </c>
      <c r="J100" s="4">
        <v>203</v>
      </c>
    </row>
    <row r="101" spans="1:10" x14ac:dyDescent="0.25">
      <c r="A101" s="789" t="s">
        <v>19</v>
      </c>
      <c r="B101" s="789" t="s">
        <v>72</v>
      </c>
      <c r="C101" s="4">
        <v>1</v>
      </c>
      <c r="G101" s="789" t="s">
        <v>98</v>
      </c>
      <c r="H101" s="789" t="s">
        <v>186</v>
      </c>
      <c r="I101" s="789" t="s">
        <v>349</v>
      </c>
      <c r="J101" s="4"/>
    </row>
    <row r="102" spans="1:10" x14ac:dyDescent="0.25">
      <c r="A102" s="789" t="s">
        <v>19</v>
      </c>
      <c r="B102" s="789" t="s">
        <v>66</v>
      </c>
      <c r="C102" s="4">
        <v>1</v>
      </c>
      <c r="G102" s="789" t="s">
        <v>29</v>
      </c>
      <c r="H102" s="789" t="s">
        <v>115</v>
      </c>
      <c r="I102" s="789" t="s">
        <v>1005</v>
      </c>
      <c r="J102" s="4">
        <v>275</v>
      </c>
    </row>
    <row r="103" spans="1:10" x14ac:dyDescent="0.25">
      <c r="A103" s="789" t="s">
        <v>19</v>
      </c>
      <c r="B103" s="789" t="s">
        <v>85</v>
      </c>
      <c r="C103" s="4">
        <v>1</v>
      </c>
      <c r="G103" s="789" t="s">
        <v>68</v>
      </c>
      <c r="H103" s="789" t="s">
        <v>156</v>
      </c>
      <c r="I103" s="789" t="s">
        <v>348</v>
      </c>
      <c r="J103" s="4">
        <v>2145</v>
      </c>
    </row>
    <row r="104" spans="1:10" x14ac:dyDescent="0.25">
      <c r="A104" s="789" t="s">
        <v>19</v>
      </c>
      <c r="B104" s="789" t="s">
        <v>562</v>
      </c>
      <c r="C104" s="4">
        <v>1</v>
      </c>
      <c r="G104" s="789" t="s">
        <v>548</v>
      </c>
      <c r="H104" s="789" t="s">
        <v>549</v>
      </c>
      <c r="I104" s="789" t="s">
        <v>349</v>
      </c>
      <c r="J104" s="4"/>
    </row>
    <row r="105" spans="1:10" x14ac:dyDescent="0.25">
      <c r="A105" s="789" t="s">
        <v>19</v>
      </c>
      <c r="B105" s="789" t="s">
        <v>638</v>
      </c>
      <c r="C105" s="4">
        <v>1</v>
      </c>
      <c r="G105" s="789" t="s">
        <v>69</v>
      </c>
      <c r="H105" s="789" t="s">
        <v>157</v>
      </c>
      <c r="I105" s="789" t="s">
        <v>349</v>
      </c>
      <c r="J105" s="4"/>
    </row>
    <row r="106" spans="1:10" x14ac:dyDescent="0.25">
      <c r="A106" s="789" t="s">
        <v>19</v>
      </c>
      <c r="B106" s="789" t="s">
        <v>639</v>
      </c>
      <c r="C106" s="4">
        <v>1</v>
      </c>
      <c r="G106" s="789" t="s">
        <v>91</v>
      </c>
      <c r="H106" s="789" t="s">
        <v>179</v>
      </c>
      <c r="I106" s="789" t="s">
        <v>349</v>
      </c>
      <c r="J106" s="4"/>
    </row>
    <row r="107" spans="1:10" x14ac:dyDescent="0.25">
      <c r="A107" s="789" t="s">
        <v>19</v>
      </c>
      <c r="B107" s="789" t="s">
        <v>67</v>
      </c>
      <c r="C107" s="4">
        <v>1</v>
      </c>
      <c r="G107" s="789" t="s">
        <v>107</v>
      </c>
      <c r="H107" s="789" t="s">
        <v>195</v>
      </c>
      <c r="I107" s="789" t="s">
        <v>348</v>
      </c>
      <c r="J107" s="4">
        <v>10</v>
      </c>
    </row>
    <row r="108" spans="1:10" x14ac:dyDescent="0.25">
      <c r="A108" s="789" t="s">
        <v>19</v>
      </c>
      <c r="B108" s="789" t="s">
        <v>78</v>
      </c>
      <c r="C108" s="4">
        <v>1</v>
      </c>
      <c r="G108" s="789" t="s">
        <v>31</v>
      </c>
      <c r="H108" s="789" t="s">
        <v>117</v>
      </c>
      <c r="I108" s="789" t="s">
        <v>349</v>
      </c>
      <c r="J108" s="4"/>
    </row>
    <row r="109" spans="1:10" x14ac:dyDescent="0.25">
      <c r="A109" s="789" t="s">
        <v>19</v>
      </c>
      <c r="B109" s="789" t="s">
        <v>245</v>
      </c>
      <c r="C109" s="4">
        <v>1</v>
      </c>
      <c r="G109" s="789" t="s">
        <v>88</v>
      </c>
      <c r="H109" s="789" t="s">
        <v>176</v>
      </c>
      <c r="I109" s="789" t="s">
        <v>349</v>
      </c>
      <c r="J109" s="4"/>
    </row>
    <row r="110" spans="1:10" x14ac:dyDescent="0.25">
      <c r="A110" s="789" t="s">
        <v>19</v>
      </c>
      <c r="B110" s="789" t="s">
        <v>86</v>
      </c>
      <c r="C110" s="4">
        <v>1</v>
      </c>
      <c r="G110" s="789" t="s">
        <v>70</v>
      </c>
      <c r="H110" s="789" t="s">
        <v>158</v>
      </c>
      <c r="I110" s="789" t="s">
        <v>348</v>
      </c>
      <c r="J110" s="4">
        <v>997</v>
      </c>
    </row>
    <row r="111" spans="1:10" x14ac:dyDescent="0.25">
      <c r="A111" s="789" t="s">
        <v>19</v>
      </c>
      <c r="B111" s="789" t="s">
        <v>89</v>
      </c>
      <c r="C111" s="4">
        <v>1</v>
      </c>
      <c r="G111" s="789" t="s">
        <v>540</v>
      </c>
      <c r="H111" s="789" t="s">
        <v>280</v>
      </c>
      <c r="I111" s="789" t="s">
        <v>348</v>
      </c>
      <c r="J111" s="4">
        <v>496</v>
      </c>
    </row>
    <row r="112" spans="1:10" x14ac:dyDescent="0.25">
      <c r="A112" s="789" t="s">
        <v>19</v>
      </c>
      <c r="B112" s="789" t="s">
        <v>87</v>
      </c>
      <c r="C112" s="4">
        <v>1</v>
      </c>
      <c r="G112" s="789" t="s">
        <v>626</v>
      </c>
      <c r="H112" s="789" t="s">
        <v>627</v>
      </c>
      <c r="I112" s="789" t="s">
        <v>1004</v>
      </c>
      <c r="J112" s="4">
        <v>31</v>
      </c>
    </row>
    <row r="113" spans="1:10" x14ac:dyDescent="0.25">
      <c r="A113" s="789" t="s">
        <v>19</v>
      </c>
      <c r="B113" s="789" t="s">
        <v>68</v>
      </c>
      <c r="C113" s="4">
        <v>1</v>
      </c>
      <c r="G113" s="789" t="s">
        <v>873</v>
      </c>
      <c r="H113" s="789" t="s">
        <v>284</v>
      </c>
      <c r="I113" s="789" t="s">
        <v>348</v>
      </c>
      <c r="J113" s="4">
        <v>35</v>
      </c>
    </row>
    <row r="114" spans="1:10" x14ac:dyDescent="0.25">
      <c r="A114" s="789" t="s">
        <v>19</v>
      </c>
      <c r="B114" s="789" t="s">
        <v>548</v>
      </c>
      <c r="C114" s="4">
        <v>1</v>
      </c>
      <c r="G114" s="789" t="s">
        <v>96</v>
      </c>
      <c r="H114" s="789" t="s">
        <v>184</v>
      </c>
      <c r="I114" s="789" t="s">
        <v>349</v>
      </c>
      <c r="J114" s="4"/>
    </row>
    <row r="115" spans="1:10" x14ac:dyDescent="0.25">
      <c r="A115" s="789" t="s">
        <v>19</v>
      </c>
      <c r="B115" s="789" t="s">
        <v>69</v>
      </c>
      <c r="C115" s="4">
        <v>1</v>
      </c>
      <c r="G115" s="789" t="s">
        <v>95</v>
      </c>
      <c r="H115" s="789" t="s">
        <v>183</v>
      </c>
      <c r="I115" s="789" t="s">
        <v>349</v>
      </c>
      <c r="J115" s="4"/>
    </row>
    <row r="116" spans="1:10" x14ac:dyDescent="0.25">
      <c r="A116" s="789" t="s">
        <v>19</v>
      </c>
      <c r="B116" s="789" t="s">
        <v>91</v>
      </c>
      <c r="C116" s="4">
        <v>1</v>
      </c>
      <c r="G116" s="789" t="s">
        <v>34</v>
      </c>
      <c r="H116" s="789" t="s">
        <v>120</v>
      </c>
      <c r="I116" s="789" t="s">
        <v>1005</v>
      </c>
      <c r="J116" s="4">
        <v>365</v>
      </c>
    </row>
    <row r="117" spans="1:10" x14ac:dyDescent="0.25">
      <c r="A117" s="789" t="s">
        <v>19</v>
      </c>
      <c r="B117" s="789" t="s">
        <v>88</v>
      </c>
      <c r="C117" s="4">
        <v>1</v>
      </c>
      <c r="G117" s="789" t="s">
        <v>52</v>
      </c>
      <c r="H117" s="789" t="s">
        <v>138</v>
      </c>
      <c r="I117" s="789" t="s">
        <v>1005</v>
      </c>
      <c r="J117" s="4">
        <v>112</v>
      </c>
    </row>
    <row r="118" spans="1:10" x14ac:dyDescent="0.25">
      <c r="A118" s="789" t="s">
        <v>19</v>
      </c>
      <c r="B118" s="789" t="s">
        <v>70</v>
      </c>
      <c r="C118" s="4">
        <v>1</v>
      </c>
      <c r="G118" s="789" t="s">
        <v>106</v>
      </c>
      <c r="H118" s="789" t="s">
        <v>194</v>
      </c>
      <c r="I118" s="789" t="s">
        <v>348</v>
      </c>
      <c r="J118" s="4">
        <v>4</v>
      </c>
    </row>
    <row r="119" spans="1:10" x14ac:dyDescent="0.25">
      <c r="A119" s="789" t="s">
        <v>19</v>
      </c>
      <c r="B119" s="789" t="s">
        <v>540</v>
      </c>
      <c r="C119" s="4">
        <v>1</v>
      </c>
      <c r="G119" s="789" t="s">
        <v>614</v>
      </c>
      <c r="H119" s="789" t="s">
        <v>618</v>
      </c>
      <c r="I119" s="789" t="s">
        <v>349</v>
      </c>
      <c r="J119" s="4"/>
    </row>
    <row r="120" spans="1:10" x14ac:dyDescent="0.25">
      <c r="A120" s="789" t="s">
        <v>19</v>
      </c>
      <c r="B120" s="789" t="s">
        <v>96</v>
      </c>
      <c r="C120" s="4">
        <v>1</v>
      </c>
      <c r="G120" s="789" t="s">
        <v>615</v>
      </c>
      <c r="H120" s="789" t="s">
        <v>619</v>
      </c>
      <c r="I120" s="789" t="s">
        <v>349</v>
      </c>
      <c r="J120" s="4"/>
    </row>
    <row r="121" spans="1:10" x14ac:dyDescent="0.25">
      <c r="A121" s="789" t="s">
        <v>19</v>
      </c>
      <c r="B121" s="789" t="s">
        <v>95</v>
      </c>
      <c r="C121" s="4">
        <v>1</v>
      </c>
      <c r="G121" s="789" t="s">
        <v>995</v>
      </c>
      <c r="H121" s="789" t="s">
        <v>995</v>
      </c>
      <c r="I121" s="789" t="s">
        <v>995</v>
      </c>
      <c r="J121" s="4"/>
    </row>
    <row r="122" spans="1:10" x14ac:dyDescent="0.25">
      <c r="A122" s="789" t="s">
        <v>995</v>
      </c>
      <c r="B122" s="789" t="s">
        <v>995</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4"/>
  <sheetViews>
    <sheetView showZeros="0" workbookViewId="0">
      <selection activeCell="B15" sqref="B15"/>
    </sheetView>
  </sheetViews>
  <sheetFormatPr defaultRowHeight="16.5" customHeight="1" x14ac:dyDescent="0.25"/>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x14ac:dyDescent="0.25">
      <c r="A1" s="50" t="s">
        <v>332</v>
      </c>
      <c r="B1" s="50" t="s">
        <v>334</v>
      </c>
      <c r="C1" s="50" t="s">
        <v>333</v>
      </c>
      <c r="D1" s="50" t="s">
        <v>208</v>
      </c>
      <c r="E1" s="50" t="s">
        <v>336</v>
      </c>
      <c r="F1" s="50" t="s">
        <v>335</v>
      </c>
      <c r="J1" s="3" t="s">
        <v>10</v>
      </c>
      <c r="K1" s="3"/>
      <c r="L1" s="3" t="s">
        <v>7</v>
      </c>
      <c r="M1" s="3"/>
      <c r="N1" s="3" t="s">
        <v>24</v>
      </c>
      <c r="O1" s="3"/>
      <c r="P1" s="3" t="s">
        <v>347</v>
      </c>
      <c r="R1" s="50" t="s">
        <v>730</v>
      </c>
      <c r="T1" s="50" t="s">
        <v>734</v>
      </c>
      <c r="V1" s="50" t="s">
        <v>809</v>
      </c>
      <c r="W1" s="90"/>
      <c r="X1" s="90" t="s">
        <v>818</v>
      </c>
      <c r="Z1" s="50" t="s">
        <v>801</v>
      </c>
      <c r="AA1" s="50" t="s">
        <v>200</v>
      </c>
      <c r="AB1" s="50" t="s">
        <v>799</v>
      </c>
      <c r="AE1" s="50" t="s">
        <v>834</v>
      </c>
      <c r="AF1" s="50" t="s">
        <v>729</v>
      </c>
      <c r="AG1" s="50" t="s">
        <v>835</v>
      </c>
      <c r="AH1" s="50" t="s">
        <v>836</v>
      </c>
    </row>
    <row r="2" spans="1:35" ht="16.5" customHeight="1" x14ac:dyDescent="0.25">
      <c r="A2" t="s">
        <v>228</v>
      </c>
      <c r="B2" t="s">
        <v>319</v>
      </c>
      <c r="C2" t="s">
        <v>309</v>
      </c>
      <c r="D2" t="s">
        <v>312</v>
      </c>
      <c r="E2">
        <v>12</v>
      </c>
      <c r="F2">
        <v>2</v>
      </c>
      <c r="J2" s="56" t="s">
        <v>7</v>
      </c>
      <c r="K2" s="56"/>
      <c r="L2" s="56" t="s">
        <v>607</v>
      </c>
      <c r="M2" s="56"/>
      <c r="N2" s="56" t="s">
        <v>21</v>
      </c>
      <c r="O2" s="56"/>
      <c r="P2" s="56" t="s">
        <v>343</v>
      </c>
      <c r="R2" t="s">
        <v>1146</v>
      </c>
      <c r="T2" t="s">
        <v>883</v>
      </c>
      <c r="V2" t="s">
        <v>755</v>
      </c>
      <c r="X2" s="90" t="s">
        <v>819</v>
      </c>
      <c r="Z2" s="285" t="s">
        <v>773</v>
      </c>
      <c r="AA2" s="285"/>
      <c r="AB2" s="285"/>
      <c r="AE2" t="s">
        <v>837</v>
      </c>
      <c r="AF2" s="301" t="s">
        <v>859</v>
      </c>
      <c r="AG2" s="117">
        <v>0</v>
      </c>
      <c r="AH2">
        <v>0.5</v>
      </c>
    </row>
    <row r="3" spans="1:35" ht="16.5" customHeight="1" x14ac:dyDescent="0.25">
      <c r="A3" t="s">
        <v>327</v>
      </c>
      <c r="B3" t="s">
        <v>328</v>
      </c>
      <c r="C3" t="s">
        <v>329</v>
      </c>
      <c r="D3" t="s">
        <v>330</v>
      </c>
      <c r="E3" s="90">
        <v>12</v>
      </c>
      <c r="F3">
        <v>1</v>
      </c>
      <c r="J3" s="3"/>
      <c r="K3" s="3"/>
      <c r="L3" s="56" t="s">
        <v>15</v>
      </c>
      <c r="M3" s="56"/>
      <c r="N3" s="56" t="s">
        <v>808</v>
      </c>
      <c r="O3" s="56"/>
      <c r="P3" s="56" t="s">
        <v>344</v>
      </c>
      <c r="R3" t="s">
        <v>880</v>
      </c>
      <c r="T3" t="s">
        <v>727</v>
      </c>
      <c r="V3" t="s">
        <v>817</v>
      </c>
      <c r="X3" s="90" t="s">
        <v>820</v>
      </c>
      <c r="Z3" s="283" t="s">
        <v>288</v>
      </c>
      <c r="AA3" s="283" t="s">
        <v>659</v>
      </c>
      <c r="AB3" s="284" t="s">
        <v>1138</v>
      </c>
      <c r="AE3" s="90" t="s">
        <v>838</v>
      </c>
      <c r="AF3" s="301" t="s">
        <v>860</v>
      </c>
      <c r="AG3">
        <v>0.5</v>
      </c>
      <c r="AH3">
        <v>1</v>
      </c>
    </row>
    <row r="4" spans="1:35" ht="16.5" customHeight="1" x14ac:dyDescent="0.25">
      <c r="A4" t="s">
        <v>301</v>
      </c>
      <c r="B4" t="s">
        <v>320</v>
      </c>
      <c r="C4" t="s">
        <v>305</v>
      </c>
      <c r="D4" t="s">
        <v>315</v>
      </c>
      <c r="E4" s="90">
        <v>12</v>
      </c>
      <c r="F4">
        <v>1</v>
      </c>
      <c r="J4" s="56"/>
      <c r="K4" s="56"/>
      <c r="L4" s="56" t="s">
        <v>20</v>
      </c>
      <c r="M4" s="56"/>
      <c r="N4" s="56" t="s">
        <v>986</v>
      </c>
      <c r="O4" s="56"/>
      <c r="P4" s="56" t="s">
        <v>342</v>
      </c>
      <c r="R4" t="s">
        <v>655</v>
      </c>
      <c r="T4" t="s">
        <v>726</v>
      </c>
      <c r="V4" t="s">
        <v>812</v>
      </c>
      <c r="X4" s="90" t="s">
        <v>821</v>
      </c>
      <c r="Z4" s="283" t="s">
        <v>623</v>
      </c>
      <c r="AA4" s="283" t="s">
        <v>800</v>
      </c>
      <c r="AB4" s="284" t="s">
        <v>864</v>
      </c>
      <c r="AE4" s="90" t="s">
        <v>839</v>
      </c>
      <c r="AF4" s="301" t="s">
        <v>850</v>
      </c>
      <c r="AG4">
        <v>1</v>
      </c>
      <c r="AH4">
        <v>2</v>
      </c>
    </row>
    <row r="5" spans="1:35" ht="16.5" customHeight="1" x14ac:dyDescent="0.25">
      <c r="A5" t="s">
        <v>229</v>
      </c>
      <c r="B5" t="s">
        <v>321</v>
      </c>
      <c r="C5" t="s">
        <v>310</v>
      </c>
      <c r="D5" t="s">
        <v>313</v>
      </c>
      <c r="E5" s="90">
        <v>12</v>
      </c>
      <c r="F5">
        <v>1</v>
      </c>
      <c r="J5" s="3"/>
      <c r="K5" s="3"/>
      <c r="L5" s="56" t="s">
        <v>866</v>
      </c>
      <c r="M5" s="56"/>
      <c r="N5" s="56" t="s">
        <v>22</v>
      </c>
      <c r="O5" s="56"/>
      <c r="P5" s="56"/>
      <c r="R5" t="s">
        <v>881</v>
      </c>
      <c r="T5" t="s">
        <v>884</v>
      </c>
      <c r="V5" t="s">
        <v>814</v>
      </c>
      <c r="X5" s="90" t="s">
        <v>822</v>
      </c>
      <c r="Z5" s="283" t="s">
        <v>706</v>
      </c>
      <c r="AA5" s="283" t="s">
        <v>658</v>
      </c>
      <c r="AB5" s="648" t="s">
        <v>1154</v>
      </c>
      <c r="AE5" s="90" t="s">
        <v>840</v>
      </c>
      <c r="AF5" s="301" t="s">
        <v>849</v>
      </c>
      <c r="AG5">
        <v>2</v>
      </c>
      <c r="AH5">
        <v>3</v>
      </c>
    </row>
    <row r="6" spans="1:35" ht="16.5" customHeight="1" x14ac:dyDescent="0.25">
      <c r="A6" t="s">
        <v>596</v>
      </c>
      <c r="B6" t="s">
        <v>322</v>
      </c>
      <c r="C6" t="s">
        <v>314</v>
      </c>
      <c r="D6" t="s">
        <v>318</v>
      </c>
      <c r="E6" s="90">
        <v>12</v>
      </c>
      <c r="F6">
        <v>2</v>
      </c>
      <c r="J6" s="56"/>
      <c r="K6" s="56"/>
      <c r="L6" s="56" t="s">
        <v>11</v>
      </c>
      <c r="M6" s="56"/>
      <c r="N6" s="56" t="s">
        <v>23</v>
      </c>
      <c r="O6" s="56"/>
      <c r="P6" s="56"/>
      <c r="R6" t="s">
        <v>882</v>
      </c>
      <c r="T6" t="s">
        <v>887</v>
      </c>
      <c r="V6" t="s">
        <v>813</v>
      </c>
      <c r="X6" s="90" t="s">
        <v>833</v>
      </c>
      <c r="Z6" s="283" t="s">
        <v>970</v>
      </c>
      <c r="AA6" s="283" t="s">
        <v>971</v>
      </c>
      <c r="AB6" s="648" t="s">
        <v>1010</v>
      </c>
      <c r="AE6" s="90" t="s">
        <v>841</v>
      </c>
      <c r="AF6" s="301" t="s">
        <v>851</v>
      </c>
      <c r="AG6">
        <v>3</v>
      </c>
      <c r="AH6">
        <v>5</v>
      </c>
    </row>
    <row r="7" spans="1:35" ht="16.5" customHeight="1" x14ac:dyDescent="0.25">
      <c r="A7" t="s">
        <v>202</v>
      </c>
      <c r="B7" t="s">
        <v>323</v>
      </c>
      <c r="C7" t="s">
        <v>306</v>
      </c>
      <c r="D7" t="s">
        <v>316</v>
      </c>
      <c r="E7" s="90">
        <v>12</v>
      </c>
      <c r="F7">
        <v>1</v>
      </c>
      <c r="J7" s="56"/>
      <c r="K7" s="56"/>
      <c r="L7" s="56" t="s">
        <v>1002</v>
      </c>
      <c r="M7" s="56"/>
      <c r="N7" s="56"/>
      <c r="O7" s="56"/>
      <c r="P7" s="56"/>
      <c r="R7" t="s">
        <v>858</v>
      </c>
      <c r="T7" t="s">
        <v>885</v>
      </c>
      <c r="V7" t="s">
        <v>815</v>
      </c>
      <c r="X7" s="90" t="s">
        <v>823</v>
      </c>
      <c r="Z7" s="283" t="s">
        <v>285</v>
      </c>
      <c r="AA7" s="283" t="s">
        <v>802</v>
      </c>
      <c r="AB7" s="284" t="s">
        <v>1007</v>
      </c>
      <c r="AE7" s="90" t="s">
        <v>842</v>
      </c>
      <c r="AF7" s="301" t="s">
        <v>852</v>
      </c>
      <c r="AG7">
        <v>5</v>
      </c>
      <c r="AH7">
        <v>11</v>
      </c>
    </row>
    <row r="8" spans="1:35" ht="16.5" customHeight="1" x14ac:dyDescent="0.25">
      <c r="A8" t="s">
        <v>579</v>
      </c>
      <c r="B8" t="s">
        <v>581</v>
      </c>
      <c r="C8" t="s">
        <v>583</v>
      </c>
      <c r="D8" t="s">
        <v>585</v>
      </c>
      <c r="E8" s="90">
        <v>12</v>
      </c>
      <c r="F8">
        <v>1</v>
      </c>
      <c r="J8" s="56"/>
      <c r="K8" s="56"/>
      <c r="L8" s="56" t="s">
        <v>14</v>
      </c>
      <c r="M8" s="56"/>
      <c r="N8" s="56"/>
      <c r="O8" s="56"/>
      <c r="P8" s="56"/>
      <c r="T8" t="s">
        <v>888</v>
      </c>
      <c r="V8" t="s">
        <v>811</v>
      </c>
      <c r="X8" s="90" t="s">
        <v>824</v>
      </c>
      <c r="AE8" s="90" t="s">
        <v>843</v>
      </c>
      <c r="AF8" s="301" t="s">
        <v>853</v>
      </c>
      <c r="AG8">
        <v>11</v>
      </c>
      <c r="AH8">
        <v>15</v>
      </c>
    </row>
    <row r="9" spans="1:35" ht="16.5" customHeight="1" x14ac:dyDescent="0.25">
      <c r="A9" t="s">
        <v>580</v>
      </c>
      <c r="B9" t="s">
        <v>582</v>
      </c>
      <c r="C9" t="s">
        <v>584</v>
      </c>
      <c r="D9" t="s">
        <v>586</v>
      </c>
      <c r="E9" s="90">
        <v>12</v>
      </c>
      <c r="F9">
        <v>5</v>
      </c>
      <c r="J9" s="56"/>
      <c r="K9" s="56"/>
      <c r="L9" s="56" t="s">
        <v>18</v>
      </c>
      <c r="M9" s="56"/>
      <c r="N9" s="56"/>
      <c r="O9" s="56"/>
      <c r="P9" s="56"/>
      <c r="T9" t="s">
        <v>886</v>
      </c>
      <c r="V9" t="s">
        <v>810</v>
      </c>
      <c r="X9" s="90" t="s">
        <v>825</v>
      </c>
      <c r="AE9" s="90" t="s">
        <v>844</v>
      </c>
      <c r="AF9" s="301" t="s">
        <v>854</v>
      </c>
      <c r="AG9">
        <v>15</v>
      </c>
      <c r="AH9">
        <v>18</v>
      </c>
    </row>
    <row r="10" spans="1:35" ht="16.5" customHeight="1" x14ac:dyDescent="0.25">
      <c r="A10" t="s">
        <v>302</v>
      </c>
      <c r="B10" s="90" t="s">
        <v>324</v>
      </c>
      <c r="C10" s="90" t="s">
        <v>307</v>
      </c>
      <c r="D10" s="90" t="s">
        <v>317</v>
      </c>
      <c r="E10" s="90">
        <v>12</v>
      </c>
      <c r="F10" s="90">
        <v>1</v>
      </c>
      <c r="J10" s="56"/>
      <c r="K10" s="56"/>
      <c r="L10" s="56" t="s">
        <v>16</v>
      </c>
      <c r="M10" s="56"/>
      <c r="N10" s="56"/>
      <c r="O10" s="56"/>
      <c r="P10" s="56"/>
      <c r="V10" t="s">
        <v>816</v>
      </c>
      <c r="X10" s="90" t="s">
        <v>826</v>
      </c>
      <c r="AE10" s="90" t="s">
        <v>845</v>
      </c>
      <c r="AF10" s="301" t="s">
        <v>855</v>
      </c>
      <c r="AG10">
        <v>18</v>
      </c>
      <c r="AH10">
        <v>24</v>
      </c>
    </row>
    <row r="11" spans="1:35" ht="16.5" customHeight="1" x14ac:dyDescent="0.25">
      <c r="A11" t="s">
        <v>303</v>
      </c>
      <c r="B11" s="90" t="s">
        <v>325</v>
      </c>
      <c r="C11" s="90" t="s">
        <v>308</v>
      </c>
      <c r="D11" s="90" t="s">
        <v>311</v>
      </c>
      <c r="E11" s="90">
        <v>12</v>
      </c>
      <c r="F11" s="90">
        <v>1</v>
      </c>
      <c r="J11" s="56"/>
      <c r="K11" s="56"/>
      <c r="L11" s="56" t="s">
        <v>19</v>
      </c>
      <c r="M11" s="56"/>
      <c r="N11" s="56"/>
      <c r="O11" s="56"/>
      <c r="P11" s="56"/>
      <c r="X11" s="90" t="s">
        <v>827</v>
      </c>
      <c r="AE11" s="90" t="s">
        <v>846</v>
      </c>
      <c r="AF11" s="301" t="s">
        <v>856</v>
      </c>
      <c r="AG11">
        <v>24</v>
      </c>
      <c r="AH11">
        <v>49</v>
      </c>
    </row>
    <row r="12" spans="1:35" ht="16.5" customHeight="1" x14ac:dyDescent="0.25">
      <c r="A12" s="90" t="s">
        <v>928</v>
      </c>
      <c r="B12" s="90" t="s">
        <v>932</v>
      </c>
      <c r="C12" s="90" t="s">
        <v>933</v>
      </c>
      <c r="D12" s="90" t="s">
        <v>934</v>
      </c>
      <c r="E12" s="90">
        <v>12</v>
      </c>
      <c r="F12" s="90">
        <v>1</v>
      </c>
      <c r="X12" s="90" t="s">
        <v>828</v>
      </c>
      <c r="AE12" s="90" t="s">
        <v>847</v>
      </c>
      <c r="AF12" s="301" t="s">
        <v>857</v>
      </c>
      <c r="AG12">
        <v>49</v>
      </c>
      <c r="AH12">
        <v>60</v>
      </c>
    </row>
    <row r="13" spans="1:35" ht="16.5" customHeight="1" x14ac:dyDescent="0.25">
      <c r="A13" t="s">
        <v>1114</v>
      </c>
      <c r="B13" t="s">
        <v>1122</v>
      </c>
      <c r="E13" s="789">
        <v>12</v>
      </c>
      <c r="F13" s="789">
        <v>1</v>
      </c>
      <c r="X13" s="90" t="s">
        <v>829</v>
      </c>
      <c r="AE13" s="90" t="s">
        <v>848</v>
      </c>
      <c r="AF13" s="301" t="s">
        <v>858</v>
      </c>
      <c r="AG13">
        <v>60</v>
      </c>
    </row>
    <row r="14" spans="1:35" ht="16.5" customHeight="1" x14ac:dyDescent="0.25">
      <c r="A14" t="s">
        <v>1115</v>
      </c>
      <c r="B14" t="s">
        <v>1123</v>
      </c>
      <c r="E14" s="789">
        <v>12</v>
      </c>
      <c r="F14" s="789">
        <v>1</v>
      </c>
      <c r="X14" s="90" t="s">
        <v>832</v>
      </c>
      <c r="AE14" s="90"/>
      <c r="AF14" s="90"/>
      <c r="AG14" s="90"/>
      <c r="AH14" s="90"/>
      <c r="AI14" s="90"/>
    </row>
    <row r="15" spans="1:35" ht="16.5" customHeight="1" x14ac:dyDescent="0.25">
      <c r="A15" t="s">
        <v>1116</v>
      </c>
      <c r="B15" t="s">
        <v>1124</v>
      </c>
      <c r="E15" s="789">
        <v>12</v>
      </c>
      <c r="F15" s="789">
        <v>1</v>
      </c>
      <c r="X15" s="90" t="s">
        <v>830</v>
      </c>
    </row>
    <row r="16" spans="1:35" ht="16.5" customHeight="1" x14ac:dyDescent="0.25">
      <c r="A16" t="s">
        <v>1148</v>
      </c>
      <c r="B16" s="789" t="s">
        <v>1149</v>
      </c>
      <c r="E16" s="789">
        <v>12</v>
      </c>
      <c r="F16" s="789">
        <v>1</v>
      </c>
    </row>
    <row r="17" spans="1:24" ht="16.5" customHeight="1" x14ac:dyDescent="0.25">
      <c r="X17" s="90" t="s">
        <v>831</v>
      </c>
    </row>
    <row r="18" spans="1:24" s="789" customFormat="1" ht="16.5" customHeight="1" x14ac:dyDescent="0.25"/>
    <row r="19" spans="1:24" s="789" customFormat="1" ht="16.5" customHeight="1" x14ac:dyDescent="0.25"/>
    <row r="20" spans="1:24" s="789" customFormat="1" ht="16.5" customHeight="1" x14ac:dyDescent="0.25"/>
    <row r="21" spans="1:24" s="789" customFormat="1" ht="16.5" customHeight="1" x14ac:dyDescent="0.25"/>
    <row r="23" spans="1:24" ht="16.5" customHeight="1" x14ac:dyDescent="0.25">
      <c r="A23" s="74">
        <v>42856</v>
      </c>
    </row>
    <row r="24" spans="1:24" ht="16.5" customHeight="1" x14ac:dyDescent="0.25">
      <c r="A24"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25" sqref="B25"/>
    </sheetView>
  </sheetViews>
  <sheetFormatPr defaultRowHeight="15" x14ac:dyDescent="0.25"/>
  <cols>
    <col min="1" max="1" width="33" customWidth="1"/>
    <col min="2" max="2" width="148.28515625" customWidth="1"/>
  </cols>
  <sheetData>
    <row r="1" spans="1:2" hidden="1" x14ac:dyDescent="0.25"/>
    <row r="2" spans="1:2" ht="33" customHeight="1" thickBot="1" x14ac:dyDescent="0.3">
      <c r="A2" s="1005" t="s">
        <v>772</v>
      </c>
      <c r="B2" s="1007" t="s">
        <v>1113</v>
      </c>
    </row>
    <row r="3" spans="1:2" ht="15.75" hidden="1" customHeight="1" thickBot="1" x14ac:dyDescent="0.3">
      <c r="A3" s="1006"/>
      <c r="B3" s="1008"/>
    </row>
    <row r="4" spans="1:2" ht="30.75" customHeight="1" x14ac:dyDescent="0.25">
      <c r="A4" s="1005" t="s">
        <v>776</v>
      </c>
      <c r="B4" s="1007" t="s">
        <v>780</v>
      </c>
    </row>
    <row r="5" spans="1:2" ht="45" customHeight="1" thickBot="1" x14ac:dyDescent="0.3">
      <c r="A5" s="1006"/>
      <c r="B5" s="1008"/>
    </row>
    <row r="6" spans="1:2" ht="37.5" customHeight="1" thickBot="1" x14ac:dyDescent="0.3">
      <c r="A6" s="178" t="s">
        <v>778</v>
      </c>
      <c r="B6" s="177" t="s">
        <v>781</v>
      </c>
    </row>
    <row r="7" spans="1:2" ht="66.75" customHeight="1" thickBot="1" x14ac:dyDescent="0.3">
      <c r="A7" s="179" t="s">
        <v>777</v>
      </c>
      <c r="B7" s="177" t="s">
        <v>769</v>
      </c>
    </row>
    <row r="8" spans="1:2" ht="38.25" customHeight="1" thickBot="1" x14ac:dyDescent="0.3">
      <c r="A8" s="178" t="s">
        <v>779</v>
      </c>
      <c r="B8" s="177" t="s">
        <v>723</v>
      </c>
    </row>
    <row r="9" spans="1:2" ht="38.25" customHeight="1" thickBot="1" x14ac:dyDescent="0.3">
      <c r="A9" s="180" t="s">
        <v>199</v>
      </c>
      <c r="B9" s="181" t="s">
        <v>721</v>
      </c>
    </row>
    <row r="10" spans="1:2" ht="38.25" customHeight="1" thickBot="1" x14ac:dyDescent="0.3">
      <c r="A10" s="180" t="s">
        <v>21</v>
      </c>
      <c r="B10" s="181" t="s">
        <v>770</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tabSelected="1" zoomScale="88" zoomScaleNormal="88" workbookViewId="0">
      <selection activeCell="A5" sqref="A5:A71"/>
    </sheetView>
  </sheetViews>
  <sheetFormatPr defaultColWidth="9.140625" defaultRowHeight="15" x14ac:dyDescent="0.25"/>
  <cols>
    <col min="1" max="1" width="16.85546875" style="19" customWidth="1"/>
    <col min="2" max="2" width="3.42578125" style="19" customWidth="1"/>
    <col min="3" max="3" width="10.5703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44.85546875" style="19" customWidth="1"/>
    <col min="13" max="13" width="20.28515625" style="19" customWidth="1"/>
    <col min="14" max="14" width="15.140625" style="19" customWidth="1"/>
    <col min="15" max="15" width="14" style="19" customWidth="1"/>
    <col min="16" max="16" width="11" style="19" customWidth="1"/>
    <col min="17" max="17" width="7.7109375" style="323" customWidth="1"/>
    <col min="18" max="18" width="11" style="563" bestFit="1" customWidth="1"/>
    <col min="19" max="19" width="6.85546875" style="886" bestFit="1" customWidth="1"/>
    <col min="20" max="20" width="19.42578125" style="291" customWidth="1"/>
    <col min="21" max="21" width="10.7109375" style="291" customWidth="1"/>
    <col min="22" max="22" width="23.28515625" style="324" customWidth="1"/>
    <col min="23" max="23" width="11.140625" style="324" customWidth="1"/>
    <col min="24" max="24" width="15.7109375" style="19" customWidth="1"/>
    <col min="25" max="25" width="11.28515625" style="19" customWidth="1"/>
    <col min="26" max="26" width="12.7109375" style="19" customWidth="1"/>
    <col min="27" max="27" width="21.7109375" style="19" customWidth="1"/>
    <col min="28" max="28" width="16.42578125" style="19" customWidth="1"/>
    <col min="29" max="29" width="14.140625" style="291" customWidth="1"/>
    <col min="30" max="30" width="11.7109375" style="710" customWidth="1"/>
    <col min="31" max="31" width="24" style="69" customWidth="1"/>
    <col min="32" max="32" width="18" style="19" customWidth="1"/>
    <col min="33" max="33" width="15.42578125" style="19" customWidth="1"/>
    <col min="34" max="34" width="46.28515625" style="19" customWidth="1"/>
    <col min="35" max="35" width="75.42578125" style="78" customWidth="1"/>
    <col min="36" max="36" width="19.140625" style="19" customWidth="1"/>
    <col min="37" max="63" width="9.140625" style="19"/>
    <col min="64" max="65" width="9.140625" style="69"/>
    <col min="66" max="16384" width="9.140625" style="19"/>
  </cols>
  <sheetData>
    <row r="1" spans="1:68" ht="34.5" customHeight="1" x14ac:dyDescent="0.25">
      <c r="A1" s="577"/>
      <c r="B1" s="578"/>
      <c r="C1" s="578"/>
      <c r="D1" s="578"/>
      <c r="E1" s="578"/>
      <c r="F1" s="578"/>
      <c r="G1" s="578"/>
      <c r="H1" s="578"/>
      <c r="I1" s="578"/>
      <c r="J1" s="578"/>
      <c r="K1" s="578"/>
      <c r="L1" s="578"/>
      <c r="M1" s="578"/>
      <c r="N1" s="578"/>
      <c r="O1" s="578"/>
      <c r="P1" s="578"/>
      <c r="Q1" s="578"/>
      <c r="R1" s="579"/>
      <c r="S1" s="877"/>
      <c r="T1" s="578"/>
      <c r="U1" s="578"/>
      <c r="V1" s="578"/>
      <c r="W1" s="578"/>
      <c r="X1" s="578"/>
      <c r="Y1" s="578"/>
      <c r="Z1" s="578"/>
      <c r="AA1" s="578"/>
      <c r="AB1" s="578"/>
      <c r="AC1" s="578"/>
      <c r="AD1" s="579"/>
      <c r="AE1" s="578"/>
      <c r="AF1" s="578"/>
      <c r="AG1" s="578"/>
      <c r="AH1" s="578"/>
      <c r="AI1" s="580"/>
      <c r="AJ1" s="580"/>
      <c r="BJ1" s="69"/>
      <c r="BK1" s="69"/>
      <c r="BL1" s="19"/>
      <c r="BM1" s="19"/>
    </row>
    <row r="2" spans="1:68" ht="18.75" customHeight="1" x14ac:dyDescent="0.25">
      <c r="A2" s="581" t="s">
        <v>782</v>
      </c>
      <c r="B2" s="576"/>
      <c r="C2" s="576"/>
      <c r="D2" s="576"/>
      <c r="E2" s="576"/>
      <c r="F2" s="576"/>
      <c r="G2" s="576"/>
      <c r="H2" s="576"/>
      <c r="I2" s="576"/>
      <c r="J2" s="576"/>
      <c r="K2" s="576"/>
      <c r="L2" s="576"/>
      <c r="M2" s="576"/>
      <c r="N2" s="576"/>
      <c r="O2" s="576"/>
      <c r="P2" s="576"/>
      <c r="Q2" s="576"/>
      <c r="R2" s="562"/>
      <c r="S2" s="878"/>
      <c r="T2" s="576"/>
      <c r="U2" s="576"/>
      <c r="V2" s="576"/>
      <c r="W2" s="576"/>
      <c r="X2" s="576"/>
      <c r="Y2" s="576"/>
      <c r="Z2" s="576"/>
      <c r="AA2" s="576"/>
      <c r="AB2" s="576"/>
      <c r="AC2" s="732"/>
      <c r="AD2" s="562"/>
      <c r="AE2" s="576"/>
      <c r="AF2" s="576"/>
      <c r="AG2" s="690"/>
      <c r="AH2" s="576"/>
      <c r="AI2" s="582"/>
      <c r="AJ2" s="582"/>
      <c r="BH2" s="69"/>
      <c r="BI2" s="69"/>
      <c r="BL2" s="19"/>
      <c r="BM2" s="19"/>
    </row>
    <row r="3" spans="1:68" ht="23.25" customHeight="1" x14ac:dyDescent="0.25">
      <c r="A3" s="1009">
        <f>Report_Date</f>
        <v>42856</v>
      </c>
      <c r="B3" s="1010"/>
      <c r="C3" s="583"/>
      <c r="D3" s="583"/>
      <c r="E3" s="583"/>
      <c r="F3" s="583"/>
      <c r="G3" s="583"/>
      <c r="H3" s="583"/>
      <c r="I3" s="583"/>
      <c r="J3" s="583"/>
      <c r="K3" s="583"/>
      <c r="L3" s="583"/>
      <c r="M3" s="583"/>
      <c r="N3" s="583"/>
      <c r="O3" s="583"/>
      <c r="P3" s="583"/>
      <c r="Q3" s="583"/>
      <c r="R3" s="584"/>
      <c r="S3" s="879"/>
      <c r="T3" s="583"/>
      <c r="U3" s="583"/>
      <c r="V3" s="583"/>
      <c r="W3" s="583"/>
      <c r="X3" s="583"/>
      <c r="Y3" s="583"/>
      <c r="Z3" s="583"/>
      <c r="AA3" s="583"/>
      <c r="AB3" s="583"/>
      <c r="AC3" s="583"/>
      <c r="AD3" s="584"/>
      <c r="AE3" s="583"/>
      <c r="AF3" s="583"/>
      <c r="AG3" s="583"/>
      <c r="AH3" s="583"/>
      <c r="AI3" s="585"/>
      <c r="AJ3" s="585"/>
      <c r="BH3" s="69"/>
      <c r="BI3" s="69"/>
      <c r="BL3" s="19"/>
      <c r="BM3" s="19"/>
    </row>
    <row r="4" spans="1:68" s="743" customFormat="1" ht="32.25" customHeight="1" x14ac:dyDescent="0.25">
      <c r="A4" s="735" t="s">
        <v>346</v>
      </c>
      <c r="B4" s="736" t="s">
        <v>10</v>
      </c>
      <c r="C4" s="736" t="s">
        <v>338</v>
      </c>
      <c r="D4" s="736" t="s">
        <v>532</v>
      </c>
      <c r="E4" s="736" t="s">
        <v>533</v>
      </c>
      <c r="F4" s="735" t="s">
        <v>0</v>
      </c>
      <c r="G4" s="736" t="s">
        <v>339</v>
      </c>
      <c r="H4" s="736" t="s">
        <v>529</v>
      </c>
      <c r="I4" s="736" t="s">
        <v>528</v>
      </c>
      <c r="J4" s="736" t="s">
        <v>530</v>
      </c>
      <c r="K4" s="736" t="s">
        <v>531</v>
      </c>
      <c r="L4" s="735" t="s">
        <v>9</v>
      </c>
      <c r="M4" s="735" t="s">
        <v>8</v>
      </c>
      <c r="N4" s="736" t="s">
        <v>2</v>
      </c>
      <c r="O4" s="736" t="s">
        <v>3</v>
      </c>
      <c r="P4" s="735" t="s">
        <v>649</v>
      </c>
      <c r="Q4" s="737" t="s">
        <v>4</v>
      </c>
      <c r="R4" s="738" t="s">
        <v>5</v>
      </c>
      <c r="S4" s="880" t="s">
        <v>337</v>
      </c>
      <c r="T4" s="735" t="s">
        <v>807</v>
      </c>
      <c r="U4" s="735" t="s">
        <v>754</v>
      </c>
      <c r="V4" s="735" t="s">
        <v>24</v>
      </c>
      <c r="W4" s="735" t="s">
        <v>861</v>
      </c>
      <c r="X4" s="735" t="s">
        <v>650</v>
      </c>
      <c r="Y4" s="735" t="s">
        <v>756</v>
      </c>
      <c r="Z4" s="739" t="s">
        <v>757</v>
      </c>
      <c r="AA4" s="739" t="s">
        <v>762</v>
      </c>
      <c r="AB4" s="739" t="s">
        <v>1017</v>
      </c>
      <c r="AC4" s="735" t="s">
        <v>663</v>
      </c>
      <c r="AD4" s="740" t="s">
        <v>662</v>
      </c>
      <c r="AE4" s="735" t="s">
        <v>340</v>
      </c>
      <c r="AF4" s="735" t="s">
        <v>341</v>
      </c>
      <c r="AG4" s="741" t="s">
        <v>350</v>
      </c>
      <c r="AH4" s="740" t="s">
        <v>345</v>
      </c>
      <c r="AI4" s="735" t="s">
        <v>799</v>
      </c>
      <c r="AJ4" s="742" t="s">
        <v>805</v>
      </c>
      <c r="BO4" s="744"/>
      <c r="BP4" s="744"/>
    </row>
    <row r="5" spans="1:68" ht="13.5" customHeight="1" x14ac:dyDescent="0.25">
      <c r="A5" s="358" t="s">
        <v>348</v>
      </c>
      <c r="B5" s="358" t="s">
        <v>7</v>
      </c>
      <c r="C5" s="358" t="s">
        <v>351</v>
      </c>
      <c r="D5" s="358" t="s">
        <v>20</v>
      </c>
      <c r="E5" s="358" t="s">
        <v>621</v>
      </c>
      <c r="F5" s="358" t="s">
        <v>20</v>
      </c>
      <c r="G5" s="358" t="s">
        <v>448</v>
      </c>
      <c r="H5" s="358" t="s">
        <v>449</v>
      </c>
      <c r="I5" s="358" t="s">
        <v>514</v>
      </c>
      <c r="J5" s="358" t="s">
        <v>449</v>
      </c>
      <c r="K5" s="358" t="s">
        <v>450</v>
      </c>
      <c r="L5" s="358" t="s">
        <v>105</v>
      </c>
      <c r="M5" s="358" t="s">
        <v>193</v>
      </c>
      <c r="N5" s="75">
        <v>92.365793999999994</v>
      </c>
      <c r="O5" s="75">
        <v>20.819958</v>
      </c>
      <c r="P5" s="361"/>
      <c r="Q5" s="869">
        <v>12</v>
      </c>
      <c r="R5" s="868">
        <v>87</v>
      </c>
      <c r="S5" s="881">
        <v>6.875</v>
      </c>
      <c r="T5" s="638" t="s">
        <v>343</v>
      </c>
      <c r="U5" s="638" t="s">
        <v>755</v>
      </c>
      <c r="V5" s="638" t="s">
        <v>23</v>
      </c>
      <c r="W5" s="358"/>
      <c r="X5" s="358"/>
      <c r="Y5" s="358"/>
      <c r="Z5" s="358" t="s">
        <v>656</v>
      </c>
      <c r="AA5" s="358" t="str">
        <f>CONCATENATE(Camp_List[[#This Row],[Ethnicity]],"-",Camp_List[[#This Row],[Religion]])</f>
        <v>-Muslim</v>
      </c>
      <c r="AB5" s="289" t="s">
        <v>512</v>
      </c>
      <c r="AC5" s="358" t="s">
        <v>661</v>
      </c>
      <c r="AD5" s="705" t="s">
        <v>285</v>
      </c>
      <c r="AE5" s="358" t="s">
        <v>504</v>
      </c>
      <c r="AF5" s="358" t="s">
        <v>519</v>
      </c>
      <c r="AG5" s="290">
        <v>42766</v>
      </c>
      <c r="AH5" s="702" t="s">
        <v>1021</v>
      </c>
      <c r="AI5" s="75" t="str">
        <f>IFERROR(VLOOKUP(Camp_List[[#This Row],[Responsible Agency]],Organization_t[],3,0),"")</f>
        <v>Richard Tracey, CCCM/NFI Cluster Coordinator, tracey@unhcr.org,09448027896</v>
      </c>
      <c r="AJ5" s="574">
        <f>IF((SUMIFS(Data_Shelter_t[Coverage],Data_Shelter_t[Pcode],Camp_List[[#This Row],[P_Code]]))&gt;1,1,SUMIFS(Data_Shelter_t[Coverage],Data_Shelter_t[Pcode],Camp_List[[#This Row],[P_Code]]))</f>
        <v>0</v>
      </c>
      <c r="BL5" s="19"/>
      <c r="BM5" s="19"/>
      <c r="BO5" s="69"/>
      <c r="BP5" s="69"/>
    </row>
    <row r="6" spans="1:68" ht="13.5" customHeight="1" x14ac:dyDescent="0.25">
      <c r="A6" s="358" t="s">
        <v>348</v>
      </c>
      <c r="B6" s="358" t="s">
        <v>7</v>
      </c>
      <c r="C6" s="358" t="s">
        <v>351</v>
      </c>
      <c r="D6" s="358" t="s">
        <v>20</v>
      </c>
      <c r="E6" s="358" t="s">
        <v>621</v>
      </c>
      <c r="F6" s="358" t="s">
        <v>20</v>
      </c>
      <c r="G6" s="358" t="s">
        <v>448</v>
      </c>
      <c r="H6" s="358" t="s">
        <v>456</v>
      </c>
      <c r="I6" s="358" t="s">
        <v>455</v>
      </c>
      <c r="J6" s="358" t="s">
        <v>470</v>
      </c>
      <c r="K6" s="358">
        <v>197988</v>
      </c>
      <c r="L6" s="358" t="s">
        <v>109</v>
      </c>
      <c r="M6" s="358" t="s">
        <v>197</v>
      </c>
      <c r="N6" s="75">
        <v>92.443427999999997</v>
      </c>
      <c r="O6" s="75">
        <v>20.714846999999999</v>
      </c>
      <c r="P6" s="361"/>
      <c r="Q6" s="869">
        <v>48</v>
      </c>
      <c r="R6" s="868">
        <v>291</v>
      </c>
      <c r="S6" s="881">
        <v>6.020833333333333</v>
      </c>
      <c r="T6" s="638" t="s">
        <v>343</v>
      </c>
      <c r="U6" s="638" t="s">
        <v>755</v>
      </c>
      <c r="V6" s="638" t="s">
        <v>23</v>
      </c>
      <c r="W6" s="358"/>
      <c r="X6" s="358"/>
      <c r="Y6" s="358"/>
      <c r="Z6" s="358" t="s">
        <v>656</v>
      </c>
      <c r="AA6" s="358" t="str">
        <f>CONCATENATE(Camp_List[[#This Row],[Ethnicity]],"-",Camp_List[[#This Row],[Religion]])</f>
        <v>-Muslim</v>
      </c>
      <c r="AB6" s="289" t="s">
        <v>1018</v>
      </c>
      <c r="AC6" s="358" t="s">
        <v>661</v>
      </c>
      <c r="AD6" s="705" t="s">
        <v>285</v>
      </c>
      <c r="AE6" s="358" t="s">
        <v>504</v>
      </c>
      <c r="AF6" s="358" t="s">
        <v>519</v>
      </c>
      <c r="AG6" s="290">
        <v>42766</v>
      </c>
      <c r="AH6" s="702" t="s">
        <v>1022</v>
      </c>
      <c r="AI6" s="75" t="str">
        <f>IFERROR(VLOOKUP(Camp_List[[#This Row],[Responsible Agency]],Organization_t[],3,0),"")</f>
        <v>Richard Tracey, CCCM/NFI Cluster Coordinator, tracey@unhcr.org,09448027896</v>
      </c>
      <c r="AJ6" s="574">
        <f>IF((SUMIFS(Data_Shelter_t[Coverage],Data_Shelter_t[Pcode],Camp_List[[#This Row],[P_Code]]))&gt;1,1,SUMIFS(Data_Shelter_t[Coverage],Data_Shelter_t[Pcode],Camp_List[[#This Row],[P_Code]]))</f>
        <v>0</v>
      </c>
      <c r="BL6" s="19"/>
      <c r="BM6" s="19"/>
      <c r="BO6" s="69"/>
      <c r="BP6" s="69"/>
    </row>
    <row r="7" spans="1:68" ht="13.5" customHeight="1" x14ac:dyDescent="0.25">
      <c r="A7" s="358" t="s">
        <v>348</v>
      </c>
      <c r="B7" s="358" t="s">
        <v>7</v>
      </c>
      <c r="C7" s="358" t="s">
        <v>612</v>
      </c>
      <c r="D7" s="358" t="s">
        <v>20</v>
      </c>
      <c r="E7" s="358" t="s">
        <v>621</v>
      </c>
      <c r="F7" s="358" t="s">
        <v>20</v>
      </c>
      <c r="G7" s="358" t="s">
        <v>448</v>
      </c>
      <c r="H7" s="358" t="s">
        <v>452</v>
      </c>
      <c r="I7" s="358" t="s">
        <v>451</v>
      </c>
      <c r="J7" s="633" t="s">
        <v>461</v>
      </c>
      <c r="K7" s="358">
        <v>198049</v>
      </c>
      <c r="L7" s="358" t="s">
        <v>616</v>
      </c>
      <c r="M7" s="358" t="s">
        <v>620</v>
      </c>
      <c r="N7" s="75">
        <v>92.435378</v>
      </c>
      <c r="O7" s="75">
        <v>20.713882999999999</v>
      </c>
      <c r="P7" s="358"/>
      <c r="Q7" s="869">
        <v>59</v>
      </c>
      <c r="R7" s="868">
        <v>344</v>
      </c>
      <c r="S7" s="881">
        <v>5.7288135593220337</v>
      </c>
      <c r="T7" s="638" t="s">
        <v>343</v>
      </c>
      <c r="U7" s="638" t="s">
        <v>755</v>
      </c>
      <c r="V7" s="638" t="s">
        <v>23</v>
      </c>
      <c r="W7" s="358"/>
      <c r="X7" s="358"/>
      <c r="Y7" s="358"/>
      <c r="Z7" s="358" t="s">
        <v>656</v>
      </c>
      <c r="AA7" s="358" t="str">
        <f>CONCATENATE(Camp_List[[#This Row],[Ethnicity]],"-",Camp_List[[#This Row],[Religion]])</f>
        <v>-Muslim</v>
      </c>
      <c r="AB7" s="289" t="s">
        <v>1018</v>
      </c>
      <c r="AC7" s="358" t="s">
        <v>661</v>
      </c>
      <c r="AD7" s="705" t="s">
        <v>285</v>
      </c>
      <c r="AE7" s="358" t="s">
        <v>504</v>
      </c>
      <c r="AF7" s="358" t="s">
        <v>519</v>
      </c>
      <c r="AG7" s="290">
        <v>42766</v>
      </c>
      <c r="AH7" s="703" t="s">
        <v>1023</v>
      </c>
      <c r="AI7" s="75" t="str">
        <f>IFERROR(VLOOKUP(Camp_List[[#This Row],[Responsible Agency]],Organization_t[],3,0),"")</f>
        <v>Richard Tracey, CCCM/NFI Cluster Coordinator, tracey@unhcr.org,09448027896</v>
      </c>
      <c r="AJ7" s="574">
        <f>IF((SUMIFS(Data_Shelter_t[Coverage],Data_Shelter_t[Pcode],Camp_List[[#This Row],[P_Code]]))&gt;1,1,SUMIFS(Data_Shelter_t[Coverage],Data_Shelter_t[Pcode],Camp_List[[#This Row],[P_Code]]))</f>
        <v>0</v>
      </c>
      <c r="BL7" s="19"/>
      <c r="BM7" s="19"/>
      <c r="BO7" s="69"/>
      <c r="BP7" s="69"/>
    </row>
    <row r="8" spans="1:68" ht="13.5" customHeight="1" x14ac:dyDescent="0.25">
      <c r="A8" s="358" t="s">
        <v>348</v>
      </c>
      <c r="B8" s="358" t="s">
        <v>7</v>
      </c>
      <c r="C8" s="358" t="s">
        <v>351</v>
      </c>
      <c r="D8" s="358" t="s">
        <v>20</v>
      </c>
      <c r="E8" s="358" t="s">
        <v>621</v>
      </c>
      <c r="F8" s="358" t="s">
        <v>20</v>
      </c>
      <c r="G8" s="358" t="s">
        <v>448</v>
      </c>
      <c r="H8" s="358" t="s">
        <v>449</v>
      </c>
      <c r="I8" s="358" t="s">
        <v>514</v>
      </c>
      <c r="J8" s="358" t="s">
        <v>449</v>
      </c>
      <c r="K8" s="358" t="s">
        <v>450</v>
      </c>
      <c r="L8" s="358" t="s">
        <v>871</v>
      </c>
      <c r="M8" s="358" t="s">
        <v>192</v>
      </c>
      <c r="N8" s="75">
        <v>92.362932999999998</v>
      </c>
      <c r="O8" s="75">
        <v>20.827044000000001</v>
      </c>
      <c r="P8" s="361"/>
      <c r="Q8" s="869">
        <v>8</v>
      </c>
      <c r="R8" s="868">
        <v>38</v>
      </c>
      <c r="S8" s="881">
        <v>5.0999999999999996</v>
      </c>
      <c r="T8" s="638" t="s">
        <v>343</v>
      </c>
      <c r="U8" s="638" t="s">
        <v>755</v>
      </c>
      <c r="V8" s="638" t="s">
        <v>23</v>
      </c>
      <c r="W8" s="358"/>
      <c r="X8" s="358"/>
      <c r="Y8" s="358"/>
      <c r="Z8" s="358" t="s">
        <v>656</v>
      </c>
      <c r="AA8" s="358" t="str">
        <f>CONCATENATE(Camp_List[[#This Row],[Ethnicity]],"-",Camp_List[[#This Row],[Religion]])</f>
        <v>-Muslim</v>
      </c>
      <c r="AB8" s="289" t="s">
        <v>512</v>
      </c>
      <c r="AC8" s="358" t="s">
        <v>661</v>
      </c>
      <c r="AD8" s="705" t="s">
        <v>285</v>
      </c>
      <c r="AE8" s="358" t="s">
        <v>504</v>
      </c>
      <c r="AF8" s="358" t="s">
        <v>519</v>
      </c>
      <c r="AG8" s="290">
        <v>42766</v>
      </c>
      <c r="AH8" s="633" t="s">
        <v>1024</v>
      </c>
      <c r="AI8" s="75" t="str">
        <f>IFERROR(VLOOKUP(Camp_List[[#This Row],[Responsible Agency]],Organization_t[],3,0),"")</f>
        <v>Richard Tracey, CCCM/NFI Cluster Coordinator, tracey@unhcr.org,09448027896</v>
      </c>
      <c r="AJ8" s="574">
        <f>IF((SUMIFS(Data_Shelter_t[Coverage],Data_Shelter_t[Pcode],Camp_List[[#This Row],[P_Code]]))&gt;1,1,SUMIFS(Data_Shelter_t[Coverage],Data_Shelter_t[Pcode],Camp_List[[#This Row],[P_Code]]))</f>
        <v>0</v>
      </c>
      <c r="BL8" s="19"/>
      <c r="BM8" s="19"/>
      <c r="BO8" s="69"/>
      <c r="BP8" s="69"/>
    </row>
    <row r="9" spans="1:68" ht="13.5" customHeight="1" x14ac:dyDescent="0.25">
      <c r="A9" s="358" t="s">
        <v>348</v>
      </c>
      <c r="B9" s="358" t="s">
        <v>7</v>
      </c>
      <c r="C9" s="358" t="s">
        <v>351</v>
      </c>
      <c r="D9" s="358" t="s">
        <v>20</v>
      </c>
      <c r="E9" s="358" t="s">
        <v>621</v>
      </c>
      <c r="F9" s="358" t="s">
        <v>20</v>
      </c>
      <c r="G9" s="358" t="s">
        <v>448</v>
      </c>
      <c r="H9" s="358" t="s">
        <v>464</v>
      </c>
      <c r="I9" s="358" t="s">
        <v>463</v>
      </c>
      <c r="J9" s="358" t="s">
        <v>465</v>
      </c>
      <c r="K9" s="358">
        <v>197868</v>
      </c>
      <c r="L9" s="634" t="s">
        <v>872</v>
      </c>
      <c r="M9" s="360" t="s">
        <v>283</v>
      </c>
      <c r="N9" s="75">
        <v>92.338031000000001</v>
      </c>
      <c r="O9" s="75">
        <v>21.066663999999999</v>
      </c>
      <c r="P9" s="634"/>
      <c r="Q9" s="869">
        <v>8</v>
      </c>
      <c r="R9" s="868">
        <v>58</v>
      </c>
      <c r="S9" s="881">
        <v>7.375</v>
      </c>
      <c r="T9" s="360" t="s">
        <v>343</v>
      </c>
      <c r="U9" s="638" t="s">
        <v>755</v>
      </c>
      <c r="V9" s="638" t="s">
        <v>23</v>
      </c>
      <c r="W9" s="358"/>
      <c r="X9" s="358"/>
      <c r="Y9" s="358"/>
      <c r="Z9" s="358" t="s">
        <v>656</v>
      </c>
      <c r="AA9" s="358" t="str">
        <f>CONCATENATE(Camp_List[[#This Row],[Ethnicity]],"-",Camp_List[[#This Row],[Religion]])</f>
        <v>-Muslim</v>
      </c>
      <c r="AB9" s="289" t="s">
        <v>1018</v>
      </c>
      <c r="AC9" s="358" t="s">
        <v>661</v>
      </c>
      <c r="AD9" s="705" t="s">
        <v>285</v>
      </c>
      <c r="AE9" s="358" t="s">
        <v>504</v>
      </c>
      <c r="AF9" s="358" t="s">
        <v>519</v>
      </c>
      <c r="AG9" s="290">
        <v>42766</v>
      </c>
      <c r="AH9" s="704"/>
      <c r="AI9" s="75" t="str">
        <f>IFERROR(VLOOKUP(Camp_List[[#This Row],[Responsible Agency]],Organization_t[],3,0),"")</f>
        <v>Richard Tracey, CCCM/NFI Cluster Coordinator, tracey@unhcr.org,09448027896</v>
      </c>
      <c r="AJ9" s="574">
        <f>IF((SUMIFS(Data_Shelter_t[Coverage],Data_Shelter_t[Pcode],Camp_List[[#This Row],[P_Code]]))&gt;1,1,SUMIFS(Data_Shelter_t[Coverage],Data_Shelter_t[Pcode],Camp_List[[#This Row],[P_Code]]))</f>
        <v>0</v>
      </c>
      <c r="BL9" s="19"/>
      <c r="BM9" s="19"/>
      <c r="BO9" s="69"/>
      <c r="BP9" s="69"/>
    </row>
    <row r="10" spans="1:68" ht="13.5" customHeight="1" x14ac:dyDescent="0.25">
      <c r="A10" s="358" t="s">
        <v>348</v>
      </c>
      <c r="B10" s="358" t="s">
        <v>7</v>
      </c>
      <c r="C10" s="358" t="s">
        <v>351</v>
      </c>
      <c r="D10" s="358" t="s">
        <v>20</v>
      </c>
      <c r="E10" s="358" t="s">
        <v>621</v>
      </c>
      <c r="F10" s="358" t="s">
        <v>20</v>
      </c>
      <c r="G10" s="358" t="s">
        <v>448</v>
      </c>
      <c r="H10" s="358" t="s">
        <v>454</v>
      </c>
      <c r="I10" s="358" t="s">
        <v>453</v>
      </c>
      <c r="J10" s="358" t="s">
        <v>471</v>
      </c>
      <c r="K10" s="358">
        <v>197990</v>
      </c>
      <c r="L10" s="358" t="s">
        <v>107</v>
      </c>
      <c r="M10" s="358" t="s">
        <v>195</v>
      </c>
      <c r="N10" s="75">
        <v>92.401293999999993</v>
      </c>
      <c r="O10" s="75">
        <v>20.824517</v>
      </c>
      <c r="P10" s="361"/>
      <c r="Q10" s="869">
        <v>10</v>
      </c>
      <c r="R10" s="868">
        <v>57</v>
      </c>
      <c r="S10" s="881">
        <v>7</v>
      </c>
      <c r="T10" s="638" t="s">
        <v>343</v>
      </c>
      <c r="U10" s="638" t="s">
        <v>755</v>
      </c>
      <c r="V10" s="638" t="s">
        <v>23</v>
      </c>
      <c r="W10" s="358"/>
      <c r="X10" s="358"/>
      <c r="Y10" s="358"/>
      <c r="Z10" s="358" t="s">
        <v>656</v>
      </c>
      <c r="AA10" s="358" t="str">
        <f>CONCATENATE(Camp_List[[#This Row],[Ethnicity]],"-",Camp_List[[#This Row],[Religion]])</f>
        <v>-Muslim</v>
      </c>
      <c r="AB10" s="289" t="s">
        <v>512</v>
      </c>
      <c r="AC10" s="358" t="s">
        <v>661</v>
      </c>
      <c r="AD10" s="705" t="s">
        <v>285</v>
      </c>
      <c r="AE10" s="358" t="s">
        <v>504</v>
      </c>
      <c r="AF10" s="358" t="s">
        <v>519</v>
      </c>
      <c r="AG10" s="290">
        <v>42766</v>
      </c>
      <c r="AH10" s="703" t="s">
        <v>1026</v>
      </c>
      <c r="AI10" s="75" t="str">
        <f>IFERROR(VLOOKUP(Camp_List[[#This Row],[Responsible Agency]],Organization_t[],3,0),"")</f>
        <v>Richard Tracey, CCCM/NFI Cluster Coordinator, tracey@unhcr.org,09448027896</v>
      </c>
      <c r="AJ10" s="574">
        <f>IF((SUMIFS(Data_Shelter_t[Coverage],Data_Shelter_t[Pcode],Camp_List[[#This Row],[P_Code]]))&gt;1,1,SUMIFS(Data_Shelter_t[Coverage],Data_Shelter_t[Pcode],Camp_List[[#This Row],[P_Code]]))</f>
        <v>0</v>
      </c>
      <c r="BL10" s="19"/>
      <c r="BM10" s="19"/>
      <c r="BO10" s="69"/>
      <c r="BP10" s="69"/>
    </row>
    <row r="11" spans="1:68" ht="13.5" customHeight="1" x14ac:dyDescent="0.25">
      <c r="A11" s="358" t="s">
        <v>348</v>
      </c>
      <c r="B11" s="358" t="s">
        <v>7</v>
      </c>
      <c r="C11" s="358" t="s">
        <v>351</v>
      </c>
      <c r="D11" s="358" t="s">
        <v>20</v>
      </c>
      <c r="E11" s="358" t="s">
        <v>621</v>
      </c>
      <c r="F11" s="358" t="s">
        <v>20</v>
      </c>
      <c r="G11" s="358" t="s">
        <v>448</v>
      </c>
      <c r="H11" s="358" t="s">
        <v>454</v>
      </c>
      <c r="I11" s="358" t="s">
        <v>453</v>
      </c>
      <c r="J11" s="358" t="s">
        <v>1033</v>
      </c>
      <c r="K11" s="358" t="s">
        <v>1034</v>
      </c>
      <c r="L11" s="634" t="s">
        <v>873</v>
      </c>
      <c r="M11" s="360" t="s">
        <v>284</v>
      </c>
      <c r="N11" s="75">
        <v>92.416683000000006</v>
      </c>
      <c r="O11" s="75">
        <v>20.833831</v>
      </c>
      <c r="P11" s="634"/>
      <c r="Q11" s="869">
        <v>35</v>
      </c>
      <c r="R11" s="868">
        <v>243</v>
      </c>
      <c r="S11" s="881">
        <v>7.5384615384615383</v>
      </c>
      <c r="T11" s="360" t="s">
        <v>343</v>
      </c>
      <c r="U11" s="638" t="s">
        <v>755</v>
      </c>
      <c r="V11" s="638" t="s">
        <v>23</v>
      </c>
      <c r="W11" s="358"/>
      <c r="X11" s="358"/>
      <c r="Y11" s="358"/>
      <c r="Z11" s="358" t="s">
        <v>656</v>
      </c>
      <c r="AA11" s="358" t="str">
        <f>CONCATENATE(Camp_List[[#This Row],[Ethnicity]],"-",Camp_List[[#This Row],[Religion]])</f>
        <v>-Muslim</v>
      </c>
      <c r="AB11" s="289" t="s">
        <v>512</v>
      </c>
      <c r="AC11" s="358" t="s">
        <v>661</v>
      </c>
      <c r="AD11" s="705" t="s">
        <v>285</v>
      </c>
      <c r="AE11" s="358" t="s">
        <v>504</v>
      </c>
      <c r="AF11" s="358" t="s">
        <v>519</v>
      </c>
      <c r="AG11" s="290">
        <v>42766</v>
      </c>
      <c r="AH11" s="703" t="s">
        <v>1027</v>
      </c>
      <c r="AI11" s="75" t="str">
        <f>IFERROR(VLOOKUP(Camp_List[[#This Row],[Responsible Agency]],Organization_t[],3,0),"")</f>
        <v>Richard Tracey, CCCM/NFI Cluster Coordinator, tracey@unhcr.org,09448027896</v>
      </c>
      <c r="AJ11" s="574">
        <f>IF((SUMIFS(Data_Shelter_t[Coverage],Data_Shelter_t[Pcode],Camp_List[[#This Row],[P_Code]]))&gt;1,1,SUMIFS(Data_Shelter_t[Coverage],Data_Shelter_t[Pcode],Camp_List[[#This Row],[P_Code]]))</f>
        <v>0</v>
      </c>
      <c r="BL11" s="19"/>
      <c r="BM11" s="19"/>
      <c r="BO11" s="69"/>
      <c r="BP11" s="69"/>
    </row>
    <row r="12" spans="1:68" ht="13.5" customHeight="1" x14ac:dyDescent="0.25">
      <c r="A12" s="358" t="s">
        <v>348</v>
      </c>
      <c r="B12" s="358" t="s">
        <v>7</v>
      </c>
      <c r="C12" s="358" t="s">
        <v>351</v>
      </c>
      <c r="D12" s="358" t="s">
        <v>20</v>
      </c>
      <c r="E12" s="358" t="s">
        <v>621</v>
      </c>
      <c r="F12" s="358" t="s">
        <v>20</v>
      </c>
      <c r="G12" s="358" t="s">
        <v>448</v>
      </c>
      <c r="H12" s="358" t="s">
        <v>459</v>
      </c>
      <c r="I12" s="358" t="s">
        <v>514</v>
      </c>
      <c r="J12" s="358" t="s">
        <v>459</v>
      </c>
      <c r="K12" s="358" t="s">
        <v>460</v>
      </c>
      <c r="L12" s="358" t="s">
        <v>106</v>
      </c>
      <c r="M12" s="358" t="s">
        <v>194</v>
      </c>
      <c r="N12" s="75">
        <v>92.367852999999997</v>
      </c>
      <c r="O12" s="75">
        <v>20.825306000000001</v>
      </c>
      <c r="P12" s="361"/>
      <c r="Q12" s="869">
        <v>4</v>
      </c>
      <c r="R12" s="868">
        <v>30</v>
      </c>
      <c r="S12" s="881">
        <v>7.6</v>
      </c>
      <c r="T12" s="638" t="s">
        <v>343</v>
      </c>
      <c r="U12" s="638" t="s">
        <v>755</v>
      </c>
      <c r="V12" s="638" t="s">
        <v>23</v>
      </c>
      <c r="W12" s="358"/>
      <c r="X12" s="358"/>
      <c r="Y12" s="358"/>
      <c r="Z12" s="358" t="s">
        <v>656</v>
      </c>
      <c r="AA12" s="358" t="str">
        <f>CONCATENATE(Camp_List[[#This Row],[Ethnicity]],"-",Camp_List[[#This Row],[Religion]])</f>
        <v>-Muslim</v>
      </c>
      <c r="AB12" s="289" t="s">
        <v>512</v>
      </c>
      <c r="AC12" s="358" t="s">
        <v>661</v>
      </c>
      <c r="AD12" s="705" t="s">
        <v>285</v>
      </c>
      <c r="AE12" s="358" t="s">
        <v>504</v>
      </c>
      <c r="AF12" s="358" t="s">
        <v>519</v>
      </c>
      <c r="AG12" s="290">
        <v>42766</v>
      </c>
      <c r="AH12" s="703" t="s">
        <v>1016</v>
      </c>
      <c r="AI12" s="75" t="str">
        <f>IFERROR(VLOOKUP(Camp_List[[#This Row],[Responsible Agency]],Organization_t[],3,0),"")</f>
        <v>Richard Tracey, CCCM/NFI Cluster Coordinator, tracey@unhcr.org,09448027896</v>
      </c>
      <c r="AJ12" s="574">
        <f>IF((SUMIFS(Data_Shelter_t[Coverage],Data_Shelter_t[Pcode],Camp_List[[#This Row],[P_Code]]))&gt;1,1,SUMIFS(Data_Shelter_t[Coverage],Data_Shelter_t[Pcode],Camp_List[[#This Row],[P_Code]]))</f>
        <v>0</v>
      </c>
      <c r="BL12" s="19"/>
      <c r="BM12" s="19"/>
      <c r="BO12" s="69"/>
      <c r="BP12" s="69"/>
    </row>
    <row r="13" spans="1:68" ht="13.5" customHeight="1" x14ac:dyDescent="0.25">
      <c r="A13" s="358" t="s">
        <v>348</v>
      </c>
      <c r="B13" s="358" t="s">
        <v>7</v>
      </c>
      <c r="C13" s="358" t="s">
        <v>351</v>
      </c>
      <c r="D13" s="358" t="s">
        <v>19</v>
      </c>
      <c r="E13" s="358" t="s">
        <v>603</v>
      </c>
      <c r="F13" s="358" t="s">
        <v>14</v>
      </c>
      <c r="G13" s="358" t="s">
        <v>372</v>
      </c>
      <c r="H13" s="358" t="s">
        <v>378</v>
      </c>
      <c r="I13" s="358" t="s">
        <v>377</v>
      </c>
      <c r="J13" s="358" t="s">
        <v>490</v>
      </c>
      <c r="K13" s="358">
        <v>197537</v>
      </c>
      <c r="L13" s="358" t="s">
        <v>40</v>
      </c>
      <c r="M13" s="358" t="s">
        <v>126</v>
      </c>
      <c r="N13" s="75">
        <v>92.985095000000001</v>
      </c>
      <c r="O13" s="75">
        <v>20.108101999999999</v>
      </c>
      <c r="P13" s="358"/>
      <c r="Q13" s="869">
        <v>1238</v>
      </c>
      <c r="R13" s="868">
        <v>4280</v>
      </c>
      <c r="S13" s="881">
        <v>3.7019064124783361</v>
      </c>
      <c r="T13" s="638" t="s">
        <v>343</v>
      </c>
      <c r="U13" s="638" t="s">
        <v>755</v>
      </c>
      <c r="V13" s="638" t="s">
        <v>22</v>
      </c>
      <c r="W13" s="360"/>
      <c r="X13" s="358"/>
      <c r="Y13" s="358"/>
      <c r="Z13" s="358" t="s">
        <v>656</v>
      </c>
      <c r="AA13" s="358" t="str">
        <f>CONCATENATE(Camp_List[[#This Row],[Ethnicity]],"-",Camp_List[[#This Row],[Religion]])</f>
        <v>-Muslim</v>
      </c>
      <c r="AB13" s="289" t="s">
        <v>1018</v>
      </c>
      <c r="AC13" s="358" t="s">
        <v>660</v>
      </c>
      <c r="AD13" s="705" t="s">
        <v>623</v>
      </c>
      <c r="AE13" s="358" t="s">
        <v>878</v>
      </c>
      <c r="AF13" s="358" t="s">
        <v>879</v>
      </c>
      <c r="AG13" s="290">
        <v>42825</v>
      </c>
      <c r="AH13" s="644" t="s">
        <v>1155</v>
      </c>
      <c r="AI13" s="75" t="str">
        <f>IFERROR(VLOOKUP(Camp_List[[#This Row],[Responsible Agency]],Organization_t[],3,0),"")</f>
        <v>Yadu Shresk
Emergency Project Coordinator
campro.mmr@lwfdws.org</v>
      </c>
      <c r="AJ13" s="574">
        <f ca="1">IF((SUMIFS(Data_Shelter_t[Coverage],Data_Shelter_t[Pcode],Camp_List[[#This Row],[P_Code]]))&gt;1,1,SUMIFS(Data_Shelter_t[Coverage],Data_Shelter_t[Pcode],Camp_List[[#This Row],[P_Code]]))</f>
        <v>0.62035541195476573</v>
      </c>
      <c r="BL13" s="19"/>
      <c r="BM13" s="19"/>
      <c r="BO13" s="69"/>
      <c r="BP13" s="69"/>
    </row>
    <row r="14" spans="1:68" ht="13.5" customHeight="1" x14ac:dyDescent="0.25">
      <c r="A14" s="358" t="s">
        <v>348</v>
      </c>
      <c r="B14" s="358" t="s">
        <v>7</v>
      </c>
      <c r="C14" s="358" t="s">
        <v>351</v>
      </c>
      <c r="D14" s="358" t="s">
        <v>19</v>
      </c>
      <c r="E14" s="358" t="s">
        <v>603</v>
      </c>
      <c r="F14" s="358" t="s">
        <v>19</v>
      </c>
      <c r="G14" s="358" t="s">
        <v>413</v>
      </c>
      <c r="H14" s="358" t="s">
        <v>501</v>
      </c>
      <c r="I14" s="358" t="s">
        <v>573</v>
      </c>
      <c r="J14" s="358" t="s">
        <v>1037</v>
      </c>
      <c r="K14" s="358" t="s">
        <v>1038</v>
      </c>
      <c r="L14" s="358" t="s">
        <v>61</v>
      </c>
      <c r="M14" s="358" t="s">
        <v>149</v>
      </c>
      <c r="N14" s="75">
        <v>92.875814000000005</v>
      </c>
      <c r="O14" s="75">
        <v>20.128488999999998</v>
      </c>
      <c r="P14" s="358"/>
      <c r="Q14" s="869">
        <v>397</v>
      </c>
      <c r="R14" s="868">
        <v>2240</v>
      </c>
      <c r="S14" s="881">
        <v>5.1612090680100753</v>
      </c>
      <c r="T14" s="638" t="s">
        <v>343</v>
      </c>
      <c r="U14" s="638" t="s">
        <v>755</v>
      </c>
      <c r="V14" s="638" t="s">
        <v>22</v>
      </c>
      <c r="W14" s="358"/>
      <c r="X14" s="358"/>
      <c r="Y14" s="358"/>
      <c r="Z14" s="358" t="s">
        <v>656</v>
      </c>
      <c r="AA14" s="358" t="str">
        <f>CONCATENATE(Camp_List[[#This Row],[Ethnicity]],"-",Camp_List[[#This Row],[Religion]])</f>
        <v>-Muslim</v>
      </c>
      <c r="AB14" s="358" t="s">
        <v>1018</v>
      </c>
      <c r="AC14" s="358" t="s">
        <v>660</v>
      </c>
      <c r="AD14" s="705" t="s">
        <v>623</v>
      </c>
      <c r="AE14" s="358" t="s">
        <v>878</v>
      </c>
      <c r="AF14" s="358" t="s">
        <v>879</v>
      </c>
      <c r="AG14" s="290">
        <v>42825</v>
      </c>
      <c r="AH14" s="644" t="s">
        <v>1155</v>
      </c>
      <c r="AI14" s="75" t="str">
        <f>IFERROR(VLOOKUP(Camp_List[[#This Row],[Responsible Agency]],Organization_t[],3,0),"")</f>
        <v>Yadu Shresk
Emergency Project Coordinator
campro.mmr@lwfdws.org</v>
      </c>
      <c r="AJ14" s="574">
        <f ca="1">IF((SUMIFS(Data_Shelter_t[Coverage],Data_Shelter_t[Pcode],Camp_List[[#This Row],[P_Code]]))&gt;1,1,SUMIFS(Data_Shelter_t[Coverage],Data_Shelter_t[Pcode],Camp_List[[#This Row],[P_Code]]))</f>
        <v>1</v>
      </c>
      <c r="BL14" s="19"/>
      <c r="BM14" s="19"/>
      <c r="BO14" s="69"/>
      <c r="BP14" s="69"/>
    </row>
    <row r="15" spans="1:68" ht="13.5" customHeight="1" x14ac:dyDescent="0.25">
      <c r="A15" s="358" t="s">
        <v>348</v>
      </c>
      <c r="B15" s="358" t="s">
        <v>7</v>
      </c>
      <c r="C15" s="358" t="s">
        <v>351</v>
      </c>
      <c r="D15" s="358" t="s">
        <v>19</v>
      </c>
      <c r="E15" s="358" t="s">
        <v>603</v>
      </c>
      <c r="F15" s="358" t="s">
        <v>19</v>
      </c>
      <c r="G15" s="358" t="s">
        <v>413</v>
      </c>
      <c r="H15" s="358" t="s">
        <v>419</v>
      </c>
      <c r="I15" s="358" t="s">
        <v>418</v>
      </c>
      <c r="J15" s="358" t="s">
        <v>496</v>
      </c>
      <c r="K15" s="358">
        <v>196192</v>
      </c>
      <c r="L15" s="358" t="s">
        <v>552</v>
      </c>
      <c r="M15" s="358" t="s">
        <v>553</v>
      </c>
      <c r="N15" s="75">
        <v>92.804803000000007</v>
      </c>
      <c r="O15" s="75">
        <v>20.182987000000001</v>
      </c>
      <c r="P15" s="358"/>
      <c r="Q15" s="869">
        <v>41</v>
      </c>
      <c r="R15" s="868">
        <v>226</v>
      </c>
      <c r="S15" s="881">
        <v>5.5121951219512191</v>
      </c>
      <c r="T15" s="638" t="s">
        <v>343</v>
      </c>
      <c r="U15" s="638" t="s">
        <v>755</v>
      </c>
      <c r="V15" s="638" t="s">
        <v>808</v>
      </c>
      <c r="W15" s="358"/>
      <c r="X15" s="358"/>
      <c r="Y15" s="358"/>
      <c r="Z15" s="358" t="s">
        <v>656</v>
      </c>
      <c r="AA15" s="358" t="str">
        <f>CONCATENATE(Camp_List[[#This Row],[Ethnicity]],"-",Camp_List[[#This Row],[Religion]])</f>
        <v>-Muslim</v>
      </c>
      <c r="AB15" s="358" t="s">
        <v>1018</v>
      </c>
      <c r="AC15" s="358" t="s">
        <v>661</v>
      </c>
      <c r="AD15" s="705" t="s">
        <v>285</v>
      </c>
      <c r="AE15" s="358" t="s">
        <v>504</v>
      </c>
      <c r="AF15" s="358" t="s">
        <v>519</v>
      </c>
      <c r="AG15" s="290">
        <v>42766</v>
      </c>
      <c r="AH15" s="358"/>
      <c r="AI15" s="75" t="str">
        <f>IFERROR(VLOOKUP(Camp_List[[#This Row],[Responsible Agency]],Organization_t[],3,0),"")</f>
        <v>Richard Tracey, CCCM/NFI Cluster Coordinator, tracey@unhcr.org,09448027896</v>
      </c>
      <c r="AJ15" s="574">
        <f>IF((SUMIFS(Data_Shelter_t[Coverage],Data_Shelter_t[Pcode],Camp_List[[#This Row],[P_Code]]))&gt;1,1,SUMIFS(Data_Shelter_t[Coverage],Data_Shelter_t[Pcode],Camp_List[[#This Row],[P_Code]]))</f>
        <v>0</v>
      </c>
      <c r="BL15" s="19"/>
      <c r="BM15" s="19"/>
      <c r="BO15" s="69"/>
      <c r="BP15" s="69"/>
    </row>
    <row r="16" spans="1:68" ht="13.5" customHeight="1" x14ac:dyDescent="0.25">
      <c r="A16" s="358" t="s">
        <v>348</v>
      </c>
      <c r="B16" s="358" t="s">
        <v>7</v>
      </c>
      <c r="C16" s="358" t="s">
        <v>351</v>
      </c>
      <c r="D16" s="358" t="s">
        <v>19</v>
      </c>
      <c r="E16" s="358" t="s">
        <v>603</v>
      </c>
      <c r="F16" s="358" t="s">
        <v>19</v>
      </c>
      <c r="G16" s="358" t="s">
        <v>413</v>
      </c>
      <c r="H16" s="358" t="s">
        <v>419</v>
      </c>
      <c r="I16" s="358" t="s">
        <v>418</v>
      </c>
      <c r="J16" s="358" t="s">
        <v>496</v>
      </c>
      <c r="K16" s="358">
        <v>196192</v>
      </c>
      <c r="L16" s="358" t="s">
        <v>629</v>
      </c>
      <c r="M16" s="358" t="s">
        <v>631</v>
      </c>
      <c r="N16" s="75">
        <v>92.813028000000003</v>
      </c>
      <c r="O16" s="75">
        <v>20.179417000000001</v>
      </c>
      <c r="P16" s="358"/>
      <c r="Q16" s="869">
        <v>1011</v>
      </c>
      <c r="R16" s="868">
        <v>4890</v>
      </c>
      <c r="S16" s="881">
        <v>4.8655967903711135</v>
      </c>
      <c r="T16" s="638" t="s">
        <v>343</v>
      </c>
      <c r="U16" s="638" t="s">
        <v>755</v>
      </c>
      <c r="V16" s="638" t="s">
        <v>22</v>
      </c>
      <c r="W16" s="358"/>
      <c r="X16" s="358"/>
      <c r="Y16" s="358"/>
      <c r="Z16" s="358" t="s">
        <v>656</v>
      </c>
      <c r="AA16" s="358" t="str">
        <f>CONCATENATE(Camp_List[[#This Row],[Ethnicity]],"-",Camp_List[[#This Row],[Religion]])</f>
        <v>-Muslim</v>
      </c>
      <c r="AB16" s="358" t="s">
        <v>1018</v>
      </c>
      <c r="AC16" s="358" t="s">
        <v>660</v>
      </c>
      <c r="AD16" s="705" t="s">
        <v>288</v>
      </c>
      <c r="AE16" s="358" t="s">
        <v>878</v>
      </c>
      <c r="AF16" s="358" t="s">
        <v>879</v>
      </c>
      <c r="AG16" s="290">
        <v>42825</v>
      </c>
      <c r="AH16" s="644" t="s">
        <v>1156</v>
      </c>
      <c r="AI16" s="75" t="str">
        <f>IFERROR(VLOOKUP(Camp_List[[#This Row],[Responsible Agency]],Organization_t[],3,0),"")</f>
        <v>Sophie Everest, CCCM Project Coordinator,
sophie.everest@drcmm.org,</v>
      </c>
      <c r="AJ16" s="574">
        <f ca="1">IF((SUMIFS(Data_Shelter_t[Coverage],Data_Shelter_t[Pcode],Camp_List[[#This Row],[P_Code]]))&gt;1,1,SUMIFS(Data_Shelter_t[Coverage],Data_Shelter_t[Pcode],Camp_List[[#This Row],[P_Code]]))</f>
        <v>1</v>
      </c>
      <c r="BL16" s="19"/>
      <c r="BM16" s="19"/>
      <c r="BO16" s="69"/>
      <c r="BP16" s="69"/>
    </row>
    <row r="17" spans="1:69" ht="13.5" customHeight="1" x14ac:dyDescent="0.25">
      <c r="A17" s="358" t="s">
        <v>348</v>
      </c>
      <c r="B17" s="358" t="s">
        <v>7</v>
      </c>
      <c r="C17" s="358" t="s">
        <v>351</v>
      </c>
      <c r="D17" s="358" t="s">
        <v>607</v>
      </c>
      <c r="E17" s="358" t="s">
        <v>608</v>
      </c>
      <c r="F17" s="358" t="s">
        <v>18</v>
      </c>
      <c r="G17" s="358" t="s">
        <v>405</v>
      </c>
      <c r="H17" s="358" t="s">
        <v>408</v>
      </c>
      <c r="I17" s="358" t="s">
        <v>407</v>
      </c>
      <c r="J17" s="358" t="s">
        <v>1032</v>
      </c>
      <c r="K17" s="358" t="s">
        <v>1031</v>
      </c>
      <c r="L17" s="358" t="s">
        <v>59</v>
      </c>
      <c r="M17" s="358" t="s">
        <v>147</v>
      </c>
      <c r="N17" s="75">
        <v>93.857592999999994</v>
      </c>
      <c r="O17" s="75">
        <v>19.088283000000001</v>
      </c>
      <c r="P17" s="358"/>
      <c r="Q17" s="869">
        <v>57</v>
      </c>
      <c r="R17" s="868">
        <v>187</v>
      </c>
      <c r="S17" s="881">
        <v>3.1166666666666667</v>
      </c>
      <c r="T17" s="638" t="s">
        <v>343</v>
      </c>
      <c r="U17" s="638" t="s">
        <v>755</v>
      </c>
      <c r="V17" s="638" t="s">
        <v>22</v>
      </c>
      <c r="W17" s="358"/>
      <c r="X17" s="358"/>
      <c r="Y17" s="358"/>
      <c r="Z17" s="358" t="s">
        <v>656</v>
      </c>
      <c r="AA17" s="358" t="str">
        <f>CONCATENATE(Camp_List[[#This Row],[Ethnicity]],"-",Camp_List[[#This Row],[Religion]])</f>
        <v>-Muslim</v>
      </c>
      <c r="AB17" s="289" t="s">
        <v>512</v>
      </c>
      <c r="AC17" s="358" t="s">
        <v>661</v>
      </c>
      <c r="AD17" s="706" t="s">
        <v>285</v>
      </c>
      <c r="AE17" s="358" t="s">
        <v>504</v>
      </c>
      <c r="AF17" s="358" t="s">
        <v>519</v>
      </c>
      <c r="AG17" s="290">
        <v>42766</v>
      </c>
      <c r="AH17" s="642" t="s">
        <v>1019</v>
      </c>
      <c r="AI17" s="75" t="str">
        <f>IFERROR(VLOOKUP(Camp_List[[#This Row],[Responsible Agency]],Organization_t[],3,0),"")</f>
        <v>Richard Tracey, CCCM/NFI Cluster Coordinator, tracey@unhcr.org,09448027896</v>
      </c>
      <c r="AJ17" s="574">
        <f ca="1">IF((SUMIFS(Data_Shelter_t[Coverage],Data_Shelter_t[Pcode],Camp_List[[#This Row],[P_Code]]))&gt;1,1,SUMIFS(Data_Shelter_t[Coverage],Data_Shelter_t[Pcode],Camp_List[[#This Row],[P_Code]]))</f>
        <v>1</v>
      </c>
      <c r="BL17" s="19"/>
      <c r="BM17" s="19"/>
      <c r="BO17" s="69"/>
      <c r="BP17" s="69"/>
    </row>
    <row r="18" spans="1:69" ht="13.5" customHeight="1" x14ac:dyDescent="0.25">
      <c r="A18" s="358" t="s">
        <v>348</v>
      </c>
      <c r="B18" s="358" t="s">
        <v>7</v>
      </c>
      <c r="C18" s="358" t="s">
        <v>351</v>
      </c>
      <c r="D18" s="358" t="s">
        <v>19</v>
      </c>
      <c r="E18" s="358" t="s">
        <v>603</v>
      </c>
      <c r="F18" s="358" t="s">
        <v>19</v>
      </c>
      <c r="G18" s="358" t="s">
        <v>413</v>
      </c>
      <c r="H18" s="358" t="s">
        <v>419</v>
      </c>
      <c r="I18" s="358" t="s">
        <v>418</v>
      </c>
      <c r="J18" s="358" t="s">
        <v>496</v>
      </c>
      <c r="K18" s="358">
        <v>196192</v>
      </c>
      <c r="L18" s="358" t="s">
        <v>630</v>
      </c>
      <c r="M18" s="358" t="s">
        <v>632</v>
      </c>
      <c r="N18" s="75">
        <v>92.807552000000001</v>
      </c>
      <c r="O18" s="75">
        <v>20.181405999999999</v>
      </c>
      <c r="P18" s="358"/>
      <c r="Q18" s="934">
        <v>1289</v>
      </c>
      <c r="R18" s="868">
        <v>6967</v>
      </c>
      <c r="S18" s="882">
        <v>5.3330763299922896</v>
      </c>
      <c r="T18" s="638" t="s">
        <v>343</v>
      </c>
      <c r="U18" s="638" t="s">
        <v>755</v>
      </c>
      <c r="V18" s="638" t="s">
        <v>22</v>
      </c>
      <c r="W18" s="358"/>
      <c r="X18" s="358"/>
      <c r="Y18" s="358"/>
      <c r="Z18" s="358" t="s">
        <v>656</v>
      </c>
      <c r="AA18" s="358" t="str">
        <f>CONCATENATE(Camp_List[[#This Row],[Ethnicity]],"-",Camp_List[[#This Row],[Religion]])</f>
        <v>-Muslim</v>
      </c>
      <c r="AB18" s="358" t="s">
        <v>1018</v>
      </c>
      <c r="AC18" s="358" t="s">
        <v>660</v>
      </c>
      <c r="AD18" s="705" t="s">
        <v>288</v>
      </c>
      <c r="AE18" s="358" t="s">
        <v>878</v>
      </c>
      <c r="AF18" s="358" t="s">
        <v>879</v>
      </c>
      <c r="AG18" s="290">
        <v>42825</v>
      </c>
      <c r="AH18" s="644" t="s">
        <v>1156</v>
      </c>
      <c r="AI18" s="75" t="str">
        <f>IFERROR(VLOOKUP(Camp_List[[#This Row],[Responsible Agency]],Organization_t[],3,0),"")</f>
        <v>Sophie Everest, CCCM Project Coordinator,
sophie.everest@drcmm.org,</v>
      </c>
      <c r="AJ18" s="574">
        <f ca="1">IF((SUMIFS(Data_Shelter_t[Coverage],Data_Shelter_t[Pcode],Camp_List[[#This Row],[P_Code]]))&gt;1,1,SUMIFS(Data_Shelter_t[Coverage],Data_Shelter_t[Pcode],Camp_List[[#This Row],[P_Code]]))</f>
        <v>1</v>
      </c>
      <c r="BL18" s="19"/>
      <c r="BM18" s="19"/>
      <c r="BO18" s="69"/>
      <c r="BP18" s="69"/>
    </row>
    <row r="19" spans="1:69" ht="13.5" customHeight="1" x14ac:dyDescent="0.25">
      <c r="A19" s="358" t="s">
        <v>348</v>
      </c>
      <c r="B19" s="358" t="s">
        <v>7</v>
      </c>
      <c r="C19" s="358" t="s">
        <v>351</v>
      </c>
      <c r="D19" s="358" t="s">
        <v>19</v>
      </c>
      <c r="E19" s="358" t="s">
        <v>603</v>
      </c>
      <c r="F19" s="358" t="s">
        <v>19</v>
      </c>
      <c r="G19" s="358" t="s">
        <v>413</v>
      </c>
      <c r="H19" s="358" t="s">
        <v>417</v>
      </c>
      <c r="I19" s="633" t="s">
        <v>416</v>
      </c>
      <c r="J19" s="358" t="s">
        <v>497</v>
      </c>
      <c r="K19" s="633">
        <v>196206</v>
      </c>
      <c r="L19" s="358" t="s">
        <v>63</v>
      </c>
      <c r="M19" s="358" t="s">
        <v>151</v>
      </c>
      <c r="N19" s="75">
        <v>92.827427</v>
      </c>
      <c r="O19" s="75">
        <v>20.16846</v>
      </c>
      <c r="P19" s="358"/>
      <c r="Q19" s="869">
        <v>1431</v>
      </c>
      <c r="R19" s="868">
        <v>8208</v>
      </c>
      <c r="S19" s="881">
        <v>5.8618468146027203</v>
      </c>
      <c r="T19" s="638" t="s">
        <v>343</v>
      </c>
      <c r="U19" s="638" t="s">
        <v>755</v>
      </c>
      <c r="V19" s="638" t="s">
        <v>22</v>
      </c>
      <c r="W19" s="358"/>
      <c r="X19" s="358"/>
      <c r="Y19" s="358"/>
      <c r="Z19" s="358" t="s">
        <v>656</v>
      </c>
      <c r="AA19" s="358" t="str">
        <f>CONCATENATE(Camp_List[[#This Row],[Ethnicity]],"-",Camp_List[[#This Row],[Religion]])</f>
        <v>-Muslim</v>
      </c>
      <c r="AB19" s="358" t="s">
        <v>1018</v>
      </c>
      <c r="AC19" s="358" t="s">
        <v>660</v>
      </c>
      <c r="AD19" s="705" t="s">
        <v>288</v>
      </c>
      <c r="AE19" s="358" t="s">
        <v>878</v>
      </c>
      <c r="AF19" s="358" t="s">
        <v>879</v>
      </c>
      <c r="AG19" s="290">
        <v>42825</v>
      </c>
      <c r="AH19" s="644" t="s">
        <v>1156</v>
      </c>
      <c r="AI19" s="75" t="str">
        <f>IFERROR(VLOOKUP(Camp_List[[#This Row],[Responsible Agency]],Organization_t[],3,0),"")</f>
        <v>Sophie Everest, CCCM Project Coordinator,
sophie.everest@drcmm.org,</v>
      </c>
      <c r="AJ19" s="574">
        <f ca="1">IF((SUMIFS(Data_Shelter_t[Coverage],Data_Shelter_t[Pcode],Camp_List[[#This Row],[P_Code]]))&gt;1,1,SUMIFS(Data_Shelter_t[Coverage],Data_Shelter_t[Pcode],Camp_List[[#This Row],[P_Code]]))</f>
        <v>1</v>
      </c>
      <c r="BL19" s="19"/>
      <c r="BM19" s="19"/>
      <c r="BO19" s="69"/>
      <c r="BP19" s="69"/>
    </row>
    <row r="20" spans="1:69" ht="13.5" customHeight="1" x14ac:dyDescent="0.25">
      <c r="A20" s="358" t="s">
        <v>348</v>
      </c>
      <c r="B20" s="358" t="s">
        <v>7</v>
      </c>
      <c r="C20" s="358" t="s">
        <v>351</v>
      </c>
      <c r="D20" s="358" t="s">
        <v>19</v>
      </c>
      <c r="E20" s="358" t="s">
        <v>603</v>
      </c>
      <c r="F20" s="358" t="s">
        <v>19</v>
      </c>
      <c r="G20" s="358" t="s">
        <v>413</v>
      </c>
      <c r="H20" s="358" t="s">
        <v>417</v>
      </c>
      <c r="I20" s="358" t="s">
        <v>416</v>
      </c>
      <c r="J20" s="358" t="s">
        <v>497</v>
      </c>
      <c r="K20" s="358">
        <v>196206</v>
      </c>
      <c r="L20" s="358" t="s">
        <v>542</v>
      </c>
      <c r="M20" s="358" t="s">
        <v>543</v>
      </c>
      <c r="N20" s="75">
        <v>92.830074999999994</v>
      </c>
      <c r="O20" s="75">
        <v>20.167421999999998</v>
      </c>
      <c r="P20" s="358"/>
      <c r="Q20" s="869">
        <v>518</v>
      </c>
      <c r="R20" s="867">
        <v>2951</v>
      </c>
      <c r="S20" s="881">
        <v>5.6969111969111967</v>
      </c>
      <c r="T20" s="638" t="s">
        <v>343</v>
      </c>
      <c r="U20" s="638" t="s">
        <v>755</v>
      </c>
      <c r="V20" s="638" t="s">
        <v>808</v>
      </c>
      <c r="W20" s="360"/>
      <c r="X20" s="358"/>
      <c r="Y20" s="358"/>
      <c r="Z20" s="358" t="s">
        <v>656</v>
      </c>
      <c r="AA20" s="358" t="str">
        <f>CONCATENATE(Camp_List[[#This Row],[Ethnicity]],"-",Camp_List[[#This Row],[Religion]])</f>
        <v>-Muslim</v>
      </c>
      <c r="AB20" s="358" t="s">
        <v>1018</v>
      </c>
      <c r="AC20" s="358" t="s">
        <v>661</v>
      </c>
      <c r="AD20" s="705" t="s">
        <v>285</v>
      </c>
      <c r="AE20" s="358" t="s">
        <v>504</v>
      </c>
      <c r="AF20" s="358" t="s">
        <v>519</v>
      </c>
      <c r="AG20" s="290">
        <v>42766</v>
      </c>
      <c r="AH20" s="358"/>
      <c r="AI20" s="75" t="str">
        <f>IFERROR(VLOOKUP(Camp_List[[#This Row],[Responsible Agency]],Organization_t[],3,0),"")</f>
        <v>Richard Tracey, CCCM/NFI Cluster Coordinator, tracey@unhcr.org,09448027896</v>
      </c>
      <c r="AJ20" s="574">
        <f>IF((SUMIFS(Data_Shelter_t[Coverage],Data_Shelter_t[Pcode],Camp_List[[#This Row],[P_Code]]))&gt;1,1,SUMIFS(Data_Shelter_t[Coverage],Data_Shelter_t[Pcode],Camp_List[[#This Row],[P_Code]]))</f>
        <v>0</v>
      </c>
      <c r="BL20" s="19"/>
      <c r="BM20" s="19"/>
      <c r="BO20" s="69"/>
      <c r="BP20" s="69"/>
    </row>
    <row r="21" spans="1:69" ht="13.5" customHeight="1" x14ac:dyDescent="0.25">
      <c r="A21" s="358" t="s">
        <v>348</v>
      </c>
      <c r="B21" s="358" t="s">
        <v>7</v>
      </c>
      <c r="C21" s="358" t="s">
        <v>351</v>
      </c>
      <c r="D21" s="358" t="s">
        <v>19</v>
      </c>
      <c r="E21" s="358" t="s">
        <v>603</v>
      </c>
      <c r="F21" s="358" t="s">
        <v>15</v>
      </c>
      <c r="G21" s="358" t="s">
        <v>381</v>
      </c>
      <c r="H21" s="358" t="s">
        <v>392</v>
      </c>
      <c r="I21" s="358" t="s">
        <v>391</v>
      </c>
      <c r="J21" s="358" t="s">
        <v>478</v>
      </c>
      <c r="K21" s="633">
        <v>196829</v>
      </c>
      <c r="L21" s="358" t="s">
        <v>47</v>
      </c>
      <c r="M21" s="358" t="s">
        <v>133</v>
      </c>
      <c r="N21" s="75">
        <v>92.965980999999999</v>
      </c>
      <c r="O21" s="75">
        <v>20.865687000000001</v>
      </c>
      <c r="P21" s="358"/>
      <c r="Q21" s="869">
        <v>85</v>
      </c>
      <c r="R21" s="868">
        <v>546</v>
      </c>
      <c r="S21" s="881">
        <v>6.8</v>
      </c>
      <c r="T21" s="638" t="s">
        <v>343</v>
      </c>
      <c r="U21" s="638" t="s">
        <v>755</v>
      </c>
      <c r="V21" s="638" t="s">
        <v>23</v>
      </c>
      <c r="W21" s="360" t="s">
        <v>862</v>
      </c>
      <c r="X21" s="358"/>
      <c r="Y21" s="358"/>
      <c r="Z21" s="358" t="s">
        <v>656</v>
      </c>
      <c r="AA21" s="358" t="str">
        <f>CONCATENATE(Camp_List[[#This Row],[Ethnicity]],"-",Camp_List[[#This Row],[Religion]])</f>
        <v>-Muslim</v>
      </c>
      <c r="AB21" s="358" t="s">
        <v>1018</v>
      </c>
      <c r="AC21" s="358" t="s">
        <v>661</v>
      </c>
      <c r="AD21" s="705" t="s">
        <v>285</v>
      </c>
      <c r="AE21" s="358" t="s">
        <v>504</v>
      </c>
      <c r="AF21" s="358" t="s">
        <v>926</v>
      </c>
      <c r="AG21" s="290">
        <v>42766</v>
      </c>
      <c r="AH21" s="630" t="s">
        <v>1020</v>
      </c>
      <c r="AI21" s="75" t="str">
        <f>IFERROR(VLOOKUP(Camp_List[[#This Row],[Responsible Agency]],Organization_t[],3,0),"")</f>
        <v>Richard Tracey, CCCM/NFI Cluster Coordinator, tracey@unhcr.org,09448027896</v>
      </c>
      <c r="AJ21" s="574">
        <f ca="1">IF((SUMIFS(Data_Shelter_t[Coverage],Data_Shelter_t[Pcode],Camp_List[[#This Row],[P_Code]]))&gt;1,1,SUMIFS(Data_Shelter_t[Coverage],Data_Shelter_t[Pcode],Camp_List[[#This Row],[P_Code]]))</f>
        <v>0.84705882352941175</v>
      </c>
      <c r="BL21" s="19"/>
      <c r="BM21" s="19"/>
      <c r="BO21" s="69"/>
      <c r="BP21" s="69"/>
    </row>
    <row r="22" spans="1:69" ht="13.5" customHeight="1" x14ac:dyDescent="0.25">
      <c r="A22" s="358" t="s">
        <v>348</v>
      </c>
      <c r="B22" s="358" t="s">
        <v>7</v>
      </c>
      <c r="C22" s="358" t="s">
        <v>351</v>
      </c>
      <c r="D22" s="358" t="s">
        <v>19</v>
      </c>
      <c r="E22" s="358" t="s">
        <v>603</v>
      </c>
      <c r="F22" s="358" t="s">
        <v>19</v>
      </c>
      <c r="G22" s="358" t="s">
        <v>413</v>
      </c>
      <c r="H22" s="358" t="s">
        <v>419</v>
      </c>
      <c r="I22" s="358" t="s">
        <v>418</v>
      </c>
      <c r="J22" s="358" t="s">
        <v>419</v>
      </c>
      <c r="K22" s="358">
        <v>196191</v>
      </c>
      <c r="L22" s="358" t="s">
        <v>64</v>
      </c>
      <c r="M22" s="358" t="s">
        <v>152</v>
      </c>
      <c r="N22" s="75">
        <v>92.823166999999998</v>
      </c>
      <c r="O22" s="75">
        <v>20.181778000000001</v>
      </c>
      <c r="P22" s="358"/>
      <c r="Q22" s="869">
        <v>799</v>
      </c>
      <c r="R22" s="868">
        <v>4428</v>
      </c>
      <c r="S22" s="881">
        <v>5.4411027568922306</v>
      </c>
      <c r="T22" s="638" t="s">
        <v>343</v>
      </c>
      <c r="U22" s="638" t="s">
        <v>755</v>
      </c>
      <c r="V22" s="638" t="s">
        <v>22</v>
      </c>
      <c r="W22" s="360"/>
      <c r="X22" s="358"/>
      <c r="Y22" s="358"/>
      <c r="Z22" s="358" t="s">
        <v>656</v>
      </c>
      <c r="AA22" s="358" t="str">
        <f>CONCATENATE(Camp_List[[#This Row],[Ethnicity]],"-",Camp_List[[#This Row],[Religion]])</f>
        <v>-Muslim</v>
      </c>
      <c r="AB22" s="358" t="s">
        <v>1018</v>
      </c>
      <c r="AC22" s="358" t="s">
        <v>660</v>
      </c>
      <c r="AD22" s="705" t="s">
        <v>623</v>
      </c>
      <c r="AE22" s="358" t="s">
        <v>878</v>
      </c>
      <c r="AF22" s="358" t="s">
        <v>879</v>
      </c>
      <c r="AG22" s="290">
        <v>42825</v>
      </c>
      <c r="AH22" s="644" t="s">
        <v>1155</v>
      </c>
      <c r="AI22" s="75" t="str">
        <f>IFERROR(VLOOKUP(Camp_List[[#This Row],[Responsible Agency]],Organization_t[],3,0),"")</f>
        <v>Yadu Shresk
Emergency Project Coordinator
campro.mmr@lwfdws.org</v>
      </c>
      <c r="AJ22" s="574">
        <f ca="1">IF((SUMIFS(Data_Shelter_t[Coverage],Data_Shelter_t[Pcode],Camp_List[[#This Row],[P_Code]]))&gt;1,1,SUMIFS(Data_Shelter_t[Coverage],Data_Shelter_t[Pcode],Camp_List[[#This Row],[P_Code]]))</f>
        <v>1</v>
      </c>
      <c r="BL22" s="19"/>
      <c r="BM22" s="19"/>
      <c r="BO22" s="69"/>
      <c r="BP22" s="69"/>
    </row>
    <row r="23" spans="1:69" ht="13.5" customHeight="1" x14ac:dyDescent="0.25">
      <c r="A23" s="358" t="s">
        <v>348</v>
      </c>
      <c r="B23" s="358" t="s">
        <v>7</v>
      </c>
      <c r="C23" s="358" t="s">
        <v>351</v>
      </c>
      <c r="D23" s="358" t="s">
        <v>19</v>
      </c>
      <c r="E23" s="358" t="s">
        <v>603</v>
      </c>
      <c r="F23" s="358" t="s">
        <v>16</v>
      </c>
      <c r="G23" s="358" t="s">
        <v>398</v>
      </c>
      <c r="H23" s="358" t="s">
        <v>400</v>
      </c>
      <c r="I23" s="358" t="s">
        <v>399</v>
      </c>
      <c r="J23" s="358" t="s">
        <v>493</v>
      </c>
      <c r="K23" s="358">
        <v>197651</v>
      </c>
      <c r="L23" s="358" t="s">
        <v>604</v>
      </c>
      <c r="M23" s="358" t="s">
        <v>143</v>
      </c>
      <c r="N23" s="75">
        <v>92.660360999999995</v>
      </c>
      <c r="O23" s="75">
        <v>20.408453000000002</v>
      </c>
      <c r="P23" s="358"/>
      <c r="Q23" s="869">
        <v>217</v>
      </c>
      <c r="R23" s="868">
        <v>1297</v>
      </c>
      <c r="S23" s="881">
        <v>5.8853211009174311</v>
      </c>
      <c r="T23" s="638" t="s">
        <v>343</v>
      </c>
      <c r="U23" s="638" t="s">
        <v>755</v>
      </c>
      <c r="V23" s="638" t="s">
        <v>22</v>
      </c>
      <c r="W23" s="360"/>
      <c r="X23" s="358"/>
      <c r="Y23" s="358"/>
      <c r="Z23" s="358" t="s">
        <v>656</v>
      </c>
      <c r="AA23" s="358" t="str">
        <f>CONCATENATE(Camp_List[[#This Row],[Ethnicity]],"-",Camp_List[[#This Row],[Religion]])</f>
        <v>-Muslim</v>
      </c>
      <c r="AB23" s="699" t="s">
        <v>1018</v>
      </c>
      <c r="AC23" s="358" t="s">
        <v>661</v>
      </c>
      <c r="AD23" s="705" t="s">
        <v>285</v>
      </c>
      <c r="AE23" s="358" t="s">
        <v>504</v>
      </c>
      <c r="AF23" s="358" t="s">
        <v>519</v>
      </c>
      <c r="AG23" s="290">
        <v>42766</v>
      </c>
      <c r="AH23" s="358"/>
      <c r="AI23" s="75" t="str">
        <f>IFERROR(VLOOKUP(Camp_List[[#This Row],[Responsible Agency]],Organization_t[],3,0),"")</f>
        <v>Richard Tracey, CCCM/NFI Cluster Coordinator, tracey@unhcr.org,09448027896</v>
      </c>
      <c r="AJ23" s="574">
        <f ca="1">IF((SUMIFS(Data_Shelter_t[Coverage],Data_Shelter_t[Pcode],Camp_List[[#This Row],[P_Code]]))&gt;1,1,SUMIFS(Data_Shelter_t[Coverage],Data_Shelter_t[Pcode],Camp_List[[#This Row],[P_Code]]))</f>
        <v>0.88479262672811065</v>
      </c>
      <c r="BL23" s="19"/>
      <c r="BM23" s="19"/>
      <c r="BO23" s="69"/>
      <c r="BP23" s="69"/>
    </row>
    <row r="24" spans="1:69" ht="13.5" customHeight="1" x14ac:dyDescent="0.25">
      <c r="A24" s="358" t="s">
        <v>348</v>
      </c>
      <c r="B24" s="358" t="s">
        <v>7</v>
      </c>
      <c r="C24" s="358" t="s">
        <v>351</v>
      </c>
      <c r="D24" s="358" t="s">
        <v>19</v>
      </c>
      <c r="E24" s="358" t="s">
        <v>603</v>
      </c>
      <c r="F24" s="358" t="s">
        <v>16</v>
      </c>
      <c r="G24" s="358" t="s">
        <v>398</v>
      </c>
      <c r="H24" s="358" t="s">
        <v>400</v>
      </c>
      <c r="I24" s="358" t="s">
        <v>399</v>
      </c>
      <c r="J24" s="358" t="s">
        <v>606</v>
      </c>
      <c r="K24" s="358">
        <v>197652</v>
      </c>
      <c r="L24" s="358" t="s">
        <v>400</v>
      </c>
      <c r="M24" s="358" t="s">
        <v>605</v>
      </c>
      <c r="N24" s="75">
        <v>92.639589000000001</v>
      </c>
      <c r="O24" s="75">
        <v>20.447261000000001</v>
      </c>
      <c r="P24" s="358"/>
      <c r="Q24" s="869">
        <v>193</v>
      </c>
      <c r="R24" s="868">
        <v>961</v>
      </c>
      <c r="S24" s="881">
        <v>4.624365482233503</v>
      </c>
      <c r="T24" s="638" t="s">
        <v>343</v>
      </c>
      <c r="U24" s="638" t="s">
        <v>755</v>
      </c>
      <c r="V24" s="638" t="s">
        <v>22</v>
      </c>
      <c r="W24" s="360"/>
      <c r="X24" s="358"/>
      <c r="Y24" s="358"/>
      <c r="Z24" s="358" t="s">
        <v>656</v>
      </c>
      <c r="AA24" s="358" t="str">
        <f>CONCATENATE(Camp_List[[#This Row],[Ethnicity]],"-",Camp_List[[#This Row],[Religion]])</f>
        <v>-Muslim</v>
      </c>
      <c r="AB24" s="699" t="s">
        <v>1018</v>
      </c>
      <c r="AC24" s="358" t="s">
        <v>661</v>
      </c>
      <c r="AD24" s="705" t="s">
        <v>285</v>
      </c>
      <c r="AE24" s="358" t="s">
        <v>504</v>
      </c>
      <c r="AF24" s="358" t="s">
        <v>519</v>
      </c>
      <c r="AG24" s="290">
        <v>42766</v>
      </c>
      <c r="AH24" s="701"/>
      <c r="AI24" s="19" t="str">
        <f>IFERROR(VLOOKUP(Camp_List[[#This Row],[Responsible Agency]],Organization_t[],3,0),"")</f>
        <v>Richard Tracey, CCCM/NFI Cluster Coordinator, tracey@unhcr.org,09448027896</v>
      </c>
      <c r="AJ24" s="574">
        <f ca="1">IF((SUMIFS(Data_Shelter_t[Coverage],Data_Shelter_t[Pcode],Camp_List[[#This Row],[P_Code]]))&gt;1,1,SUMIFS(Data_Shelter_t[Coverage],Data_Shelter_t[Pcode],Camp_List[[#This Row],[P_Code]]))</f>
        <v>1</v>
      </c>
      <c r="BL24" s="19"/>
      <c r="BM24" s="19"/>
      <c r="BO24" s="69"/>
      <c r="BP24" s="69"/>
    </row>
    <row r="25" spans="1:69" ht="13.5" customHeight="1" x14ac:dyDescent="0.25">
      <c r="A25" s="358" t="s">
        <v>348</v>
      </c>
      <c r="B25" s="358" t="s">
        <v>7</v>
      </c>
      <c r="C25" s="358" t="s">
        <v>351</v>
      </c>
      <c r="D25" s="358" t="s">
        <v>19</v>
      </c>
      <c r="E25" s="358" t="s">
        <v>603</v>
      </c>
      <c r="F25" s="358" t="s">
        <v>16</v>
      </c>
      <c r="G25" s="358" t="s">
        <v>398</v>
      </c>
      <c r="H25" s="358" t="s">
        <v>402</v>
      </c>
      <c r="I25" s="358" t="s">
        <v>401</v>
      </c>
      <c r="J25" s="358" t="s">
        <v>402</v>
      </c>
      <c r="K25" s="358">
        <v>197590</v>
      </c>
      <c r="L25" s="358" t="s">
        <v>57</v>
      </c>
      <c r="M25" s="358" t="s">
        <v>144</v>
      </c>
      <c r="N25" s="75">
        <v>92.640022000000002</v>
      </c>
      <c r="O25" s="75">
        <v>20.569219</v>
      </c>
      <c r="P25" s="358"/>
      <c r="Q25" s="869">
        <v>251</v>
      </c>
      <c r="R25" s="868">
        <v>1308</v>
      </c>
      <c r="S25" s="881">
        <v>4.9240000000000004</v>
      </c>
      <c r="T25" s="638" t="s">
        <v>343</v>
      </c>
      <c r="U25" s="638" t="s">
        <v>755</v>
      </c>
      <c r="V25" s="638" t="s">
        <v>23</v>
      </c>
      <c r="W25" s="360"/>
      <c r="X25" s="358"/>
      <c r="Y25" s="358"/>
      <c r="Z25" s="358" t="s">
        <v>656</v>
      </c>
      <c r="AA25" s="358" t="str">
        <f>CONCATENATE(Camp_List[[#This Row],[Ethnicity]],"-",Camp_List[[#This Row],[Religion]])</f>
        <v>-Muslim</v>
      </c>
      <c r="AB25" s="699" t="s">
        <v>1018</v>
      </c>
      <c r="AC25" s="358" t="s">
        <v>661</v>
      </c>
      <c r="AD25" s="705" t="s">
        <v>285</v>
      </c>
      <c r="AE25" s="358" t="s">
        <v>504</v>
      </c>
      <c r="AF25" s="358" t="s">
        <v>519</v>
      </c>
      <c r="AG25" s="290">
        <v>42766</v>
      </c>
      <c r="AH25" s="634"/>
      <c r="AI25" s="19" t="str">
        <f>IFERROR(VLOOKUP(Camp_List[[#This Row],[Responsible Agency]],Organization_t[],3,0),"")</f>
        <v>Richard Tracey, CCCM/NFI Cluster Coordinator, tracey@unhcr.org,09448027896</v>
      </c>
      <c r="AJ25" s="574">
        <f>IF((SUMIFS(Data_Shelter_t[Coverage],Data_Shelter_t[Pcode],Camp_List[[#This Row],[P_Code]]))&gt;1,1,SUMIFS(Data_Shelter_t[Coverage],Data_Shelter_t[Pcode],Camp_List[[#This Row],[P_Code]]))</f>
        <v>0</v>
      </c>
      <c r="BL25" s="19"/>
      <c r="BM25" s="19"/>
      <c r="BO25" s="69"/>
      <c r="BP25" s="69"/>
    </row>
    <row r="26" spans="1:69" ht="13.5" customHeight="1" x14ac:dyDescent="0.25">
      <c r="A26" s="358" t="s">
        <v>348</v>
      </c>
      <c r="B26" s="539" t="s">
        <v>7</v>
      </c>
      <c r="C26" s="539" t="s">
        <v>351</v>
      </c>
      <c r="D26" s="539" t="s">
        <v>19</v>
      </c>
      <c r="E26" s="539" t="s">
        <v>603</v>
      </c>
      <c r="F26" s="539" t="s">
        <v>14</v>
      </c>
      <c r="G26" s="539" t="s">
        <v>372</v>
      </c>
      <c r="H26" s="358" t="s">
        <v>378</v>
      </c>
      <c r="I26" s="358" t="s">
        <v>377</v>
      </c>
      <c r="J26" s="358" t="s">
        <v>42</v>
      </c>
      <c r="K26" s="358" t="s">
        <v>989</v>
      </c>
      <c r="L26" s="539" t="s">
        <v>42</v>
      </c>
      <c r="M26" s="539" t="s">
        <v>128</v>
      </c>
      <c r="N26" s="540">
        <v>93.010368999999997</v>
      </c>
      <c r="O26" s="540">
        <v>20.090183</v>
      </c>
      <c r="P26" s="539"/>
      <c r="Q26" s="869">
        <v>1012</v>
      </c>
      <c r="R26" s="868">
        <v>5125</v>
      </c>
      <c r="S26" s="881">
        <v>4.8249227600411899</v>
      </c>
      <c r="T26" s="638" t="s">
        <v>343</v>
      </c>
      <c r="U26" s="638" t="s">
        <v>755</v>
      </c>
      <c r="V26" s="734" t="s">
        <v>22</v>
      </c>
      <c r="W26" s="539"/>
      <c r="X26" s="539"/>
      <c r="Y26" s="539"/>
      <c r="Z26" s="358" t="s">
        <v>656</v>
      </c>
      <c r="AA26" s="358" t="str">
        <f>CONCATENATE(Camp_List[[#This Row],[Ethnicity]],"-",Camp_List[[#This Row],[Religion]])</f>
        <v>-Muslim</v>
      </c>
      <c r="AB26" s="289" t="s">
        <v>1018</v>
      </c>
      <c r="AC26" s="358" t="s">
        <v>660</v>
      </c>
      <c r="AD26" s="707" t="s">
        <v>288</v>
      </c>
      <c r="AE26" s="539"/>
      <c r="AF26" s="358" t="s">
        <v>879</v>
      </c>
      <c r="AG26" s="290">
        <v>42825</v>
      </c>
      <c r="AH26" s="644" t="s">
        <v>1156</v>
      </c>
      <c r="AI26" s="640" t="str">
        <f>IFERROR(VLOOKUP(Camp_List[[#This Row],[Responsible Agency]],Organization_t[],3,0),"")</f>
        <v>Sophie Everest, CCCM Project Coordinator,
sophie.everest@drcmm.org,</v>
      </c>
      <c r="AJ26" s="646">
        <f ca="1">IF((SUMIFS(Data_Shelter_t[Coverage],Data_Shelter_t[Pcode],Camp_List[[#This Row],[P_Code]]))&gt;1,1,SUMIFS(Data_Shelter_t[Coverage],Data_Shelter_t[Pcode],Camp_List[[#This Row],[P_Code]]))</f>
        <v>0.95652173913043481</v>
      </c>
      <c r="BL26" s="19"/>
      <c r="BM26" s="19"/>
      <c r="BO26" s="69"/>
      <c r="BP26" s="69"/>
    </row>
    <row r="27" spans="1:69" ht="13.5" customHeight="1" x14ac:dyDescent="0.25">
      <c r="A27" s="358" t="s">
        <v>348</v>
      </c>
      <c r="B27" s="358" t="s">
        <v>7</v>
      </c>
      <c r="C27" s="358" t="s">
        <v>351</v>
      </c>
      <c r="D27" s="358" t="s">
        <v>19</v>
      </c>
      <c r="E27" s="358" t="s">
        <v>603</v>
      </c>
      <c r="F27" s="358" t="s">
        <v>19</v>
      </c>
      <c r="G27" s="358" t="s">
        <v>413</v>
      </c>
      <c r="H27" s="358" t="s">
        <v>417</v>
      </c>
      <c r="I27" s="358" t="s">
        <v>416</v>
      </c>
      <c r="J27" s="358" t="s">
        <v>417</v>
      </c>
      <c r="K27" s="358">
        <v>196200</v>
      </c>
      <c r="L27" s="358" t="s">
        <v>628</v>
      </c>
      <c r="M27" s="358" t="s">
        <v>281</v>
      </c>
      <c r="N27" s="75">
        <v>92.831000000000003</v>
      </c>
      <c r="O27" s="75">
        <v>20.185917</v>
      </c>
      <c r="P27" s="358"/>
      <c r="Q27" s="873">
        <v>622</v>
      </c>
      <c r="R27" s="969">
        <v>3435</v>
      </c>
      <c r="S27" s="881">
        <v>5.3717948717948714</v>
      </c>
      <c r="T27" s="638" t="s">
        <v>343</v>
      </c>
      <c r="U27" s="638" t="s">
        <v>755</v>
      </c>
      <c r="V27" s="638" t="s">
        <v>22</v>
      </c>
      <c r="W27" s="360"/>
      <c r="X27" s="358"/>
      <c r="Y27" s="358"/>
      <c r="Z27" s="358" t="s">
        <v>656</v>
      </c>
      <c r="AA27" s="358" t="str">
        <f>CONCATENATE(Camp_List[[#This Row],[Ethnicity]],"-",Camp_List[[#This Row],[Religion]])</f>
        <v>-Muslim</v>
      </c>
      <c r="AB27" s="358" t="s">
        <v>1018</v>
      </c>
      <c r="AC27" s="358" t="s">
        <v>660</v>
      </c>
      <c r="AD27" s="705" t="s">
        <v>970</v>
      </c>
      <c r="AE27" s="358" t="s">
        <v>878</v>
      </c>
      <c r="AF27" s="358" t="s">
        <v>879</v>
      </c>
      <c r="AG27" s="290">
        <v>42825</v>
      </c>
      <c r="AH27" s="644"/>
      <c r="AI27" s="75" t="str">
        <f>IFERROR(VLOOKUP(Camp_List[[#This Row],[Responsible Agency]],Organization_t[],3,0),"")</f>
        <v xml:space="preserve">Helen T Colon Omana, Camp Management Coordinator , helen.omana@nrc.no </v>
      </c>
      <c r="AJ27" s="574">
        <f ca="1">IF((SUMIFS(Data_Shelter_t[Coverage],Data_Shelter_t[Pcode],Camp_List[[#This Row],[P_Code]]))&gt;1,1,SUMIFS(Data_Shelter_t[Coverage],Data_Shelter_t[Pcode],Camp_List[[#This Row],[P_Code]]))</f>
        <v>1</v>
      </c>
      <c r="BL27" s="19"/>
      <c r="BM27" s="19"/>
      <c r="BO27" s="69"/>
      <c r="BP27" s="69"/>
    </row>
    <row r="28" spans="1:69" ht="13.5" customHeight="1" x14ac:dyDescent="0.25">
      <c r="A28" s="358" t="s">
        <v>348</v>
      </c>
      <c r="B28" s="358" t="s">
        <v>7</v>
      </c>
      <c r="C28" s="358" t="s">
        <v>351</v>
      </c>
      <c r="D28" s="358" t="s">
        <v>19</v>
      </c>
      <c r="E28" s="358" t="s">
        <v>603</v>
      </c>
      <c r="F28" s="358" t="s">
        <v>14</v>
      </c>
      <c r="G28" s="358" t="s">
        <v>372</v>
      </c>
      <c r="H28" s="358" t="s">
        <v>375</v>
      </c>
      <c r="I28" s="358" t="s">
        <v>374</v>
      </c>
      <c r="J28" s="358" t="s">
        <v>488</v>
      </c>
      <c r="K28" s="358" t="s">
        <v>990</v>
      </c>
      <c r="L28" s="358" t="s">
        <v>1067</v>
      </c>
      <c r="M28" s="358" t="s">
        <v>127</v>
      </c>
      <c r="N28" s="75">
        <v>93.154551999999995</v>
      </c>
      <c r="O28" s="75">
        <v>20.073437999999999</v>
      </c>
      <c r="P28" s="358"/>
      <c r="Q28" s="871">
        <v>856</v>
      </c>
      <c r="R28" s="868">
        <v>3946</v>
      </c>
      <c r="S28" s="881">
        <v>4.7418321588725201</v>
      </c>
      <c r="T28" s="638" t="s">
        <v>343</v>
      </c>
      <c r="U28" s="638" t="s">
        <v>755</v>
      </c>
      <c r="V28" s="734" t="s">
        <v>22</v>
      </c>
      <c r="W28" s="638"/>
      <c r="X28" s="358"/>
      <c r="Y28" s="358"/>
      <c r="Z28" s="358" t="s">
        <v>656</v>
      </c>
      <c r="AA28" s="358" t="str">
        <f>CONCATENATE(Camp_List[[#This Row],[Ethnicity]],"-",Camp_List[[#This Row],[Religion]])</f>
        <v>-Muslim</v>
      </c>
      <c r="AB28" s="289" t="s">
        <v>1018</v>
      </c>
      <c r="AC28" s="358" t="s">
        <v>660</v>
      </c>
      <c r="AD28" s="707" t="s">
        <v>623</v>
      </c>
      <c r="AE28" s="358"/>
      <c r="AF28" s="358" t="s">
        <v>879</v>
      </c>
      <c r="AG28" s="290">
        <v>42825</v>
      </c>
      <c r="AH28" s="644" t="s">
        <v>1155</v>
      </c>
      <c r="AI28" s="639" t="str">
        <f>IFERROR(VLOOKUP(Camp_List[[#This Row],[Responsible Agency]],Organization_t[],3,0),"")</f>
        <v>Yadu Shresk
Emergency Project Coordinator
campro.mmr@lwfdws.org</v>
      </c>
      <c r="AJ28" s="646">
        <f ca="1">IF((SUMIFS(Data_Shelter_t[Coverage],Data_Shelter_t[Pcode],Camp_List[[#This Row],[P_Code]]))&gt;1,1,SUMIFS(Data_Shelter_t[Coverage],Data_Shelter_t[Pcode],Camp_List[[#This Row],[P_Code]]))</f>
        <v>0</v>
      </c>
      <c r="BL28" s="19"/>
      <c r="BM28" s="19"/>
      <c r="BO28" s="69"/>
      <c r="BP28" s="69"/>
    </row>
    <row r="29" spans="1:69" ht="13.5" customHeight="1" x14ac:dyDescent="0.25">
      <c r="A29" s="358" t="s">
        <v>348</v>
      </c>
      <c r="B29" s="358" t="s">
        <v>7</v>
      </c>
      <c r="C29" s="358" t="s">
        <v>351</v>
      </c>
      <c r="D29" s="358" t="s">
        <v>19</v>
      </c>
      <c r="E29" s="358" t="s">
        <v>603</v>
      </c>
      <c r="F29" s="358" t="s">
        <v>19</v>
      </c>
      <c r="G29" s="358" t="s">
        <v>413</v>
      </c>
      <c r="H29" s="358" t="s">
        <v>415</v>
      </c>
      <c r="I29" s="358" t="s">
        <v>414</v>
      </c>
      <c r="J29" s="358" t="s">
        <v>544</v>
      </c>
      <c r="K29" s="358">
        <v>196158</v>
      </c>
      <c r="L29" s="358" t="s">
        <v>633</v>
      </c>
      <c r="M29" s="358" t="s">
        <v>545</v>
      </c>
      <c r="N29" s="75">
        <v>92.774193999999994</v>
      </c>
      <c r="O29" s="75">
        <v>20.206778</v>
      </c>
      <c r="P29" s="358"/>
      <c r="Q29" s="869">
        <v>681</v>
      </c>
      <c r="R29" s="868">
        <v>3408</v>
      </c>
      <c r="S29" s="881">
        <v>5.221879815100154</v>
      </c>
      <c r="T29" s="638" t="s">
        <v>343</v>
      </c>
      <c r="U29" s="638" t="s">
        <v>755</v>
      </c>
      <c r="V29" s="638" t="s">
        <v>22</v>
      </c>
      <c r="W29" s="360"/>
      <c r="X29" s="358"/>
      <c r="Y29" s="358"/>
      <c r="Z29" s="358" t="s">
        <v>656</v>
      </c>
      <c r="AA29" s="358" t="str">
        <f>CONCATENATE(Camp_List[[#This Row],[Ethnicity]],"-",Camp_List[[#This Row],[Religion]])</f>
        <v>-Muslim</v>
      </c>
      <c r="AB29" s="358" t="s">
        <v>1018</v>
      </c>
      <c r="AC29" s="358" t="s">
        <v>660</v>
      </c>
      <c r="AD29" s="705" t="s">
        <v>288</v>
      </c>
      <c r="AE29" s="358" t="s">
        <v>878</v>
      </c>
      <c r="AF29" s="358" t="s">
        <v>879</v>
      </c>
      <c r="AG29" s="290">
        <v>42825</v>
      </c>
      <c r="AH29" s="644" t="s">
        <v>1156</v>
      </c>
      <c r="AI29" s="75" t="str">
        <f>IFERROR(VLOOKUP(Camp_List[[#This Row],[Responsible Agency]],Organization_t[],3,0),"")</f>
        <v>Sophie Everest, CCCM Project Coordinator,
sophie.everest@drcmm.org,</v>
      </c>
      <c r="AJ29" s="574">
        <f ca="1">IF((SUMIFS(Data_Shelter_t[Coverage],Data_Shelter_t[Pcode],Camp_List[[#This Row],[P_Code]]))&gt;1,1,SUMIFS(Data_Shelter_t[Coverage],Data_Shelter_t[Pcode],Camp_List[[#This Row],[P_Code]]))</f>
        <v>0.9397944199706314</v>
      </c>
      <c r="BL29" s="19"/>
      <c r="BM29" s="19"/>
      <c r="BO29" s="69"/>
      <c r="BP29" s="69"/>
    </row>
    <row r="30" spans="1:69" ht="13.5" customHeight="1" x14ac:dyDescent="0.25">
      <c r="A30" s="358" t="s">
        <v>348</v>
      </c>
      <c r="B30" s="358" t="s">
        <v>7</v>
      </c>
      <c r="C30" s="358" t="s">
        <v>351</v>
      </c>
      <c r="D30" s="358" t="s">
        <v>19</v>
      </c>
      <c r="E30" s="358" t="s">
        <v>603</v>
      </c>
      <c r="F30" s="358" t="s">
        <v>19</v>
      </c>
      <c r="G30" s="358" t="s">
        <v>413</v>
      </c>
      <c r="H30" s="358" t="s">
        <v>419</v>
      </c>
      <c r="I30" s="358" t="s">
        <v>418</v>
      </c>
      <c r="J30" s="358" t="s">
        <v>496</v>
      </c>
      <c r="K30" s="358">
        <v>196192</v>
      </c>
      <c r="L30" s="358" t="s">
        <v>634</v>
      </c>
      <c r="M30" s="358" t="s">
        <v>636</v>
      </c>
      <c r="N30" s="75">
        <v>92.798880999999994</v>
      </c>
      <c r="O30" s="75">
        <v>20.18994</v>
      </c>
      <c r="P30" s="358"/>
      <c r="Q30" s="869">
        <v>2640</v>
      </c>
      <c r="R30" s="868">
        <v>13655</v>
      </c>
      <c r="S30" s="881">
        <v>5.1939901103081016</v>
      </c>
      <c r="T30" s="638" t="s">
        <v>343</v>
      </c>
      <c r="U30" s="638" t="s">
        <v>755</v>
      </c>
      <c r="V30" s="638" t="s">
        <v>22</v>
      </c>
      <c r="W30" s="360"/>
      <c r="X30" s="358"/>
      <c r="Y30" s="358"/>
      <c r="Z30" s="358" t="s">
        <v>656</v>
      </c>
      <c r="AA30" s="358" t="str">
        <f>CONCATENATE(Camp_List[[#This Row],[Ethnicity]],"-",Camp_List[[#This Row],[Religion]])</f>
        <v>-Muslim</v>
      </c>
      <c r="AB30" s="358" t="s">
        <v>1018</v>
      </c>
      <c r="AC30" s="358" t="s">
        <v>660</v>
      </c>
      <c r="AD30" s="705" t="s">
        <v>288</v>
      </c>
      <c r="AE30" s="358" t="s">
        <v>878</v>
      </c>
      <c r="AF30" s="358" t="s">
        <v>879</v>
      </c>
      <c r="AG30" s="290">
        <v>42825</v>
      </c>
      <c r="AH30" s="644" t="s">
        <v>1156</v>
      </c>
      <c r="AI30" s="19" t="str">
        <f>IFERROR(VLOOKUP(Camp_List[[#This Row],[Responsible Agency]],Organization_t[],3,0),"")</f>
        <v>Sophie Everest, CCCM Project Coordinator,
sophie.everest@drcmm.org,</v>
      </c>
      <c r="AJ30" s="574">
        <f ca="1">IF((SUMIFS(Data_Shelter_t[Coverage],Data_Shelter_t[Pcode],Camp_List[[#This Row],[P_Code]]))&gt;1,1,SUMIFS(Data_Shelter_t[Coverage],Data_Shelter_t[Pcode],Camp_List[[#This Row],[P_Code]]))</f>
        <v>1</v>
      </c>
      <c r="BL30" s="19"/>
      <c r="BM30" s="19"/>
      <c r="BP30" s="69"/>
      <c r="BQ30" s="69"/>
    </row>
    <row r="31" spans="1:69" x14ac:dyDescent="0.25">
      <c r="A31" s="358" t="s">
        <v>348</v>
      </c>
      <c r="B31" s="358" t="s">
        <v>7</v>
      </c>
      <c r="C31" s="358" t="s">
        <v>351</v>
      </c>
      <c r="D31" s="358" t="s">
        <v>607</v>
      </c>
      <c r="E31" s="358" t="s">
        <v>608</v>
      </c>
      <c r="F31" s="358" t="s">
        <v>607</v>
      </c>
      <c r="G31" s="358" t="s">
        <v>406</v>
      </c>
      <c r="H31" s="358" t="s">
        <v>410</v>
      </c>
      <c r="I31" s="358" t="s">
        <v>409</v>
      </c>
      <c r="J31" s="358" t="s">
        <v>474</v>
      </c>
      <c r="K31" s="358">
        <v>198469</v>
      </c>
      <c r="L31" s="358" t="s">
        <v>474</v>
      </c>
      <c r="M31" s="358" t="s">
        <v>146</v>
      </c>
      <c r="N31" s="75">
        <v>93.552452000000002</v>
      </c>
      <c r="O31" s="75">
        <v>19.421102000000001</v>
      </c>
      <c r="P31" s="358"/>
      <c r="Q31" s="869">
        <v>65</v>
      </c>
      <c r="R31" s="868">
        <v>327</v>
      </c>
      <c r="S31" s="881">
        <v>5.0307692307692307</v>
      </c>
      <c r="T31" s="638" t="s">
        <v>343</v>
      </c>
      <c r="U31" s="638" t="s">
        <v>755</v>
      </c>
      <c r="V31" s="638" t="s">
        <v>22</v>
      </c>
      <c r="W31" s="360"/>
      <c r="X31" s="358"/>
      <c r="Y31" s="358" t="s">
        <v>7</v>
      </c>
      <c r="Z31" s="358" t="s">
        <v>758</v>
      </c>
      <c r="AA31" s="358" t="str">
        <f>CONCATENATE(Camp_List[[#This Row],[Ethnicity]],"-",Camp_List[[#This Row],[Religion]])</f>
        <v>Rakhine-Buddhist</v>
      </c>
      <c r="AB31" s="358" t="s">
        <v>1018</v>
      </c>
      <c r="AC31" s="358" t="s">
        <v>661</v>
      </c>
      <c r="AD31" s="705" t="s">
        <v>285</v>
      </c>
      <c r="AE31" s="358" t="s">
        <v>504</v>
      </c>
      <c r="AF31" s="358" t="s">
        <v>519</v>
      </c>
      <c r="AG31" s="290">
        <v>42766</v>
      </c>
      <c r="AH31" s="358"/>
      <c r="AI31" s="75" t="str">
        <f>IFERROR(VLOOKUP(Camp_List[[#This Row],[Responsible Agency]],Organization_t[],3,0),"")</f>
        <v>Richard Tracey, CCCM/NFI Cluster Coordinator, tracey@unhcr.org,09448027896</v>
      </c>
      <c r="AJ31" s="574">
        <f ca="1">IF((SUMIFS(Data_Shelter_t[Coverage],Data_Shelter_t[Pcode],Camp_List[[#This Row],[P_Code]]))&gt;1,1,SUMIFS(Data_Shelter_t[Coverage],Data_Shelter_t[Pcode],Camp_List[[#This Row],[P_Code]]))</f>
        <v>0.86153846153846159</v>
      </c>
      <c r="BL31" s="19"/>
      <c r="BM31" s="19"/>
      <c r="BP31" s="69"/>
      <c r="BQ31" s="69"/>
    </row>
    <row r="32" spans="1:69" x14ac:dyDescent="0.25">
      <c r="A32" s="358" t="s">
        <v>348</v>
      </c>
      <c r="B32" s="358" t="s">
        <v>7</v>
      </c>
      <c r="C32" s="358" t="s">
        <v>351</v>
      </c>
      <c r="D32" s="358" t="s">
        <v>607</v>
      </c>
      <c r="E32" s="358" t="s">
        <v>608</v>
      </c>
      <c r="F32" s="358" t="s">
        <v>607</v>
      </c>
      <c r="G32" s="358" t="s">
        <v>406</v>
      </c>
      <c r="H32" s="358" t="s">
        <v>411</v>
      </c>
      <c r="I32" s="358" t="s">
        <v>412</v>
      </c>
      <c r="J32" s="358" t="s">
        <v>473</v>
      </c>
      <c r="K32" s="358">
        <v>198486</v>
      </c>
      <c r="L32" s="358" t="s">
        <v>58</v>
      </c>
      <c r="M32" s="358" t="s">
        <v>145</v>
      </c>
      <c r="N32" s="75">
        <v>93.512326000000002</v>
      </c>
      <c r="O32" s="75">
        <v>19.424576999999999</v>
      </c>
      <c r="P32" s="358"/>
      <c r="Q32" s="869">
        <v>427</v>
      </c>
      <c r="R32" s="868">
        <v>1274</v>
      </c>
      <c r="S32" s="881">
        <v>2.9836065573770494</v>
      </c>
      <c r="T32" s="638" t="s">
        <v>343</v>
      </c>
      <c r="U32" s="638" t="s">
        <v>755</v>
      </c>
      <c r="V32" s="638" t="s">
        <v>22</v>
      </c>
      <c r="W32" s="360"/>
      <c r="X32" s="358"/>
      <c r="Y32" s="358"/>
      <c r="Z32" s="358" t="s">
        <v>656</v>
      </c>
      <c r="AA32" s="358" t="str">
        <f>CONCATENATE(Camp_List[[#This Row],[Ethnicity]],"-",Camp_List[[#This Row],[Religion]])</f>
        <v>-Muslim</v>
      </c>
      <c r="AB32" s="358" t="s">
        <v>1018</v>
      </c>
      <c r="AC32" s="358" t="s">
        <v>661</v>
      </c>
      <c r="AD32" s="705" t="s">
        <v>285</v>
      </c>
      <c r="AE32" s="358" t="s">
        <v>504</v>
      </c>
      <c r="AF32" s="358" t="s">
        <v>519</v>
      </c>
      <c r="AG32" s="290">
        <v>42766</v>
      </c>
      <c r="AH32" s="358"/>
      <c r="AI32" s="75" t="str">
        <f>IFERROR(VLOOKUP(Camp_List[[#This Row],[Responsible Agency]],Organization_t[],3,0),"")</f>
        <v>Richard Tracey, CCCM/NFI Cluster Coordinator, tracey@unhcr.org,09448027896</v>
      </c>
      <c r="AJ32" s="574">
        <f ca="1">IF((SUMIFS(Data_Shelter_t[Coverage],Data_Shelter_t[Pcode],Camp_List[[#This Row],[P_Code]]))&gt;1,1,SUMIFS(Data_Shelter_t[Coverage],Data_Shelter_t[Pcode],Camp_List[[#This Row],[P_Code]]))</f>
        <v>0.99297423887587821</v>
      </c>
      <c r="BL32" s="19"/>
      <c r="BM32" s="19"/>
      <c r="BP32" s="69"/>
      <c r="BQ32" s="69"/>
    </row>
    <row r="33" spans="1:69" ht="13.5" customHeight="1" x14ac:dyDescent="0.25">
      <c r="A33" s="358" t="s">
        <v>348</v>
      </c>
      <c r="B33" s="358" t="s">
        <v>7</v>
      </c>
      <c r="C33" s="358" t="s">
        <v>351</v>
      </c>
      <c r="D33" s="358" t="s">
        <v>607</v>
      </c>
      <c r="E33" s="358" t="s">
        <v>608</v>
      </c>
      <c r="F33" s="358" t="s">
        <v>18</v>
      </c>
      <c r="G33" s="358" t="s">
        <v>405</v>
      </c>
      <c r="H33" s="358" t="s">
        <v>408</v>
      </c>
      <c r="I33" s="358" t="s">
        <v>407</v>
      </c>
      <c r="J33" s="358" t="s">
        <v>1035</v>
      </c>
      <c r="K33" s="358" t="s">
        <v>1036</v>
      </c>
      <c r="L33" s="358" t="s">
        <v>60</v>
      </c>
      <c r="M33" s="358" t="s">
        <v>148</v>
      </c>
      <c r="N33" s="75">
        <v>93.865170000000006</v>
      </c>
      <c r="O33" s="75">
        <v>19.091054</v>
      </c>
      <c r="P33" s="358"/>
      <c r="Q33" s="869">
        <v>18</v>
      </c>
      <c r="R33" s="868">
        <v>77</v>
      </c>
      <c r="S33" s="881">
        <v>4.2777777777777777</v>
      </c>
      <c r="T33" s="638" t="s">
        <v>343</v>
      </c>
      <c r="U33" s="638" t="s">
        <v>755</v>
      </c>
      <c r="V33" s="638" t="s">
        <v>23</v>
      </c>
      <c r="W33" s="360"/>
      <c r="X33" s="358"/>
      <c r="Y33" s="358" t="s">
        <v>7</v>
      </c>
      <c r="Z33" s="358" t="s">
        <v>758</v>
      </c>
      <c r="AA33" s="358" t="str">
        <f>CONCATENATE(Camp_List[[#This Row],[Ethnicity]],"-",Camp_List[[#This Row],[Religion]])</f>
        <v>Rakhine-Buddhist</v>
      </c>
      <c r="AB33" s="358" t="s">
        <v>1018</v>
      </c>
      <c r="AC33" s="358" t="s">
        <v>661</v>
      </c>
      <c r="AD33" s="705" t="s">
        <v>285</v>
      </c>
      <c r="AE33" s="358" t="s">
        <v>504</v>
      </c>
      <c r="AF33" s="358" t="s">
        <v>519</v>
      </c>
      <c r="AG33" s="290">
        <v>42766</v>
      </c>
      <c r="AH33" s="358"/>
      <c r="AI33" s="75" t="str">
        <f>IFERROR(VLOOKUP(Camp_List[[#This Row],[Responsible Agency]],Organization_t[],3,0),"")</f>
        <v>Richard Tracey, CCCM/NFI Cluster Coordinator, tracey@unhcr.org,09448027896</v>
      </c>
      <c r="AJ33" s="574">
        <f ca="1">IF((SUMIFS(Data_Shelter_t[Coverage],Data_Shelter_t[Pcode],Camp_List[[#This Row],[P_Code]]))&gt;1,1,SUMIFS(Data_Shelter_t[Coverage],Data_Shelter_t[Pcode],Camp_List[[#This Row],[P_Code]]))</f>
        <v>0</v>
      </c>
      <c r="BL33" s="19"/>
      <c r="BM33" s="19"/>
      <c r="BP33" s="69"/>
      <c r="BQ33" s="69"/>
    </row>
    <row r="34" spans="1:69" ht="13.5" customHeight="1" x14ac:dyDescent="0.25">
      <c r="A34" s="358" t="s">
        <v>348</v>
      </c>
      <c r="B34" s="358" t="s">
        <v>7</v>
      </c>
      <c r="C34" s="358" t="s">
        <v>351</v>
      </c>
      <c r="D34" s="358" t="s">
        <v>19</v>
      </c>
      <c r="E34" s="358" t="s">
        <v>603</v>
      </c>
      <c r="F34" s="358" t="s">
        <v>19</v>
      </c>
      <c r="G34" s="358" t="s">
        <v>413</v>
      </c>
      <c r="H34" s="358" t="s">
        <v>419</v>
      </c>
      <c r="I34" s="358" t="s">
        <v>418</v>
      </c>
      <c r="J34" s="358" t="s">
        <v>496</v>
      </c>
      <c r="K34" s="358">
        <v>196192</v>
      </c>
      <c r="L34" s="358" t="s">
        <v>635</v>
      </c>
      <c r="M34" s="358" t="s">
        <v>637</v>
      </c>
      <c r="N34" s="75">
        <v>92.802295999999998</v>
      </c>
      <c r="O34" s="75">
        <v>20.185092000000001</v>
      </c>
      <c r="P34" s="358"/>
      <c r="Q34" s="870">
        <v>2256</v>
      </c>
      <c r="R34" s="868">
        <v>11659</v>
      </c>
      <c r="S34" s="881">
        <v>5.2180115916183683</v>
      </c>
      <c r="T34" s="638" t="s">
        <v>343</v>
      </c>
      <c r="U34" s="638" t="s">
        <v>755</v>
      </c>
      <c r="V34" s="638" t="s">
        <v>22</v>
      </c>
      <c r="W34" s="360"/>
      <c r="X34" s="358"/>
      <c r="Y34" s="358"/>
      <c r="Z34" s="358" t="s">
        <v>656</v>
      </c>
      <c r="AA34" s="358" t="str">
        <f>CONCATENATE(Camp_List[[#This Row],[Ethnicity]],"-",Camp_List[[#This Row],[Religion]])</f>
        <v>-Muslim</v>
      </c>
      <c r="AB34" s="358" t="s">
        <v>1018</v>
      </c>
      <c r="AC34" s="358" t="s">
        <v>660</v>
      </c>
      <c r="AD34" s="705" t="s">
        <v>623</v>
      </c>
      <c r="AE34" s="358" t="s">
        <v>878</v>
      </c>
      <c r="AF34" s="358" t="s">
        <v>879</v>
      </c>
      <c r="AG34" s="290">
        <v>42825</v>
      </c>
      <c r="AH34" s="644" t="s">
        <v>1155</v>
      </c>
      <c r="AI34" s="75" t="str">
        <f>IFERROR(VLOOKUP(Camp_List[[#This Row],[Responsible Agency]],Organization_t[],3,0),"")</f>
        <v>Yadu Shresk
Emergency Project Coordinator
campro.mmr@lwfdws.org</v>
      </c>
      <c r="AJ34" s="574">
        <f ca="1">IF((SUMIFS(Data_Shelter_t[Coverage],Data_Shelter_t[Pcode],Camp_List[[#This Row],[P_Code]]))&gt;1,1,SUMIFS(Data_Shelter_t[Coverage],Data_Shelter_t[Pcode],Camp_List[[#This Row],[P_Code]]))</f>
        <v>1</v>
      </c>
      <c r="BL34" s="19"/>
      <c r="BM34" s="19"/>
      <c r="BP34" s="69"/>
      <c r="BQ34" s="69"/>
    </row>
    <row r="35" spans="1:69" ht="13.5" customHeight="1" x14ac:dyDescent="0.25">
      <c r="A35" s="358" t="s">
        <v>348</v>
      </c>
      <c r="B35" s="358" t="s">
        <v>7</v>
      </c>
      <c r="C35" s="358" t="s">
        <v>351</v>
      </c>
      <c r="D35" s="358" t="s">
        <v>19</v>
      </c>
      <c r="E35" s="358" t="s">
        <v>603</v>
      </c>
      <c r="F35" s="358" t="s">
        <v>19</v>
      </c>
      <c r="G35" s="358" t="s">
        <v>413</v>
      </c>
      <c r="H35" s="358" t="s">
        <v>415</v>
      </c>
      <c r="I35" s="358" t="s">
        <v>414</v>
      </c>
      <c r="J35" s="358" t="s">
        <v>67</v>
      </c>
      <c r="K35" s="358">
        <v>196154</v>
      </c>
      <c r="L35" s="358" t="s">
        <v>67</v>
      </c>
      <c r="M35" s="358" t="s">
        <v>155</v>
      </c>
      <c r="N35" s="75">
        <v>92.792479999999998</v>
      </c>
      <c r="O35" s="75">
        <v>20.202525000000001</v>
      </c>
      <c r="P35" s="358"/>
      <c r="Q35" s="869">
        <v>2497</v>
      </c>
      <c r="R35" s="868">
        <v>12273</v>
      </c>
      <c r="S35" s="881">
        <v>4.9991789819376029</v>
      </c>
      <c r="T35" s="638" t="s">
        <v>343</v>
      </c>
      <c r="U35" s="638" t="s">
        <v>755</v>
      </c>
      <c r="V35" s="638" t="s">
        <v>22</v>
      </c>
      <c r="W35" s="360"/>
      <c r="X35" s="358"/>
      <c r="Y35" s="358"/>
      <c r="Z35" s="358" t="s">
        <v>656</v>
      </c>
      <c r="AA35" s="358" t="str">
        <f>CONCATENATE(Camp_List[[#This Row],[Ethnicity]],"-",Camp_List[[#This Row],[Religion]])</f>
        <v>-Muslim</v>
      </c>
      <c r="AB35" s="358" t="s">
        <v>1018</v>
      </c>
      <c r="AC35" s="358" t="s">
        <v>660</v>
      </c>
      <c r="AD35" s="705" t="s">
        <v>288</v>
      </c>
      <c r="AE35" s="358" t="s">
        <v>878</v>
      </c>
      <c r="AF35" s="358" t="s">
        <v>879</v>
      </c>
      <c r="AG35" s="290">
        <v>42825</v>
      </c>
      <c r="AH35" s="644" t="s">
        <v>1156</v>
      </c>
      <c r="AI35" s="19" t="str">
        <f>IFERROR(VLOOKUP(Camp_List[[#This Row],[Responsible Agency]],Organization_t[],3,0),"")</f>
        <v>Sophie Everest, CCCM Project Coordinator,
sophie.everest@drcmm.org,</v>
      </c>
      <c r="AJ35" s="574">
        <f ca="1">IF((SUMIFS(Data_Shelter_t[Coverage],Data_Shelter_t[Pcode],Camp_List[[#This Row],[P_Code]]))&gt;1,1,SUMIFS(Data_Shelter_t[Coverage],Data_Shelter_t[Pcode],Camp_List[[#This Row],[P_Code]]))</f>
        <v>1</v>
      </c>
      <c r="BL35" s="19"/>
      <c r="BM35" s="19"/>
      <c r="BP35" s="69"/>
      <c r="BQ35" s="69"/>
    </row>
    <row r="36" spans="1:69" ht="13.5" customHeight="1" x14ac:dyDescent="0.25">
      <c r="A36" s="358" t="s">
        <v>348</v>
      </c>
      <c r="B36" s="358" t="s">
        <v>7</v>
      </c>
      <c r="C36" s="358" t="s">
        <v>351</v>
      </c>
      <c r="D36" s="358" t="s">
        <v>19</v>
      </c>
      <c r="E36" s="358" t="s">
        <v>603</v>
      </c>
      <c r="F36" s="358" t="s">
        <v>14</v>
      </c>
      <c r="G36" s="358" t="s">
        <v>372</v>
      </c>
      <c r="H36" s="358" t="s">
        <v>43</v>
      </c>
      <c r="I36" s="358" t="s">
        <v>376</v>
      </c>
      <c r="J36" s="358" t="s">
        <v>489</v>
      </c>
      <c r="K36" s="358">
        <v>197548</v>
      </c>
      <c r="L36" s="358" t="s">
        <v>43</v>
      </c>
      <c r="M36" s="358" t="s">
        <v>129</v>
      </c>
      <c r="N36" s="75">
        <v>92.993758999999997</v>
      </c>
      <c r="O36" s="75">
        <v>20.064226000000001</v>
      </c>
      <c r="P36" s="358"/>
      <c r="Q36" s="873">
        <v>534</v>
      </c>
      <c r="R36" s="969">
        <v>2683</v>
      </c>
      <c r="S36" s="881">
        <v>3.7519500780031203</v>
      </c>
      <c r="T36" s="638" t="s">
        <v>343</v>
      </c>
      <c r="U36" s="638" t="s">
        <v>755</v>
      </c>
      <c r="V36" s="638" t="s">
        <v>22</v>
      </c>
      <c r="W36" s="360"/>
      <c r="X36" s="358"/>
      <c r="Y36" s="358" t="s">
        <v>765</v>
      </c>
      <c r="Z36" s="358" t="s">
        <v>656</v>
      </c>
      <c r="AA36" s="358" t="str">
        <f>CONCATENATE(Camp_List[[#This Row],[Ethnicity]],"-",Camp_List[[#This Row],[Religion]])</f>
        <v>Kaman-Muslim</v>
      </c>
      <c r="AB36" s="289" t="s">
        <v>1018</v>
      </c>
      <c r="AC36" s="358" t="s">
        <v>660</v>
      </c>
      <c r="AD36" s="706" t="s">
        <v>288</v>
      </c>
      <c r="AE36" s="358" t="s">
        <v>878</v>
      </c>
      <c r="AF36" s="358" t="s">
        <v>879</v>
      </c>
      <c r="AG36" s="290">
        <v>42825</v>
      </c>
      <c r="AH36" s="644" t="s">
        <v>1156</v>
      </c>
      <c r="AI36" s="75" t="str">
        <f>IFERROR(VLOOKUP(Camp_List[[#This Row],[Responsible Agency]],Organization_t[],3,0),"")</f>
        <v>Sophie Everest, CCCM Project Coordinator,
sophie.everest@drcmm.org,</v>
      </c>
      <c r="AJ36" s="574">
        <f ca="1">IF((SUMIFS(Data_Shelter_t[Coverage],Data_Shelter_t[Pcode],Camp_List[[#This Row],[P_Code]]))&gt;1,1,SUMIFS(Data_Shelter_t[Coverage],Data_Shelter_t[Pcode],Camp_List[[#This Row],[P_Code]]))</f>
        <v>1</v>
      </c>
      <c r="BL36" s="19"/>
      <c r="BM36" s="19"/>
      <c r="BP36" s="69"/>
      <c r="BQ36" s="69"/>
    </row>
    <row r="37" spans="1:69" ht="24" customHeight="1" x14ac:dyDescent="0.25">
      <c r="A37" s="358" t="s">
        <v>348</v>
      </c>
      <c r="B37" s="358" t="s">
        <v>7</v>
      </c>
      <c r="C37" s="358" t="s">
        <v>351</v>
      </c>
      <c r="D37" s="358" t="s">
        <v>19</v>
      </c>
      <c r="E37" s="358" t="s">
        <v>603</v>
      </c>
      <c r="F37" s="358" t="s">
        <v>866</v>
      </c>
      <c r="G37" s="358" t="s">
        <v>373</v>
      </c>
      <c r="H37" s="358" t="s">
        <v>380</v>
      </c>
      <c r="I37" s="358" t="s">
        <v>379</v>
      </c>
      <c r="J37" s="633" t="s">
        <v>510</v>
      </c>
      <c r="K37" s="358">
        <v>217973</v>
      </c>
      <c r="L37" s="358" t="s">
        <v>38</v>
      </c>
      <c r="M37" s="358" t="s">
        <v>124</v>
      </c>
      <c r="N37" s="75">
        <v>93.370037999999994</v>
      </c>
      <c r="O37" s="75">
        <v>20.037655000000001</v>
      </c>
      <c r="P37" s="358"/>
      <c r="Q37" s="869">
        <v>698</v>
      </c>
      <c r="R37" s="868">
        <v>2656</v>
      </c>
      <c r="S37" s="881">
        <v>4.043413173652695</v>
      </c>
      <c r="T37" s="638" t="s">
        <v>343</v>
      </c>
      <c r="U37" s="638" t="s">
        <v>755</v>
      </c>
      <c r="V37" s="638" t="s">
        <v>22</v>
      </c>
      <c r="W37" s="360"/>
      <c r="X37" s="358"/>
      <c r="Y37" s="358"/>
      <c r="Z37" s="358" t="s">
        <v>656</v>
      </c>
      <c r="AA37" s="358" t="str">
        <f>CONCATENATE(Camp_List[[#This Row],[Ethnicity]],"-",Camp_List[[#This Row],[Religion]])</f>
        <v>-Muslim</v>
      </c>
      <c r="AB37" s="358" t="s">
        <v>512</v>
      </c>
      <c r="AC37" s="358" t="s">
        <v>661</v>
      </c>
      <c r="AD37" s="705" t="s">
        <v>706</v>
      </c>
      <c r="AE37" s="358" t="s">
        <v>878</v>
      </c>
      <c r="AF37" s="358" t="s">
        <v>879</v>
      </c>
      <c r="AG37" s="290">
        <v>42825</v>
      </c>
      <c r="AH37" s="358" t="s">
        <v>1144</v>
      </c>
      <c r="AI37" s="75" t="str">
        <f>IFERROR(VLOOKUP(Camp_List[[#This Row],[Responsible Agency]],Organization_t[],3,0),"")</f>
        <v>Alejandro Cuyar, Head of Rakhine Programs, 
alejandro.cuyar@ri.org</v>
      </c>
      <c r="AJ37" s="574">
        <f ca="1">IF((SUMIFS(Data_Shelter_t[Coverage],Data_Shelter_t[Pcode],Camp_List[[#This Row],[P_Code]]))&gt;1,1,SUMIFS(Data_Shelter_t[Coverage],Data_Shelter_t[Pcode],Camp_List[[#This Row],[P_Code]]))</f>
        <v>1</v>
      </c>
      <c r="BL37" s="19"/>
      <c r="BM37" s="19"/>
      <c r="BP37" s="69"/>
      <c r="BQ37" s="69"/>
    </row>
    <row r="38" spans="1:69" ht="13.5" customHeight="1" x14ac:dyDescent="0.25">
      <c r="A38" s="358" t="s">
        <v>348</v>
      </c>
      <c r="B38" s="358" t="s">
        <v>7</v>
      </c>
      <c r="C38" s="358" t="s">
        <v>351</v>
      </c>
      <c r="D38" s="358" t="s">
        <v>19</v>
      </c>
      <c r="E38" s="358" t="s">
        <v>603</v>
      </c>
      <c r="F38" s="358" t="s">
        <v>19</v>
      </c>
      <c r="G38" s="358" t="s">
        <v>413</v>
      </c>
      <c r="H38" s="358" t="s">
        <v>417</v>
      </c>
      <c r="I38" s="358" t="s">
        <v>416</v>
      </c>
      <c r="J38" s="358" t="s">
        <v>495</v>
      </c>
      <c r="K38" s="358">
        <v>196211</v>
      </c>
      <c r="L38" s="358" t="s">
        <v>68</v>
      </c>
      <c r="M38" s="358" t="s">
        <v>156</v>
      </c>
      <c r="N38" s="75">
        <v>92.839416999999997</v>
      </c>
      <c r="O38" s="75">
        <v>20.1585</v>
      </c>
      <c r="P38" s="358"/>
      <c r="Q38" s="870">
        <v>2145</v>
      </c>
      <c r="R38" s="868">
        <v>11764</v>
      </c>
      <c r="S38" s="881">
        <v>5.4372960372960373</v>
      </c>
      <c r="T38" s="638" t="s">
        <v>343</v>
      </c>
      <c r="U38" s="638" t="s">
        <v>755</v>
      </c>
      <c r="V38" s="638" t="s">
        <v>23</v>
      </c>
      <c r="W38" s="360"/>
      <c r="X38" s="358"/>
      <c r="Y38" s="358"/>
      <c r="Z38" s="358" t="s">
        <v>656</v>
      </c>
      <c r="AA38" s="358" t="str">
        <f>CONCATENATE(Camp_List[[#This Row],[Ethnicity]],"-",Camp_List[[#This Row],[Religion]])</f>
        <v>-Muslim</v>
      </c>
      <c r="AB38" s="358" t="s">
        <v>1018</v>
      </c>
      <c r="AC38" s="358" t="s">
        <v>660</v>
      </c>
      <c r="AD38" s="705" t="s">
        <v>623</v>
      </c>
      <c r="AE38" s="358" t="s">
        <v>878</v>
      </c>
      <c r="AF38" s="358" t="s">
        <v>879</v>
      </c>
      <c r="AG38" s="290">
        <v>42825</v>
      </c>
      <c r="AH38" s="630" t="s">
        <v>1145</v>
      </c>
      <c r="AI38" s="19" t="str">
        <f>IFERROR(VLOOKUP(Camp_List[[#This Row],[Responsible Agency]],Organization_t[],3,0),"")</f>
        <v>Yadu Shresk
Emergency Project Coordinator
campro.mmr@lwfdws.org</v>
      </c>
      <c r="AJ38" s="574">
        <f>IF((SUMIFS(Data_Shelter_t[Coverage],Data_Shelter_t[Pcode],Camp_List[[#This Row],[P_Code]]))&gt;1,1,SUMIFS(Data_Shelter_t[Coverage],Data_Shelter_t[Pcode],Camp_List[[#This Row],[P_Code]]))</f>
        <v>0</v>
      </c>
      <c r="BL38" s="19"/>
      <c r="BM38" s="19"/>
      <c r="BP38" s="69"/>
      <c r="BQ38" s="69"/>
    </row>
    <row r="39" spans="1:69" ht="13.5" customHeight="1" x14ac:dyDescent="0.25">
      <c r="A39" s="358" t="s">
        <v>348</v>
      </c>
      <c r="B39" s="358" t="s">
        <v>7</v>
      </c>
      <c r="C39" s="358" t="s">
        <v>351</v>
      </c>
      <c r="D39" s="358" t="s">
        <v>19</v>
      </c>
      <c r="E39" s="358" t="s">
        <v>603</v>
      </c>
      <c r="F39" s="632" t="s">
        <v>19</v>
      </c>
      <c r="G39" s="358" t="s">
        <v>413</v>
      </c>
      <c r="H39" s="358" t="s">
        <v>417</v>
      </c>
      <c r="I39" s="358" t="s">
        <v>416</v>
      </c>
      <c r="J39" s="632" t="s">
        <v>498</v>
      </c>
      <c r="K39" s="358">
        <v>196186</v>
      </c>
      <c r="L39" s="632" t="s">
        <v>70</v>
      </c>
      <c r="M39" s="635" t="s">
        <v>158</v>
      </c>
      <c r="N39" s="75">
        <v>92.831879000000001</v>
      </c>
      <c r="O39" s="75">
        <v>20.179939999999998</v>
      </c>
      <c r="P39" s="636"/>
      <c r="Q39" s="935">
        <v>997</v>
      </c>
      <c r="R39" s="868">
        <v>5838</v>
      </c>
      <c r="S39" s="883">
        <v>5.7479674796747968</v>
      </c>
      <c r="T39" s="638" t="s">
        <v>343</v>
      </c>
      <c r="U39" s="638" t="s">
        <v>755</v>
      </c>
      <c r="V39" s="638" t="s">
        <v>22</v>
      </c>
      <c r="W39" s="360"/>
      <c r="X39" s="358"/>
      <c r="Y39" s="358"/>
      <c r="Z39" s="358" t="s">
        <v>656</v>
      </c>
      <c r="AA39" s="358" t="str">
        <f>CONCATENATE(Camp_List[[#This Row],[Ethnicity]],"-",Camp_List[[#This Row],[Religion]])</f>
        <v>-Muslim</v>
      </c>
      <c r="AB39" s="358" t="s">
        <v>1018</v>
      </c>
      <c r="AC39" s="358" t="s">
        <v>660</v>
      </c>
      <c r="AD39" s="705" t="s">
        <v>970</v>
      </c>
      <c r="AE39" s="358" t="s">
        <v>878</v>
      </c>
      <c r="AF39" s="358" t="s">
        <v>879</v>
      </c>
      <c r="AG39" s="290">
        <v>42825</v>
      </c>
      <c r="AH39" s="358" t="s">
        <v>1143</v>
      </c>
      <c r="AI39" s="645" t="str">
        <f>IFERROR(VLOOKUP(Camp_List[[#This Row],[Responsible Agency]],Organization_t[],3,0),"")</f>
        <v xml:space="preserve">Helen T Colon Omana, Camp Management Coordinator , helen.omana@nrc.no </v>
      </c>
      <c r="AJ39" s="574">
        <f ca="1">IF((SUMIFS(Data_Shelter_t[Coverage],Data_Shelter_t[Pcode],Camp_List[[#This Row],[P_Code]]))&gt;1,1,SUMIFS(Data_Shelter_t[Coverage],Data_Shelter_t[Pcode],Camp_List[[#This Row],[P_Code]]))</f>
        <v>0.9869608826479439</v>
      </c>
      <c r="BL39" s="19"/>
      <c r="BM39" s="19"/>
      <c r="BP39" s="69"/>
      <c r="BQ39" s="69"/>
    </row>
    <row r="40" spans="1:69" ht="13.5" customHeight="1" x14ac:dyDescent="0.25">
      <c r="A40" s="358" t="s">
        <v>348</v>
      </c>
      <c r="B40" s="358" t="s">
        <v>7</v>
      </c>
      <c r="C40" s="358" t="s">
        <v>351</v>
      </c>
      <c r="D40" s="358" t="s">
        <v>19</v>
      </c>
      <c r="E40" s="358" t="s">
        <v>603</v>
      </c>
      <c r="F40" s="358" t="s">
        <v>19</v>
      </c>
      <c r="G40" s="358" t="s">
        <v>413</v>
      </c>
      <c r="H40" s="358" t="s">
        <v>417</v>
      </c>
      <c r="I40" s="358" t="s">
        <v>416</v>
      </c>
      <c r="J40" s="358" t="s">
        <v>498</v>
      </c>
      <c r="K40" s="358">
        <v>196186</v>
      </c>
      <c r="L40" s="358" t="s">
        <v>540</v>
      </c>
      <c r="M40" s="358" t="s">
        <v>280</v>
      </c>
      <c r="N40" s="75">
        <v>92.842230000000001</v>
      </c>
      <c r="O40" s="75">
        <v>20.181742</v>
      </c>
      <c r="P40" s="358"/>
      <c r="Q40" s="869">
        <v>496</v>
      </c>
      <c r="R40" s="868">
        <v>2942</v>
      </c>
      <c r="S40" s="884">
        <v>5.931451612903226</v>
      </c>
      <c r="T40" s="358" t="s">
        <v>343</v>
      </c>
      <c r="U40" s="358" t="s">
        <v>755</v>
      </c>
      <c r="V40" s="358" t="s">
        <v>808</v>
      </c>
      <c r="W40" s="360"/>
      <c r="X40" s="358"/>
      <c r="Y40" s="358"/>
      <c r="Z40" s="358" t="s">
        <v>656</v>
      </c>
      <c r="AA40" s="358" t="str">
        <f>CONCATENATE(Camp_List[[#This Row],[Ethnicity]],"-",Camp_List[[#This Row],[Religion]])</f>
        <v>-Muslim</v>
      </c>
      <c r="AB40" s="358" t="s">
        <v>1018</v>
      </c>
      <c r="AC40" s="358" t="s">
        <v>661</v>
      </c>
      <c r="AD40" s="705" t="s">
        <v>285</v>
      </c>
      <c r="AE40" s="358" t="s">
        <v>504</v>
      </c>
      <c r="AF40" s="358" t="s">
        <v>519</v>
      </c>
      <c r="AG40" s="290">
        <v>42766</v>
      </c>
      <c r="AH40" s="358"/>
      <c r="AI40" s="75" t="str">
        <f>IFERROR(VLOOKUP(Camp_List[[#This Row],[Responsible Agency]],Organization_t[],3,0),"")</f>
        <v>Richard Tracey, CCCM/NFI Cluster Coordinator, tracey@unhcr.org,09448027896</v>
      </c>
      <c r="AJ40" s="574">
        <f>IF((SUMIFS(Data_Shelter_t[Coverage],Data_Shelter_t[Pcode],Camp_List[[#This Row],[P_Code]]))&gt;1,1,SUMIFS(Data_Shelter_t[Coverage],Data_Shelter_t[Pcode],Camp_List[[#This Row],[P_Code]]))</f>
        <v>0</v>
      </c>
      <c r="BL40" s="19"/>
      <c r="BM40" s="19"/>
      <c r="BP40" s="69"/>
      <c r="BQ40" s="69"/>
    </row>
    <row r="41" spans="1:69" ht="13.5" customHeight="1" x14ac:dyDescent="0.25">
      <c r="A41" s="630" t="s">
        <v>1004</v>
      </c>
      <c r="B41" s="358" t="s">
        <v>7</v>
      </c>
      <c r="C41" s="358" t="s">
        <v>351</v>
      </c>
      <c r="D41" s="358" t="s">
        <v>19</v>
      </c>
      <c r="E41" s="358" t="s">
        <v>603</v>
      </c>
      <c r="F41" s="358" t="s">
        <v>14</v>
      </c>
      <c r="G41" s="358" t="s">
        <v>372</v>
      </c>
      <c r="H41" s="358" t="s">
        <v>375</v>
      </c>
      <c r="I41" s="358" t="s">
        <v>374</v>
      </c>
      <c r="J41" s="358" t="s">
        <v>488</v>
      </c>
      <c r="K41" s="358" t="s">
        <v>990</v>
      </c>
      <c r="L41" s="358" t="s">
        <v>1066</v>
      </c>
      <c r="M41" s="358" t="s">
        <v>127</v>
      </c>
      <c r="N41" s="75">
        <v>93.154551999999995</v>
      </c>
      <c r="O41" s="75">
        <v>20.073437999999999</v>
      </c>
      <c r="P41" s="358"/>
      <c r="Q41" s="869">
        <v>891</v>
      </c>
      <c r="R41" s="868">
        <v>4239</v>
      </c>
      <c r="S41" s="881">
        <v>4.7418321588725201</v>
      </c>
      <c r="T41" s="638" t="s">
        <v>343</v>
      </c>
      <c r="U41" s="638"/>
      <c r="V41" s="734" t="s">
        <v>986</v>
      </c>
      <c r="W41" s="638"/>
      <c r="X41" s="358"/>
      <c r="Y41" s="358"/>
      <c r="Z41" s="358" t="s">
        <v>656</v>
      </c>
      <c r="AA41" s="358" t="str">
        <f>CONCATENATE(Camp_List[[#This Row],[Ethnicity]],"-",Camp_List[[#This Row],[Religion]])</f>
        <v>-Muslim</v>
      </c>
      <c r="AB41" s="358" t="s">
        <v>1018</v>
      </c>
      <c r="AC41" s="358"/>
      <c r="AD41" s="708"/>
      <c r="AE41" s="358" t="s">
        <v>878</v>
      </c>
      <c r="AF41" s="358" t="s">
        <v>879</v>
      </c>
      <c r="AG41" s="290">
        <v>42766</v>
      </c>
      <c r="AH41" s="643" t="s">
        <v>1068</v>
      </c>
      <c r="AI41" s="639" t="str">
        <f>IFERROR(VLOOKUP(Camp_List[[#This Row],[Responsible Agency]],Organization_t[],3,0),"")</f>
        <v/>
      </c>
      <c r="AJ41" s="646">
        <f ca="1">IF((SUMIFS(Data_Shelter_t[Coverage],Data_Shelter_t[Pcode],Camp_List[[#This Row],[P_Code]]))&gt;1,1,SUMIFS(Data_Shelter_t[Coverage],Data_Shelter_t[Pcode],Camp_List[[#This Row],[P_Code]]))</f>
        <v>0</v>
      </c>
      <c r="BL41" s="19"/>
      <c r="BM41" s="19"/>
      <c r="BP41" s="69"/>
      <c r="BQ41" s="69"/>
    </row>
    <row r="42" spans="1:69" ht="13.5" customHeight="1" x14ac:dyDescent="0.25">
      <c r="A42" s="630" t="s">
        <v>1004</v>
      </c>
      <c r="B42" s="358" t="s">
        <v>7</v>
      </c>
      <c r="C42" s="358" t="s">
        <v>351</v>
      </c>
      <c r="D42" s="358" t="s">
        <v>19</v>
      </c>
      <c r="E42" s="358" t="s">
        <v>603</v>
      </c>
      <c r="F42" s="358" t="s">
        <v>19</v>
      </c>
      <c r="G42" s="358" t="s">
        <v>413</v>
      </c>
      <c r="H42" s="358" t="s">
        <v>423</v>
      </c>
      <c r="I42" s="358" t="s">
        <v>559</v>
      </c>
      <c r="J42" s="358" t="s">
        <v>423</v>
      </c>
      <c r="K42" s="358" t="s">
        <v>422</v>
      </c>
      <c r="L42" s="358" t="s">
        <v>245</v>
      </c>
      <c r="M42" s="358" t="s">
        <v>282</v>
      </c>
      <c r="N42" s="75">
        <v>92.879138999999995</v>
      </c>
      <c r="O42" s="75">
        <v>20.155805999999998</v>
      </c>
      <c r="P42" s="358"/>
      <c r="Q42" s="870">
        <v>151</v>
      </c>
      <c r="R42" s="868">
        <v>654</v>
      </c>
      <c r="S42" s="881">
        <v>4.2384105960264904</v>
      </c>
      <c r="T42" s="638" t="s">
        <v>343</v>
      </c>
      <c r="U42" s="638"/>
      <c r="V42" s="638" t="s">
        <v>986</v>
      </c>
      <c r="W42" s="360"/>
      <c r="X42" s="358"/>
      <c r="Y42" s="358" t="s">
        <v>7</v>
      </c>
      <c r="Z42" s="358" t="s">
        <v>758</v>
      </c>
      <c r="AA42" s="358" t="str">
        <f>CONCATENATE(Camp_List[[#This Row],[Ethnicity]],"-",Camp_List[[#This Row],[Religion]])</f>
        <v>Rakhine-Buddhist</v>
      </c>
      <c r="AB42" s="358" t="s">
        <v>512</v>
      </c>
      <c r="AC42" s="358"/>
      <c r="AD42" s="705"/>
      <c r="AE42" s="358" t="s">
        <v>878</v>
      </c>
      <c r="AF42" s="358" t="s">
        <v>879</v>
      </c>
      <c r="AG42" s="290">
        <v>42766</v>
      </c>
      <c r="AH42" s="630" t="s">
        <v>1028</v>
      </c>
      <c r="AI42" s="75" t="str">
        <f>IFERROR(VLOOKUP(Camp_List[[#This Row],[Responsible Agency]],Organization_t[],3,0),"")</f>
        <v/>
      </c>
      <c r="AJ42" s="574">
        <f ca="1">IF((SUMIFS(Data_Shelter_t[Coverage],Data_Shelter_t[Pcode],Camp_List[[#This Row],[P_Code]]))&gt;1,1,SUMIFS(Data_Shelter_t[Coverage],Data_Shelter_t[Pcode],Camp_List[[#This Row],[P_Code]]))</f>
        <v>1</v>
      </c>
      <c r="BL42" s="19"/>
      <c r="BM42" s="19"/>
      <c r="BP42" s="69"/>
      <c r="BQ42" s="69"/>
    </row>
    <row r="43" spans="1:69" ht="13.5" customHeight="1" x14ac:dyDescent="0.25">
      <c r="A43" s="630" t="s">
        <v>1004</v>
      </c>
      <c r="B43" s="358" t="s">
        <v>7</v>
      </c>
      <c r="C43" s="358" t="s">
        <v>351</v>
      </c>
      <c r="D43" s="358" t="s">
        <v>19</v>
      </c>
      <c r="E43" s="358" t="s">
        <v>603</v>
      </c>
      <c r="F43" s="358" t="s">
        <v>15</v>
      </c>
      <c r="G43" s="358" t="s">
        <v>381</v>
      </c>
      <c r="H43" s="358" t="s">
        <v>385</v>
      </c>
      <c r="I43" s="358" t="s">
        <v>384</v>
      </c>
      <c r="J43" s="358" t="s">
        <v>475</v>
      </c>
      <c r="K43" s="358">
        <v>196838</v>
      </c>
      <c r="L43" s="358" t="s">
        <v>54</v>
      </c>
      <c r="M43" s="358" t="s">
        <v>140</v>
      </c>
      <c r="N43" s="75">
        <v>93.006497999999993</v>
      </c>
      <c r="O43" s="75">
        <v>20.886997999999998</v>
      </c>
      <c r="P43" s="358"/>
      <c r="Q43" s="869">
        <v>97</v>
      </c>
      <c r="R43" s="868">
        <v>557</v>
      </c>
      <c r="S43" s="881">
        <v>5.9381443298969074</v>
      </c>
      <c r="T43" s="638" t="s">
        <v>343</v>
      </c>
      <c r="U43" s="638"/>
      <c r="V43" s="734" t="s">
        <v>986</v>
      </c>
      <c r="W43" s="638" t="s">
        <v>862</v>
      </c>
      <c r="X43" s="358"/>
      <c r="Y43" s="358"/>
      <c r="Z43" s="358" t="s">
        <v>656</v>
      </c>
      <c r="AA43" s="358" t="str">
        <f>CONCATENATE(Camp_List[[#This Row],[Ethnicity]],"-",Camp_List[[#This Row],[Religion]])</f>
        <v>-Muslim</v>
      </c>
      <c r="AB43" s="358" t="s">
        <v>1018</v>
      </c>
      <c r="AC43" s="358"/>
      <c r="AD43" s="708"/>
      <c r="AE43" s="358" t="s">
        <v>504</v>
      </c>
      <c r="AF43" s="358" t="s">
        <v>926</v>
      </c>
      <c r="AG43" s="290">
        <v>42766</v>
      </c>
      <c r="AH43" s="643" t="s">
        <v>976</v>
      </c>
      <c r="AI43" s="639" t="str">
        <f>IFERROR(VLOOKUP(Camp_List[[#This Row],[Responsible Agency]],Organization_t[],3,0),"")</f>
        <v/>
      </c>
      <c r="AJ43" s="574">
        <f ca="1">IF((SUMIFS(Data_Shelter_t[Coverage],Data_Shelter_t[Pcode],Camp_List[[#This Row],[P_Code]]))&gt;1,1,SUMIFS(Data_Shelter_t[Coverage],Data_Shelter_t[Pcode],Camp_List[[#This Row],[P_Code]]))</f>
        <v>0.82474226804123707</v>
      </c>
      <c r="BL43" s="19"/>
      <c r="BM43" s="19"/>
      <c r="BP43" s="69"/>
      <c r="BQ43" s="69"/>
    </row>
    <row r="44" spans="1:69" ht="13.5" customHeight="1" x14ac:dyDescent="0.25">
      <c r="A44" s="630" t="s">
        <v>1004</v>
      </c>
      <c r="B44" s="358" t="s">
        <v>7</v>
      </c>
      <c r="C44" s="358" t="s">
        <v>351</v>
      </c>
      <c r="D44" s="358" t="s">
        <v>19</v>
      </c>
      <c r="E44" s="358" t="s">
        <v>603</v>
      </c>
      <c r="F44" s="789" t="s">
        <v>1002</v>
      </c>
      <c r="G44" s="358" t="s">
        <v>365</v>
      </c>
      <c r="H44" s="358" t="s">
        <v>371</v>
      </c>
      <c r="I44" s="358" t="s">
        <v>370</v>
      </c>
      <c r="J44" s="358" t="s">
        <v>487</v>
      </c>
      <c r="K44" s="358">
        <v>196441</v>
      </c>
      <c r="L44" s="358" t="s">
        <v>36</v>
      </c>
      <c r="M44" s="358" t="s">
        <v>122</v>
      </c>
      <c r="N44" s="75">
        <v>93.239519999999999</v>
      </c>
      <c r="O44" s="75">
        <v>20.61692</v>
      </c>
      <c r="P44" s="358"/>
      <c r="Q44" s="869">
        <v>10</v>
      </c>
      <c r="R44" s="868">
        <v>64</v>
      </c>
      <c r="S44" s="881">
        <v>6.4</v>
      </c>
      <c r="T44" s="638" t="s">
        <v>343</v>
      </c>
      <c r="U44" s="638"/>
      <c r="V44" s="638" t="s">
        <v>986</v>
      </c>
      <c r="W44" s="360" t="s">
        <v>863</v>
      </c>
      <c r="X44" s="358"/>
      <c r="Y44" s="358" t="s">
        <v>657</v>
      </c>
      <c r="Z44" s="634" t="s">
        <v>758</v>
      </c>
      <c r="AA44" s="634" t="str">
        <f>CONCATENATE(Camp_List[[#This Row],[Ethnicity]],"-",Camp_List[[#This Row],[Religion]])</f>
        <v>Maramargyi-Buddhist</v>
      </c>
      <c r="AB44" s="634" t="s">
        <v>1018</v>
      </c>
      <c r="AC44" s="358"/>
      <c r="AD44" s="705"/>
      <c r="AE44" s="358" t="s">
        <v>504</v>
      </c>
      <c r="AF44" s="358" t="s">
        <v>519</v>
      </c>
      <c r="AG44" s="290">
        <v>42766</v>
      </c>
      <c r="AH44" s="358" t="s">
        <v>976</v>
      </c>
      <c r="AI44" s="75" t="str">
        <f>IFERROR(VLOOKUP(Camp_List[[#This Row],[Responsible Agency]],Organization_t[],3,0),"")</f>
        <v/>
      </c>
      <c r="AJ44" s="574">
        <f ca="1">IF((SUMIFS(Data_Shelter_t[Coverage],Data_Shelter_t[Pcode],Camp_List[[#This Row],[P_Code]]))&gt;1,1,SUMIFS(Data_Shelter_t[Coverage],Data_Shelter_t[Pcode],Camp_List[[#This Row],[P_Code]]))</f>
        <v>1</v>
      </c>
      <c r="BL44" s="19"/>
      <c r="BM44" s="19"/>
      <c r="BP44" s="69"/>
      <c r="BQ44" s="69"/>
    </row>
    <row r="45" spans="1:69" ht="13.5" customHeight="1" x14ac:dyDescent="0.25">
      <c r="A45" s="630" t="s">
        <v>1004</v>
      </c>
      <c r="B45" s="358" t="s">
        <v>7</v>
      </c>
      <c r="C45" s="358" t="s">
        <v>351</v>
      </c>
      <c r="D45" s="358" t="s">
        <v>19</v>
      </c>
      <c r="E45" s="358" t="s">
        <v>603</v>
      </c>
      <c r="F45" s="358" t="s">
        <v>1002</v>
      </c>
      <c r="G45" s="358" t="s">
        <v>365</v>
      </c>
      <c r="H45" s="359" t="s">
        <v>624</v>
      </c>
      <c r="I45" s="358" t="s">
        <v>625</v>
      </c>
      <c r="J45" s="358" t="s">
        <v>626</v>
      </c>
      <c r="K45" s="358">
        <v>196501</v>
      </c>
      <c r="L45" s="358" t="s">
        <v>626</v>
      </c>
      <c r="M45" s="358" t="s">
        <v>627</v>
      </c>
      <c r="N45" s="75">
        <v>93.246863000000005</v>
      </c>
      <c r="O45" s="75">
        <v>20.495086000000001</v>
      </c>
      <c r="P45" s="358"/>
      <c r="Q45" s="869">
        <v>31</v>
      </c>
      <c r="R45" s="868">
        <v>131</v>
      </c>
      <c r="S45" s="881">
        <v>4.225806451612903</v>
      </c>
      <c r="T45" s="638" t="s">
        <v>343</v>
      </c>
      <c r="U45" s="638"/>
      <c r="V45" s="638" t="s">
        <v>986</v>
      </c>
      <c r="W45" s="360" t="s">
        <v>863</v>
      </c>
      <c r="X45" s="358"/>
      <c r="Y45" s="358" t="s">
        <v>7</v>
      </c>
      <c r="Z45" s="358" t="s">
        <v>758</v>
      </c>
      <c r="AA45" s="358" t="str">
        <f>CONCATENATE(Camp_List[[#This Row],[Ethnicity]],"-",Camp_List[[#This Row],[Religion]])</f>
        <v>Rakhine-Buddhist</v>
      </c>
      <c r="AB45" s="634" t="s">
        <v>1018</v>
      </c>
      <c r="AC45" s="358"/>
      <c r="AD45" s="705"/>
      <c r="AE45" s="358" t="s">
        <v>504</v>
      </c>
      <c r="AF45" s="358" t="s">
        <v>519</v>
      </c>
      <c r="AG45" s="290">
        <v>42766</v>
      </c>
      <c r="AH45" s="358" t="s">
        <v>976</v>
      </c>
      <c r="AI45" s="75" t="str">
        <f>IFERROR(VLOOKUP(Camp_List[[#This Row],[Responsible Agency]],Organization_t[],3,0),"")</f>
        <v/>
      </c>
      <c r="AJ45" s="574">
        <f ca="1">IF((SUMIFS(Data_Shelter_t[Coverage],Data_Shelter_t[Pcode],Camp_List[[#This Row],[P_Code]]))&gt;1,1,SUMIFS(Data_Shelter_t[Coverage],Data_Shelter_t[Pcode],Camp_List[[#This Row],[P_Code]]))</f>
        <v>1</v>
      </c>
      <c r="BL45" s="19"/>
      <c r="BM45" s="19"/>
      <c r="BP45" s="69"/>
      <c r="BQ45" s="69"/>
    </row>
    <row r="46" spans="1:69" ht="13.5" customHeight="1" x14ac:dyDescent="0.25">
      <c r="A46" s="630" t="s">
        <v>1004</v>
      </c>
      <c r="B46" s="539" t="s">
        <v>7</v>
      </c>
      <c r="C46" s="539" t="s">
        <v>351</v>
      </c>
      <c r="D46" s="539" t="s">
        <v>19</v>
      </c>
      <c r="E46" s="539" t="s">
        <v>603</v>
      </c>
      <c r="F46" s="539" t="s">
        <v>14</v>
      </c>
      <c r="G46" s="539" t="s">
        <v>372</v>
      </c>
      <c r="H46" s="358" t="s">
        <v>512</v>
      </c>
      <c r="I46" s="358" t="s">
        <v>572</v>
      </c>
      <c r="J46" s="358" t="s">
        <v>491</v>
      </c>
      <c r="K46" s="358" t="s">
        <v>492</v>
      </c>
      <c r="L46" s="358" t="s">
        <v>39</v>
      </c>
      <c r="M46" s="358" t="s">
        <v>125</v>
      </c>
      <c r="N46" s="75">
        <v>93.067891000000003</v>
      </c>
      <c r="O46" s="75">
        <v>20.173468</v>
      </c>
      <c r="P46" s="358"/>
      <c r="Q46" s="869">
        <v>21</v>
      </c>
      <c r="R46" s="868">
        <v>122</v>
      </c>
      <c r="S46" s="881">
        <v>5.8095238095238093</v>
      </c>
      <c r="T46" s="638" t="s">
        <v>343</v>
      </c>
      <c r="U46" s="638"/>
      <c r="V46" s="638" t="s">
        <v>986</v>
      </c>
      <c r="W46" s="360"/>
      <c r="X46" s="358"/>
      <c r="Y46" s="358" t="s">
        <v>7</v>
      </c>
      <c r="Z46" s="358" t="s">
        <v>758</v>
      </c>
      <c r="AA46" s="358" t="str">
        <f>CONCATENATE(Camp_List[[#This Row],[Ethnicity]],"-",Camp_List[[#This Row],[Religion]])</f>
        <v>Rakhine-Buddhist</v>
      </c>
      <c r="AB46" s="358" t="s">
        <v>512</v>
      </c>
      <c r="AC46" s="358"/>
      <c r="AD46" s="705"/>
      <c r="AE46" s="358" t="s">
        <v>878</v>
      </c>
      <c r="AF46" s="358" t="s">
        <v>879</v>
      </c>
      <c r="AG46" s="290">
        <v>42766</v>
      </c>
      <c r="AH46" s="358" t="s">
        <v>992</v>
      </c>
      <c r="AI46" s="75" t="str">
        <f>IFERROR(VLOOKUP(Camp_List[[#This Row],[Responsible Agency]],Organization_t[],3,0),"")</f>
        <v/>
      </c>
      <c r="AJ46" s="574">
        <f ca="1">IF((SUMIFS(Data_Shelter_t[Coverage],Data_Shelter_t[Pcode],Camp_List[[#This Row],[P_Code]]))&gt;1,1,SUMIFS(Data_Shelter_t[Coverage],Data_Shelter_t[Pcode],Camp_List[[#This Row],[P_Code]]))</f>
        <v>1</v>
      </c>
      <c r="BL46" s="19"/>
      <c r="BM46" s="19"/>
      <c r="BP46" s="69"/>
      <c r="BQ46" s="69"/>
    </row>
    <row r="47" spans="1:69" ht="13.5" customHeight="1" x14ac:dyDescent="0.25">
      <c r="A47" s="630" t="s">
        <v>1004</v>
      </c>
      <c r="B47" s="358" t="s">
        <v>7</v>
      </c>
      <c r="C47" s="358" t="s">
        <v>351</v>
      </c>
      <c r="D47" s="358" t="s">
        <v>19</v>
      </c>
      <c r="E47" s="358" t="s">
        <v>603</v>
      </c>
      <c r="F47" s="358" t="s">
        <v>19</v>
      </c>
      <c r="G47" s="358" t="s">
        <v>413</v>
      </c>
      <c r="H47" s="358" t="s">
        <v>512</v>
      </c>
      <c r="I47" s="358" t="s">
        <v>559</v>
      </c>
      <c r="J47" s="358" t="s">
        <v>560</v>
      </c>
      <c r="K47" s="358" t="s">
        <v>561</v>
      </c>
      <c r="L47" s="358" t="s">
        <v>638</v>
      </c>
      <c r="M47" s="358" t="s">
        <v>640</v>
      </c>
      <c r="N47" s="75">
        <v>92.887277999999995</v>
      </c>
      <c r="O47" s="75">
        <v>20.151471999999998</v>
      </c>
      <c r="P47" s="358"/>
      <c r="Q47" s="869">
        <v>249</v>
      </c>
      <c r="R47" s="868">
        <v>1282</v>
      </c>
      <c r="S47" s="881">
        <v>5.1485943775100402</v>
      </c>
      <c r="T47" s="638" t="s">
        <v>343</v>
      </c>
      <c r="U47" s="638"/>
      <c r="V47" s="638" t="s">
        <v>986</v>
      </c>
      <c r="W47" s="360"/>
      <c r="X47" s="358"/>
      <c r="Y47" s="358" t="s">
        <v>7</v>
      </c>
      <c r="Z47" s="358" t="s">
        <v>758</v>
      </c>
      <c r="AA47" s="358" t="str">
        <f>CONCATENATE(Camp_List[[#This Row],[Ethnicity]],"-",Camp_List[[#This Row],[Religion]])</f>
        <v>Rakhine-Buddhist</v>
      </c>
      <c r="AB47" s="358" t="s">
        <v>512</v>
      </c>
      <c r="AC47" s="358"/>
      <c r="AD47" s="705"/>
      <c r="AE47" s="358" t="s">
        <v>878</v>
      </c>
      <c r="AF47" s="358" t="s">
        <v>879</v>
      </c>
      <c r="AG47" s="290">
        <v>42766</v>
      </c>
      <c r="AH47" s="358" t="s">
        <v>976</v>
      </c>
      <c r="AI47" s="19" t="str">
        <f>IFERROR(VLOOKUP(Camp_List[[#This Row],[Responsible Agency]],Organization_t[],3,0),"")</f>
        <v/>
      </c>
      <c r="AJ47" s="574">
        <f ca="1">IF((SUMIFS(Data_Shelter_t[Coverage],Data_Shelter_t[Pcode],Camp_List[[#This Row],[P_Code]]))&gt;1,1,SUMIFS(Data_Shelter_t[Coverage],Data_Shelter_t[Pcode],Camp_List[[#This Row],[P_Code]]))</f>
        <v>1</v>
      </c>
      <c r="BL47" s="19"/>
      <c r="BM47" s="19"/>
      <c r="BP47" s="69"/>
      <c r="BQ47" s="69"/>
    </row>
    <row r="48" spans="1:69" ht="13.5" customHeight="1" x14ac:dyDescent="0.25">
      <c r="A48" s="630" t="s">
        <v>1004</v>
      </c>
      <c r="B48" s="358" t="s">
        <v>7</v>
      </c>
      <c r="C48" s="358" t="s">
        <v>351</v>
      </c>
      <c r="D48" s="358" t="s">
        <v>19</v>
      </c>
      <c r="E48" s="358" t="s">
        <v>603</v>
      </c>
      <c r="F48" s="358" t="s">
        <v>19</v>
      </c>
      <c r="G48" s="358" t="s">
        <v>413</v>
      </c>
      <c r="H48" s="358" t="s">
        <v>512</v>
      </c>
      <c r="I48" s="358" t="s">
        <v>559</v>
      </c>
      <c r="J48" s="358" t="s">
        <v>560</v>
      </c>
      <c r="K48" s="358" t="s">
        <v>561</v>
      </c>
      <c r="L48" s="358" t="s">
        <v>639</v>
      </c>
      <c r="M48" s="358" t="s">
        <v>641</v>
      </c>
      <c r="N48" s="75">
        <v>92.887277999999995</v>
      </c>
      <c r="O48" s="75">
        <v>20.151471999999998</v>
      </c>
      <c r="P48" s="358"/>
      <c r="Q48" s="869">
        <v>418</v>
      </c>
      <c r="R48" s="868">
        <v>2200</v>
      </c>
      <c r="S48" s="881">
        <v>5.2631578947368425</v>
      </c>
      <c r="T48" s="638" t="s">
        <v>343</v>
      </c>
      <c r="U48" s="638"/>
      <c r="V48" s="638" t="s">
        <v>986</v>
      </c>
      <c r="W48" s="360"/>
      <c r="X48" s="358"/>
      <c r="Y48" s="358" t="s">
        <v>7</v>
      </c>
      <c r="Z48" s="358" t="s">
        <v>758</v>
      </c>
      <c r="AA48" s="358" t="str">
        <f>CONCATENATE(Camp_List[[#This Row],[Ethnicity]],"-",Camp_List[[#This Row],[Religion]])</f>
        <v>Rakhine-Buddhist</v>
      </c>
      <c r="AB48" s="358" t="s">
        <v>512</v>
      </c>
      <c r="AC48" s="358"/>
      <c r="AD48" s="705"/>
      <c r="AE48" s="358" t="s">
        <v>878</v>
      </c>
      <c r="AF48" s="358" t="s">
        <v>879</v>
      </c>
      <c r="AG48" s="290">
        <v>42766</v>
      </c>
      <c r="AH48" s="358" t="s">
        <v>976</v>
      </c>
      <c r="AI48" s="19" t="str">
        <f>IFERROR(VLOOKUP(Camp_List[[#This Row],[Responsible Agency]],Organization_t[],3,0),"")</f>
        <v/>
      </c>
      <c r="AJ48" s="574">
        <f ca="1">IF((SUMIFS(Data_Shelter_t[Coverage],Data_Shelter_t[Pcode],Camp_List[[#This Row],[P_Code]]))&gt;1,1,SUMIFS(Data_Shelter_t[Coverage],Data_Shelter_t[Pcode],Camp_List[[#This Row],[P_Code]]))</f>
        <v>1</v>
      </c>
      <c r="BL48" s="19"/>
      <c r="BM48" s="19"/>
      <c r="BP48" s="69"/>
      <c r="BQ48" s="69"/>
    </row>
    <row r="49" spans="1:69" ht="13.5" customHeight="1" x14ac:dyDescent="0.25">
      <c r="A49" s="630" t="s">
        <v>1004</v>
      </c>
      <c r="B49" s="358" t="s">
        <v>7</v>
      </c>
      <c r="C49" s="358" t="s">
        <v>351</v>
      </c>
      <c r="D49" s="358" t="s">
        <v>19</v>
      </c>
      <c r="E49" s="358" t="s">
        <v>603</v>
      </c>
      <c r="F49" s="358" t="s">
        <v>19</v>
      </c>
      <c r="G49" s="358" t="s">
        <v>413</v>
      </c>
      <c r="H49" s="358" t="s">
        <v>423</v>
      </c>
      <c r="I49" s="358" t="s">
        <v>559</v>
      </c>
      <c r="J49" s="358" t="s">
        <v>423</v>
      </c>
      <c r="K49" s="358" t="s">
        <v>422</v>
      </c>
      <c r="L49" s="358" t="s">
        <v>78</v>
      </c>
      <c r="M49" s="358" t="s">
        <v>166</v>
      </c>
      <c r="N49" s="75">
        <v>92.880319999999998</v>
      </c>
      <c r="O49" s="75">
        <v>20.148584</v>
      </c>
      <c r="P49" s="358"/>
      <c r="Q49" s="869">
        <v>72</v>
      </c>
      <c r="R49" s="868">
        <v>462</v>
      </c>
      <c r="S49" s="881">
        <v>6.416666666666667</v>
      </c>
      <c r="T49" s="638" t="s">
        <v>343</v>
      </c>
      <c r="U49" s="638"/>
      <c r="V49" s="638" t="s">
        <v>986</v>
      </c>
      <c r="W49" s="360"/>
      <c r="X49" s="358"/>
      <c r="Y49" s="358" t="s">
        <v>657</v>
      </c>
      <c r="Z49" s="358" t="s">
        <v>758</v>
      </c>
      <c r="AA49" s="358" t="str">
        <f>CONCATENATE(Camp_List[[#This Row],[Ethnicity]],"-",Camp_List[[#This Row],[Religion]])</f>
        <v>Maramargyi-Buddhist</v>
      </c>
      <c r="AB49" s="358" t="s">
        <v>512</v>
      </c>
      <c r="AC49" s="358"/>
      <c r="AD49" s="705"/>
      <c r="AE49" s="358" t="s">
        <v>878</v>
      </c>
      <c r="AF49" s="358" t="s">
        <v>879</v>
      </c>
      <c r="AG49" s="290">
        <v>42766</v>
      </c>
      <c r="AH49" s="358" t="s">
        <v>976</v>
      </c>
      <c r="AI49" s="75" t="str">
        <f>IFERROR(VLOOKUP(Camp_List[[#This Row],[Responsible Agency]],Organization_t[],3,0),"")</f>
        <v/>
      </c>
      <c r="AJ49" s="574">
        <f ca="1">IF((SUMIFS(Data_Shelter_t[Coverage],Data_Shelter_t[Pcode],Camp_List[[#This Row],[P_Code]]))&gt;1,1,SUMIFS(Data_Shelter_t[Coverage],Data_Shelter_t[Pcode],Camp_List[[#This Row],[P_Code]]))</f>
        <v>1</v>
      </c>
      <c r="BL49" s="19"/>
      <c r="BM49" s="19"/>
      <c r="BP49" s="69"/>
      <c r="BQ49" s="69"/>
    </row>
    <row r="50" spans="1:69" ht="13.5" customHeight="1" x14ac:dyDescent="0.25">
      <c r="A50" s="630" t="s">
        <v>1004</v>
      </c>
      <c r="B50" s="358" t="s">
        <v>7</v>
      </c>
      <c r="C50" s="358" t="s">
        <v>351</v>
      </c>
      <c r="D50" s="358" t="s">
        <v>19</v>
      </c>
      <c r="E50" s="358" t="s">
        <v>603</v>
      </c>
      <c r="F50" s="358" t="s">
        <v>866</v>
      </c>
      <c r="G50" s="358" t="s">
        <v>373</v>
      </c>
      <c r="H50" s="358" t="s">
        <v>512</v>
      </c>
      <c r="I50" s="358" t="s">
        <v>539</v>
      </c>
      <c r="J50" s="358" t="s">
        <v>482</v>
      </c>
      <c r="K50" s="358" t="s">
        <v>483</v>
      </c>
      <c r="L50" s="358" t="s">
        <v>37</v>
      </c>
      <c r="M50" s="358" t="s">
        <v>123</v>
      </c>
      <c r="N50" s="75">
        <v>93.373951000000005</v>
      </c>
      <c r="O50" s="75">
        <v>20.041981</v>
      </c>
      <c r="P50" s="358"/>
      <c r="Q50" s="869">
        <v>42</v>
      </c>
      <c r="R50" s="868">
        <v>204</v>
      </c>
      <c r="S50" s="881">
        <v>4.8292682926829267</v>
      </c>
      <c r="T50" s="638" t="s">
        <v>343</v>
      </c>
      <c r="U50" s="638"/>
      <c r="V50" s="638" t="s">
        <v>986</v>
      </c>
      <c r="W50" s="360"/>
      <c r="X50" s="358"/>
      <c r="Y50" s="358" t="s">
        <v>7</v>
      </c>
      <c r="Z50" s="358" t="s">
        <v>758</v>
      </c>
      <c r="AA50" s="358" t="str">
        <f>CONCATENATE(Camp_List[[#This Row],[Ethnicity]],"-",Camp_List[[#This Row],[Religion]])</f>
        <v>Rakhine-Buddhist</v>
      </c>
      <c r="AB50" s="358" t="s">
        <v>512</v>
      </c>
      <c r="AC50" s="647"/>
      <c r="AD50" s="709"/>
      <c r="AE50" s="358" t="s">
        <v>878</v>
      </c>
      <c r="AF50" s="358" t="s">
        <v>879</v>
      </c>
      <c r="AG50" s="290">
        <v>42766</v>
      </c>
      <c r="AH50" s="358" t="s">
        <v>1011</v>
      </c>
      <c r="AI50" s="75" t="str">
        <f>IFERROR(VLOOKUP(Camp_List[[#This Row],[Responsible Agency]],Organization_t[],3,0),"")</f>
        <v/>
      </c>
      <c r="AJ50" s="574">
        <f ca="1">IF((SUMIFS(Data_Shelter_t[Coverage],Data_Shelter_t[Pcode],Camp_List[[#This Row],[P_Code]]))&gt;1,1,SUMIFS(Data_Shelter_t[Coverage],Data_Shelter_t[Pcode],Camp_List[[#This Row],[P_Code]]))</f>
        <v>1</v>
      </c>
      <c r="BL50" s="19"/>
      <c r="BM50" s="19"/>
      <c r="BP50" s="69"/>
      <c r="BQ50" s="69"/>
    </row>
    <row r="51" spans="1:69" ht="13.5" customHeight="1" x14ac:dyDescent="0.25">
      <c r="A51" s="700" t="s">
        <v>1005</v>
      </c>
      <c r="B51" s="358" t="s">
        <v>7</v>
      </c>
      <c r="C51" s="358" t="s">
        <v>351</v>
      </c>
      <c r="D51" s="358" t="s">
        <v>20</v>
      </c>
      <c r="E51" s="358" t="s">
        <v>621</v>
      </c>
      <c r="F51" s="358" t="s">
        <v>20</v>
      </c>
      <c r="G51" s="358" t="s">
        <v>448</v>
      </c>
      <c r="H51" s="358" t="s">
        <v>1039</v>
      </c>
      <c r="I51" s="358" t="s">
        <v>514</v>
      </c>
      <c r="J51" s="358" t="s">
        <v>1039</v>
      </c>
      <c r="K51" s="358" t="s">
        <v>1040</v>
      </c>
      <c r="L51" s="358" t="s">
        <v>103</v>
      </c>
      <c r="M51" s="358" t="s">
        <v>191</v>
      </c>
      <c r="N51" s="75">
        <v>92.362196999999995</v>
      </c>
      <c r="O51" s="75">
        <v>20.824777999999998</v>
      </c>
      <c r="P51" s="361"/>
      <c r="Q51" s="869">
        <v>17</v>
      </c>
      <c r="R51" s="868">
        <v>109</v>
      </c>
      <c r="S51" s="881">
        <v>6.166666666666667</v>
      </c>
      <c r="T51" s="638" t="s">
        <v>343</v>
      </c>
      <c r="U51" s="638" t="s">
        <v>755</v>
      </c>
      <c r="V51" s="638"/>
      <c r="W51" s="358"/>
      <c r="X51" s="358"/>
      <c r="Y51" s="358"/>
      <c r="Z51" s="358" t="s">
        <v>656</v>
      </c>
      <c r="AA51" s="358" t="str">
        <f>CONCATENATE(Camp_List[[#This Row],[Ethnicity]],"-",Camp_List[[#This Row],[Religion]])</f>
        <v>-Muslim</v>
      </c>
      <c r="AB51" s="289" t="s">
        <v>512</v>
      </c>
      <c r="AC51" s="358"/>
      <c r="AD51" s="705" t="s">
        <v>285</v>
      </c>
      <c r="AE51" s="358" t="s">
        <v>504</v>
      </c>
      <c r="AF51" s="358" t="s">
        <v>519</v>
      </c>
      <c r="AG51" s="290">
        <v>42766</v>
      </c>
      <c r="AH51" s="703" t="s">
        <v>1025</v>
      </c>
      <c r="AI51" s="75" t="str">
        <f>IFERROR(VLOOKUP(Camp_List[[#This Row],[Responsible Agency]],Organization_t[],3,0),"")</f>
        <v>Richard Tracey, CCCM/NFI Cluster Coordinator, tracey@unhcr.org,09448027896</v>
      </c>
      <c r="AJ51" s="574">
        <f>IF((SUMIFS(Data_Shelter_t[Coverage],Data_Shelter_t[Pcode],Camp_List[[#This Row],[P_Code]]))&gt;1,1,SUMIFS(Data_Shelter_t[Coverage],Data_Shelter_t[Pcode],Camp_List[[#This Row],[P_Code]]))</f>
        <v>0</v>
      </c>
      <c r="BL51" s="19"/>
      <c r="BM51" s="19"/>
      <c r="BP51" s="69"/>
      <c r="BQ51" s="69"/>
    </row>
    <row r="52" spans="1:69" ht="13.5" customHeight="1" x14ac:dyDescent="0.25">
      <c r="A52" s="631" t="s">
        <v>1005</v>
      </c>
      <c r="B52" s="358" t="s">
        <v>7</v>
      </c>
      <c r="C52" s="358" t="s">
        <v>351</v>
      </c>
      <c r="D52" s="358" t="s">
        <v>19</v>
      </c>
      <c r="E52" s="358" t="s">
        <v>603</v>
      </c>
      <c r="F52" s="358" t="s">
        <v>15</v>
      </c>
      <c r="G52" s="358" t="s">
        <v>381</v>
      </c>
      <c r="H52" s="358" t="s">
        <v>388</v>
      </c>
      <c r="I52" s="358" t="s">
        <v>387</v>
      </c>
      <c r="J52" s="358" t="s">
        <v>388</v>
      </c>
      <c r="K52" s="358">
        <v>196946</v>
      </c>
      <c r="L52" s="358" t="s">
        <v>48</v>
      </c>
      <c r="M52" s="358" t="s">
        <v>134</v>
      </c>
      <c r="N52" s="75">
        <v>92.961841000000007</v>
      </c>
      <c r="O52" s="75">
        <v>20.720213000000001</v>
      </c>
      <c r="P52" s="358"/>
      <c r="Q52" s="869">
        <v>92</v>
      </c>
      <c r="R52" s="868">
        <v>559</v>
      </c>
      <c r="S52" s="881">
        <v>6.0760869565217392</v>
      </c>
      <c r="T52" s="638" t="s">
        <v>343</v>
      </c>
      <c r="U52" s="638"/>
      <c r="V52" s="734" t="s">
        <v>986</v>
      </c>
      <c r="W52" s="638" t="s">
        <v>862</v>
      </c>
      <c r="X52" s="358"/>
      <c r="Y52" s="358"/>
      <c r="Z52" s="358" t="s">
        <v>656</v>
      </c>
      <c r="AA52" s="639" t="str">
        <f>CONCATENATE(Camp_List[[#This Row],[Ethnicity]],"-",Camp_List[[#This Row],[Religion]])</f>
        <v>-Muslim</v>
      </c>
      <c r="AB52" s="358" t="s">
        <v>1018</v>
      </c>
      <c r="AC52" s="358"/>
      <c r="AD52" s="708"/>
      <c r="AE52" s="358" t="s">
        <v>504</v>
      </c>
      <c r="AF52" s="358" t="s">
        <v>926</v>
      </c>
      <c r="AG52" s="290">
        <v>42766</v>
      </c>
      <c r="AH52" s="643" t="s">
        <v>988</v>
      </c>
      <c r="AI52" s="639" t="str">
        <f>IFERROR(VLOOKUP(Camp_List[[#This Row],[Responsible Agency]],Organization_t[],3,0),"")</f>
        <v/>
      </c>
      <c r="AJ52" s="646">
        <f ca="1">IF((SUMIFS(Data_Shelter_t[Coverage],Data_Shelter_t[Pcode],Camp_List[[#This Row],[P_Code]]))&gt;1,1,SUMIFS(Data_Shelter_t[Coverage],Data_Shelter_t[Pcode],Camp_List[[#This Row],[P_Code]]))</f>
        <v>1</v>
      </c>
      <c r="BL52" s="19"/>
      <c r="BM52" s="19"/>
      <c r="BP52" s="69"/>
      <c r="BQ52" s="69"/>
    </row>
    <row r="53" spans="1:69" ht="15" customHeight="1" x14ac:dyDescent="0.25">
      <c r="A53" s="631" t="s">
        <v>1005</v>
      </c>
      <c r="B53" s="358" t="s">
        <v>7</v>
      </c>
      <c r="C53" s="358" t="s">
        <v>351</v>
      </c>
      <c r="D53" s="358" t="s">
        <v>19</v>
      </c>
      <c r="E53" s="358" t="s">
        <v>603</v>
      </c>
      <c r="F53" s="358" t="s">
        <v>15</v>
      </c>
      <c r="G53" s="358" t="s">
        <v>381</v>
      </c>
      <c r="H53" s="358" t="s">
        <v>394</v>
      </c>
      <c r="I53" s="358" t="s">
        <v>393</v>
      </c>
      <c r="J53" s="358" t="s">
        <v>46</v>
      </c>
      <c r="K53" s="358">
        <v>196786</v>
      </c>
      <c r="L53" s="358" t="s">
        <v>46</v>
      </c>
      <c r="M53" s="358" t="s">
        <v>132</v>
      </c>
      <c r="N53" s="75">
        <v>93.003204999999994</v>
      </c>
      <c r="O53" s="75">
        <v>20.921424999999999</v>
      </c>
      <c r="P53" s="358"/>
      <c r="Q53" s="869">
        <v>24</v>
      </c>
      <c r="R53" s="868">
        <v>140</v>
      </c>
      <c r="S53" s="881">
        <v>6.0869565217391308</v>
      </c>
      <c r="T53" s="638" t="s">
        <v>343</v>
      </c>
      <c r="U53" s="638"/>
      <c r="V53" s="734" t="s">
        <v>986</v>
      </c>
      <c r="W53" s="638" t="s">
        <v>862</v>
      </c>
      <c r="X53" s="358"/>
      <c r="Y53" s="358"/>
      <c r="Z53" s="358" t="s">
        <v>656</v>
      </c>
      <c r="AA53" s="639" t="str">
        <f>CONCATENATE(Camp_List[[#This Row],[Ethnicity]],"-",Camp_List[[#This Row],[Religion]])</f>
        <v>-Muslim</v>
      </c>
      <c r="AB53" s="358" t="s">
        <v>1018</v>
      </c>
      <c r="AC53" s="358"/>
      <c r="AD53" s="708"/>
      <c r="AE53" s="358" t="s">
        <v>504</v>
      </c>
      <c r="AF53" s="358" t="s">
        <v>519</v>
      </c>
      <c r="AG53" s="290">
        <v>42766</v>
      </c>
      <c r="AH53" s="643" t="s">
        <v>988</v>
      </c>
      <c r="AI53" s="639" t="str">
        <f>IFERROR(VLOOKUP(Camp_List[[#This Row],[Responsible Agency]],Organization_t[],3,0),"")</f>
        <v/>
      </c>
      <c r="AJ53" s="646">
        <f ca="1">IF((SUMIFS(Data_Shelter_t[Coverage],Data_Shelter_t[Pcode],Camp_List[[#This Row],[P_Code]]))&gt;1,1,SUMIFS(Data_Shelter_t[Coverage],Data_Shelter_t[Pcode],Camp_List[[#This Row],[P_Code]]))</f>
        <v>1</v>
      </c>
      <c r="BL53" s="19"/>
      <c r="BM53" s="19"/>
      <c r="BP53" s="69"/>
      <c r="BQ53" s="69"/>
    </row>
    <row r="54" spans="1:69" ht="15" customHeight="1" x14ac:dyDescent="0.25">
      <c r="A54" s="631" t="s">
        <v>1005</v>
      </c>
      <c r="B54" s="358" t="s">
        <v>7</v>
      </c>
      <c r="C54" s="358" t="s">
        <v>351</v>
      </c>
      <c r="D54" s="358" t="s">
        <v>19</v>
      </c>
      <c r="E54" s="358" t="s">
        <v>603</v>
      </c>
      <c r="F54" s="358" t="s">
        <v>15</v>
      </c>
      <c r="G54" s="358" t="s">
        <v>381</v>
      </c>
      <c r="H54" s="358" t="s">
        <v>49</v>
      </c>
      <c r="I54" s="358" t="s">
        <v>397</v>
      </c>
      <c r="J54" s="358" t="s">
        <v>481</v>
      </c>
      <c r="K54" s="358">
        <v>196842</v>
      </c>
      <c r="L54" s="358" t="s">
        <v>49</v>
      </c>
      <c r="M54" s="358" t="s">
        <v>135</v>
      </c>
      <c r="N54" s="75">
        <v>93.014349999999993</v>
      </c>
      <c r="O54" s="75">
        <v>20.896740000000001</v>
      </c>
      <c r="P54" s="358"/>
      <c r="Q54" s="869">
        <v>14</v>
      </c>
      <c r="R54" s="868">
        <v>84</v>
      </c>
      <c r="S54" s="881">
        <v>6</v>
      </c>
      <c r="T54" s="638" t="s">
        <v>343</v>
      </c>
      <c r="U54" s="638"/>
      <c r="V54" s="734" t="s">
        <v>986</v>
      </c>
      <c r="W54" s="638" t="s">
        <v>862</v>
      </c>
      <c r="X54" s="358"/>
      <c r="Y54" s="358"/>
      <c r="Z54" s="358" t="s">
        <v>656</v>
      </c>
      <c r="AA54" s="639" t="str">
        <f>CONCATENATE(Camp_List[[#This Row],[Ethnicity]],"-",Camp_List[[#This Row],[Religion]])</f>
        <v>-Muslim</v>
      </c>
      <c r="AB54" s="358" t="s">
        <v>1018</v>
      </c>
      <c r="AC54" s="358"/>
      <c r="AD54" s="708"/>
      <c r="AE54" s="358" t="s">
        <v>504</v>
      </c>
      <c r="AF54" s="358" t="s">
        <v>519</v>
      </c>
      <c r="AG54" s="290">
        <v>42766</v>
      </c>
      <c r="AH54" s="643" t="s">
        <v>988</v>
      </c>
      <c r="AI54" s="639" t="str">
        <f>IFERROR(VLOOKUP(Camp_List[[#This Row],[Responsible Agency]],Organization_t[],3,0),"")</f>
        <v/>
      </c>
      <c r="AJ54" s="646">
        <f ca="1">IF((SUMIFS(Data_Shelter_t[Coverage],Data_Shelter_t[Pcode],Camp_List[[#This Row],[P_Code]]))&gt;1,1,SUMIFS(Data_Shelter_t[Coverage],Data_Shelter_t[Pcode],Camp_List[[#This Row],[P_Code]]))</f>
        <v>1</v>
      </c>
      <c r="BL54" s="19"/>
      <c r="BM54" s="19"/>
      <c r="BP54" s="69"/>
      <c r="BQ54" s="69"/>
    </row>
    <row r="55" spans="1:69" ht="15" customHeight="1" x14ac:dyDescent="0.25">
      <c r="A55" s="631" t="s">
        <v>1005</v>
      </c>
      <c r="B55" s="358" t="s">
        <v>7</v>
      </c>
      <c r="C55" s="358" t="s">
        <v>351</v>
      </c>
      <c r="D55" s="358" t="s">
        <v>19</v>
      </c>
      <c r="E55" s="358" t="s">
        <v>603</v>
      </c>
      <c r="F55" s="358" t="s">
        <v>15</v>
      </c>
      <c r="G55" s="358" t="s">
        <v>381</v>
      </c>
      <c r="H55" s="358" t="s">
        <v>51</v>
      </c>
      <c r="I55" s="358" t="s">
        <v>386</v>
      </c>
      <c r="J55" s="358" t="s">
        <v>476</v>
      </c>
      <c r="K55" s="358">
        <v>196972</v>
      </c>
      <c r="L55" s="358" t="s">
        <v>51</v>
      </c>
      <c r="M55" s="358" t="s">
        <v>137</v>
      </c>
      <c r="N55" s="75">
        <v>93.014089999999996</v>
      </c>
      <c r="O55" s="75">
        <v>20.713259999999998</v>
      </c>
      <c r="P55" s="358"/>
      <c r="Q55" s="869">
        <v>116</v>
      </c>
      <c r="R55" s="868">
        <v>802</v>
      </c>
      <c r="S55" s="881">
        <v>6.8879310344827589</v>
      </c>
      <c r="T55" s="638" t="s">
        <v>343</v>
      </c>
      <c r="U55" s="638"/>
      <c r="V55" s="734" t="s">
        <v>986</v>
      </c>
      <c r="W55" s="638" t="s">
        <v>862</v>
      </c>
      <c r="X55" s="358"/>
      <c r="Y55" s="358"/>
      <c r="Z55" s="358" t="s">
        <v>656</v>
      </c>
      <c r="AA55" s="639" t="str">
        <f>CONCATENATE(Camp_List[[#This Row],[Ethnicity]],"-",Camp_List[[#This Row],[Religion]])</f>
        <v>-Muslim</v>
      </c>
      <c r="AB55" s="358" t="s">
        <v>1018</v>
      </c>
      <c r="AC55" s="358"/>
      <c r="AD55" s="708"/>
      <c r="AE55" s="358" t="s">
        <v>504</v>
      </c>
      <c r="AF55" s="358" t="s">
        <v>926</v>
      </c>
      <c r="AG55" s="290">
        <v>42766</v>
      </c>
      <c r="AH55" s="643" t="s">
        <v>988</v>
      </c>
      <c r="AI55" s="639" t="str">
        <f>IFERROR(VLOOKUP(Camp_List[[#This Row],[Responsible Agency]],Organization_t[],3,0),"")</f>
        <v/>
      </c>
      <c r="AJ55" s="646">
        <f ca="1">IF((SUMIFS(Data_Shelter_t[Coverage],Data_Shelter_t[Pcode],Camp_List[[#This Row],[P_Code]]))&gt;1,1,SUMIFS(Data_Shelter_t[Coverage],Data_Shelter_t[Pcode],Camp_List[[#This Row],[P_Code]]))</f>
        <v>0.68965517241379315</v>
      </c>
      <c r="BL55" s="19"/>
      <c r="BM55" s="19"/>
      <c r="BP55" s="69"/>
      <c r="BQ55" s="69"/>
    </row>
    <row r="56" spans="1:69" ht="15" customHeight="1" x14ac:dyDescent="0.25">
      <c r="A56" s="631" t="s">
        <v>1005</v>
      </c>
      <c r="B56" s="358" t="s">
        <v>7</v>
      </c>
      <c r="C56" s="358" t="s">
        <v>351</v>
      </c>
      <c r="D56" s="358" t="s">
        <v>19</v>
      </c>
      <c r="E56" s="358" t="s">
        <v>603</v>
      </c>
      <c r="F56" s="358" t="s">
        <v>15</v>
      </c>
      <c r="G56" s="358" t="s">
        <v>381</v>
      </c>
      <c r="H56" s="358" t="s">
        <v>383</v>
      </c>
      <c r="I56" s="358" t="s">
        <v>382</v>
      </c>
      <c r="J56" s="358" t="s">
        <v>50</v>
      </c>
      <c r="K56" s="358">
        <v>196945</v>
      </c>
      <c r="L56" s="358" t="s">
        <v>50</v>
      </c>
      <c r="M56" s="358" t="s">
        <v>136</v>
      </c>
      <c r="N56" s="75">
        <v>93.009900000000002</v>
      </c>
      <c r="O56" s="75">
        <v>20.696819999999999</v>
      </c>
      <c r="P56" s="358"/>
      <c r="Q56" s="869">
        <v>236</v>
      </c>
      <c r="R56" s="868">
        <v>1524</v>
      </c>
      <c r="S56" s="881">
        <v>6.4576271186440675</v>
      </c>
      <c r="T56" s="638" t="s">
        <v>343</v>
      </c>
      <c r="U56" s="638"/>
      <c r="V56" s="734" t="s">
        <v>986</v>
      </c>
      <c r="W56" s="638" t="s">
        <v>862</v>
      </c>
      <c r="X56" s="358"/>
      <c r="Y56" s="358"/>
      <c r="Z56" s="358" t="s">
        <v>656</v>
      </c>
      <c r="AA56" s="639" t="str">
        <f>CONCATENATE(Camp_List[[#This Row],[Ethnicity]],"-",Camp_List[[#This Row],[Religion]])</f>
        <v>-Muslim</v>
      </c>
      <c r="AB56" s="358" t="s">
        <v>1018</v>
      </c>
      <c r="AC56" s="358"/>
      <c r="AD56" s="708"/>
      <c r="AE56" s="358" t="s">
        <v>504</v>
      </c>
      <c r="AF56" s="358" t="s">
        <v>926</v>
      </c>
      <c r="AG56" s="290">
        <v>42766</v>
      </c>
      <c r="AH56" s="643" t="s">
        <v>988</v>
      </c>
      <c r="AI56" s="639" t="str">
        <f>IFERROR(VLOOKUP(Camp_List[[#This Row],[Responsible Agency]],Organization_t[],3,0),"")</f>
        <v/>
      </c>
      <c r="AJ56" s="646">
        <f ca="1">IF((SUMIFS(Data_Shelter_t[Coverage],Data_Shelter_t[Pcode],Camp_List[[#This Row],[P_Code]]))&gt;1,1,SUMIFS(Data_Shelter_t[Coverage],Data_Shelter_t[Pcode],Camp_List[[#This Row],[P_Code]]))</f>
        <v>0.98305084745762716</v>
      </c>
      <c r="BL56" s="19"/>
      <c r="BM56" s="19"/>
      <c r="BP56" s="69"/>
      <c r="BQ56" s="69"/>
    </row>
    <row r="57" spans="1:69" ht="15" customHeight="1" x14ac:dyDescent="0.25">
      <c r="A57" s="631" t="s">
        <v>1005</v>
      </c>
      <c r="B57" s="358" t="s">
        <v>7</v>
      </c>
      <c r="C57" s="358" t="s">
        <v>351</v>
      </c>
      <c r="D57" s="358" t="s">
        <v>19</v>
      </c>
      <c r="E57" s="358" t="s">
        <v>603</v>
      </c>
      <c r="F57" s="358" t="s">
        <v>15</v>
      </c>
      <c r="G57" s="358" t="s">
        <v>381</v>
      </c>
      <c r="H57" s="358" t="s">
        <v>396</v>
      </c>
      <c r="I57" s="358" t="s">
        <v>395</v>
      </c>
      <c r="J57" s="358" t="s">
        <v>480</v>
      </c>
      <c r="K57" s="358">
        <v>196873</v>
      </c>
      <c r="L57" s="358" t="s">
        <v>44</v>
      </c>
      <c r="M57" s="358" t="s">
        <v>130</v>
      </c>
      <c r="N57" s="75">
        <v>92.982675999999998</v>
      </c>
      <c r="O57" s="75">
        <v>20.805734000000001</v>
      </c>
      <c r="P57" s="358"/>
      <c r="Q57" s="869">
        <v>18</v>
      </c>
      <c r="R57" s="868">
        <v>157</v>
      </c>
      <c r="S57" s="881">
        <v>8.7222222222222214</v>
      </c>
      <c r="T57" s="638" t="s">
        <v>343</v>
      </c>
      <c r="U57" s="638"/>
      <c r="V57" s="734" t="s">
        <v>986</v>
      </c>
      <c r="W57" s="638" t="s">
        <v>862</v>
      </c>
      <c r="X57" s="358"/>
      <c r="Y57" s="358"/>
      <c r="Z57" s="358" t="s">
        <v>656</v>
      </c>
      <c r="AA57" s="639" t="str">
        <f>CONCATENATE(Camp_List[[#This Row],[Ethnicity]],"-",Camp_List[[#This Row],[Religion]])</f>
        <v>-Muslim</v>
      </c>
      <c r="AB57" s="358" t="s">
        <v>1018</v>
      </c>
      <c r="AC57" s="358"/>
      <c r="AD57" s="708"/>
      <c r="AE57" s="358" t="s">
        <v>504</v>
      </c>
      <c r="AF57" s="358" t="s">
        <v>519</v>
      </c>
      <c r="AG57" s="290">
        <v>42766</v>
      </c>
      <c r="AH57" s="643" t="s">
        <v>988</v>
      </c>
      <c r="AI57" s="639" t="str">
        <f>IFERROR(VLOOKUP(Camp_List[[#This Row],[Responsible Agency]],Organization_t[],3,0),"")</f>
        <v/>
      </c>
      <c r="AJ57" s="646">
        <f ca="1">IF((SUMIFS(Data_Shelter_t[Coverage],Data_Shelter_t[Pcode],Camp_List[[#This Row],[P_Code]]))&gt;1,1,SUMIFS(Data_Shelter_t[Coverage],Data_Shelter_t[Pcode],Camp_List[[#This Row],[P_Code]]))</f>
        <v>1</v>
      </c>
      <c r="BL57" s="19"/>
      <c r="BM57" s="19"/>
      <c r="BP57" s="69"/>
      <c r="BQ57" s="69"/>
    </row>
    <row r="58" spans="1:69" ht="15" customHeight="1" x14ac:dyDescent="0.25">
      <c r="A58" s="631" t="s">
        <v>1005</v>
      </c>
      <c r="B58" s="358" t="s">
        <v>7</v>
      </c>
      <c r="C58" s="358" t="s">
        <v>351</v>
      </c>
      <c r="D58" s="358" t="s">
        <v>19</v>
      </c>
      <c r="E58" s="358" t="s">
        <v>603</v>
      </c>
      <c r="F58" s="358" t="s">
        <v>15</v>
      </c>
      <c r="G58" s="358" t="s">
        <v>381</v>
      </c>
      <c r="H58" s="358" t="s">
        <v>390</v>
      </c>
      <c r="I58" s="358" t="s">
        <v>389</v>
      </c>
      <c r="J58" s="358" t="s">
        <v>477</v>
      </c>
      <c r="K58" s="358">
        <v>196868</v>
      </c>
      <c r="L58" s="358" t="s">
        <v>53</v>
      </c>
      <c r="M58" s="358" t="s">
        <v>139</v>
      </c>
      <c r="N58" s="75">
        <v>92.987399999999994</v>
      </c>
      <c r="O58" s="75">
        <v>20.78332</v>
      </c>
      <c r="P58" s="358"/>
      <c r="Q58" s="869">
        <v>144</v>
      </c>
      <c r="R58" s="868">
        <v>1006</v>
      </c>
      <c r="S58" s="881">
        <v>7.1388888888888893</v>
      </c>
      <c r="T58" s="638" t="s">
        <v>343</v>
      </c>
      <c r="U58" s="638"/>
      <c r="V58" s="734" t="s">
        <v>986</v>
      </c>
      <c r="W58" s="638" t="s">
        <v>862</v>
      </c>
      <c r="X58" s="358"/>
      <c r="Y58" s="358"/>
      <c r="Z58" s="358" t="s">
        <v>656</v>
      </c>
      <c r="AA58" s="639" t="str">
        <f>CONCATENATE(Camp_List[[#This Row],[Ethnicity]],"-",Camp_List[[#This Row],[Religion]])</f>
        <v>-Muslim</v>
      </c>
      <c r="AB58" s="358" t="s">
        <v>1018</v>
      </c>
      <c r="AC58" s="358"/>
      <c r="AD58" s="708"/>
      <c r="AE58" s="358" t="s">
        <v>504</v>
      </c>
      <c r="AF58" s="358" t="s">
        <v>926</v>
      </c>
      <c r="AG58" s="290">
        <v>42766</v>
      </c>
      <c r="AH58" s="643" t="s">
        <v>988</v>
      </c>
      <c r="AI58" s="639" t="str">
        <f>IFERROR(VLOOKUP(Camp_List[[#This Row],[Responsible Agency]],Organization_t[],3,0),"")</f>
        <v/>
      </c>
      <c r="AJ58" s="646">
        <f ca="1">IF((SUMIFS(Data_Shelter_t[Coverage],Data_Shelter_t[Pcode],Camp_List[[#This Row],[P_Code]]))&gt;1,1,SUMIFS(Data_Shelter_t[Coverage],Data_Shelter_t[Pcode],Camp_List[[#This Row],[P_Code]]))</f>
        <v>1</v>
      </c>
      <c r="BL58" s="19"/>
      <c r="BM58" s="19"/>
      <c r="BP58" s="69"/>
      <c r="BQ58" s="69"/>
    </row>
    <row r="59" spans="1:69" ht="15" customHeight="1" x14ac:dyDescent="0.25">
      <c r="A59" s="631" t="s">
        <v>1005</v>
      </c>
      <c r="B59" s="358" t="s">
        <v>7</v>
      </c>
      <c r="C59" s="358" t="s">
        <v>351</v>
      </c>
      <c r="D59" s="358" t="s">
        <v>19</v>
      </c>
      <c r="E59" s="358" t="s">
        <v>603</v>
      </c>
      <c r="F59" s="358" t="s">
        <v>15</v>
      </c>
      <c r="G59" s="358" t="s">
        <v>381</v>
      </c>
      <c r="H59" s="358" t="s">
        <v>394</v>
      </c>
      <c r="I59" s="358" t="s">
        <v>393</v>
      </c>
      <c r="J59" s="358" t="s">
        <v>479</v>
      </c>
      <c r="K59" s="358">
        <v>196789</v>
      </c>
      <c r="L59" s="358" t="s">
        <v>45</v>
      </c>
      <c r="M59" s="358" t="s">
        <v>131</v>
      </c>
      <c r="N59" s="75">
        <v>93.000815000000003</v>
      </c>
      <c r="O59" s="75">
        <v>20.929649000000001</v>
      </c>
      <c r="P59" s="358"/>
      <c r="Q59" s="869">
        <v>63</v>
      </c>
      <c r="R59" s="868">
        <v>414</v>
      </c>
      <c r="S59" s="881">
        <v>6.67741935483871</v>
      </c>
      <c r="T59" s="638" t="s">
        <v>343</v>
      </c>
      <c r="U59" s="638"/>
      <c r="V59" s="734" t="s">
        <v>986</v>
      </c>
      <c r="W59" s="638" t="s">
        <v>862</v>
      </c>
      <c r="X59" s="358"/>
      <c r="Y59" s="358"/>
      <c r="Z59" s="358" t="s">
        <v>656</v>
      </c>
      <c r="AA59" s="639" t="str">
        <f>CONCATENATE(Camp_List[[#This Row],[Ethnicity]],"-",Camp_List[[#This Row],[Religion]])</f>
        <v>-Muslim</v>
      </c>
      <c r="AB59" s="358" t="s">
        <v>1018</v>
      </c>
      <c r="AC59" s="358"/>
      <c r="AD59" s="708"/>
      <c r="AE59" s="358" t="s">
        <v>504</v>
      </c>
      <c r="AF59" s="358" t="s">
        <v>519</v>
      </c>
      <c r="AG59" s="290">
        <v>42766</v>
      </c>
      <c r="AH59" s="643" t="s">
        <v>988</v>
      </c>
      <c r="AI59" s="639" t="str">
        <f>IFERROR(VLOOKUP(Camp_List[[#This Row],[Responsible Agency]],Organization_t[],3,0),"")</f>
        <v/>
      </c>
      <c r="AJ59" s="646">
        <f ca="1">IF((SUMIFS(Data_Shelter_t[Coverage],Data_Shelter_t[Pcode],Camp_List[[#This Row],[P_Code]]))&gt;1,1,SUMIFS(Data_Shelter_t[Coverage],Data_Shelter_t[Pcode],Camp_List[[#This Row],[P_Code]]))</f>
        <v>1</v>
      </c>
      <c r="BL59" s="19"/>
      <c r="BM59" s="19"/>
      <c r="BP59" s="69"/>
      <c r="BQ59" s="69"/>
    </row>
    <row r="60" spans="1:69" ht="15" customHeight="1" x14ac:dyDescent="0.25">
      <c r="A60" s="631" t="s">
        <v>1005</v>
      </c>
      <c r="B60" s="358" t="s">
        <v>7</v>
      </c>
      <c r="C60" s="358" t="s">
        <v>351</v>
      </c>
      <c r="D60" s="358" t="s">
        <v>19</v>
      </c>
      <c r="E60" s="358" t="s">
        <v>603</v>
      </c>
      <c r="F60" s="358" t="s">
        <v>15</v>
      </c>
      <c r="G60" s="358" t="s">
        <v>381</v>
      </c>
      <c r="H60" s="358" t="s">
        <v>388</v>
      </c>
      <c r="I60" s="358" t="s">
        <v>387</v>
      </c>
      <c r="J60" s="358" t="s">
        <v>52</v>
      </c>
      <c r="K60" s="358">
        <v>196952</v>
      </c>
      <c r="L60" s="358" t="s">
        <v>52</v>
      </c>
      <c r="M60" s="358" t="s">
        <v>138</v>
      </c>
      <c r="N60" s="75">
        <v>92.969350000000006</v>
      </c>
      <c r="O60" s="75">
        <v>20.727589999999999</v>
      </c>
      <c r="P60" s="358"/>
      <c r="Q60" s="869">
        <v>112</v>
      </c>
      <c r="R60" s="868">
        <v>738</v>
      </c>
      <c r="S60" s="881">
        <v>6.5625</v>
      </c>
      <c r="T60" s="638" t="s">
        <v>343</v>
      </c>
      <c r="U60" s="638"/>
      <c r="V60" s="734" t="s">
        <v>986</v>
      </c>
      <c r="W60" s="638" t="s">
        <v>862</v>
      </c>
      <c r="X60" s="358"/>
      <c r="Y60" s="358"/>
      <c r="Z60" s="358" t="s">
        <v>656</v>
      </c>
      <c r="AA60" s="639" t="str">
        <f>CONCATENATE(Camp_List[[#This Row],[Ethnicity]],"-",Camp_List[[#This Row],[Religion]])</f>
        <v>-Muslim</v>
      </c>
      <c r="AB60" s="358" t="s">
        <v>1018</v>
      </c>
      <c r="AC60" s="358"/>
      <c r="AD60" s="708"/>
      <c r="AE60" s="358" t="s">
        <v>504</v>
      </c>
      <c r="AF60" s="358" t="s">
        <v>926</v>
      </c>
      <c r="AG60" s="290">
        <v>42766</v>
      </c>
      <c r="AH60" s="643" t="s">
        <v>988</v>
      </c>
      <c r="AI60" s="639" t="str">
        <f>IFERROR(VLOOKUP(Camp_List[[#This Row],[Responsible Agency]],Organization_t[],3,0),"")</f>
        <v/>
      </c>
      <c r="AJ60" s="646">
        <f ca="1">IF((SUMIFS(Data_Shelter_t[Coverage],Data_Shelter_t[Pcode],Camp_List[[#This Row],[P_Code]]))&gt;1,1,SUMIFS(Data_Shelter_t[Coverage],Data_Shelter_t[Pcode],Camp_List[[#This Row],[P_Code]]))</f>
        <v>1</v>
      </c>
      <c r="BL60" s="19"/>
      <c r="BM60" s="19"/>
      <c r="BP60" s="69"/>
      <c r="BQ60" s="69"/>
    </row>
    <row r="61" spans="1:69" ht="15" customHeight="1" x14ac:dyDescent="0.25">
      <c r="A61" s="631" t="s">
        <v>1005</v>
      </c>
      <c r="B61" s="358" t="s">
        <v>7</v>
      </c>
      <c r="C61" s="358" t="s">
        <v>351</v>
      </c>
      <c r="D61" s="358" t="s">
        <v>19</v>
      </c>
      <c r="E61" s="358" t="s">
        <v>603</v>
      </c>
      <c r="F61" s="358" t="s">
        <v>11</v>
      </c>
      <c r="G61" s="358" t="s">
        <v>352</v>
      </c>
      <c r="H61" s="358" t="s">
        <v>554</v>
      </c>
      <c r="I61" s="358" t="s">
        <v>555</v>
      </c>
      <c r="J61" s="358" t="s">
        <v>556</v>
      </c>
      <c r="K61" s="358">
        <v>197023</v>
      </c>
      <c r="L61" s="358" t="s">
        <v>557</v>
      </c>
      <c r="M61" s="358" t="s">
        <v>558</v>
      </c>
      <c r="N61" s="75">
        <v>93.314695</v>
      </c>
      <c r="O61" s="75">
        <v>20.409645000000001</v>
      </c>
      <c r="P61" s="358"/>
      <c r="Q61" s="869">
        <v>17</v>
      </c>
      <c r="R61" s="868">
        <v>72</v>
      </c>
      <c r="S61" s="881">
        <v>4</v>
      </c>
      <c r="T61" s="638" t="s">
        <v>343</v>
      </c>
      <c r="U61" s="638"/>
      <c r="V61" s="638" t="s">
        <v>986</v>
      </c>
      <c r="W61" s="360" t="s">
        <v>863</v>
      </c>
      <c r="X61" s="358"/>
      <c r="Y61" s="634" t="s">
        <v>7</v>
      </c>
      <c r="Z61" s="634" t="s">
        <v>758</v>
      </c>
      <c r="AA61" s="634" t="str">
        <f>CONCATENATE(Camp_List[[#This Row],[Ethnicity]],"-",Camp_List[[#This Row],[Religion]])</f>
        <v>Rakhine-Buddhist</v>
      </c>
      <c r="AB61" s="634" t="s">
        <v>1018</v>
      </c>
      <c r="AC61" s="358"/>
      <c r="AD61" s="705"/>
      <c r="AE61" s="358" t="s">
        <v>504</v>
      </c>
      <c r="AF61" s="358" t="s">
        <v>519</v>
      </c>
      <c r="AG61" s="290">
        <v>42766</v>
      </c>
      <c r="AH61" s="358" t="s">
        <v>988</v>
      </c>
      <c r="AI61" s="75" t="str">
        <f>IFERROR(VLOOKUP(Camp_List[[#This Row],[Responsible Agency]],Organization_t[],3,0),"")</f>
        <v/>
      </c>
      <c r="AJ61" s="574">
        <f ca="1">IF((SUMIFS(Data_Shelter_t[Coverage],Data_Shelter_t[Pcode],Camp_List[[#This Row],[P_Code]]))&gt;1,1,SUMIFS(Data_Shelter_t[Coverage],Data_Shelter_t[Pcode],Camp_List[[#This Row],[P_Code]]))</f>
        <v>1</v>
      </c>
      <c r="BL61" s="19"/>
      <c r="BM61" s="19"/>
      <c r="BP61" s="69"/>
      <c r="BQ61" s="69"/>
    </row>
    <row r="62" spans="1:69" ht="15" customHeight="1" x14ac:dyDescent="0.25">
      <c r="A62" s="631" t="s">
        <v>1005</v>
      </c>
      <c r="B62" s="358" t="s">
        <v>7</v>
      </c>
      <c r="C62" s="358" t="s">
        <v>351</v>
      </c>
      <c r="D62" s="358" t="s">
        <v>19</v>
      </c>
      <c r="E62" s="358" t="s">
        <v>603</v>
      </c>
      <c r="F62" s="358" t="s">
        <v>11</v>
      </c>
      <c r="G62" s="358" t="s">
        <v>352</v>
      </c>
      <c r="H62" s="358" t="s">
        <v>362</v>
      </c>
      <c r="I62" s="358" t="s">
        <v>361</v>
      </c>
      <c r="J62" s="358" t="s">
        <v>30</v>
      </c>
      <c r="K62" s="358">
        <v>197150</v>
      </c>
      <c r="L62" s="358" t="s">
        <v>30</v>
      </c>
      <c r="M62" s="358" t="s">
        <v>116</v>
      </c>
      <c r="N62" s="75">
        <v>93.299485000000004</v>
      </c>
      <c r="O62" s="75">
        <v>20.480898</v>
      </c>
      <c r="P62" s="358"/>
      <c r="Q62" s="869">
        <v>86</v>
      </c>
      <c r="R62" s="868">
        <v>444</v>
      </c>
      <c r="S62" s="881">
        <v>5.7674418604651159</v>
      </c>
      <c r="T62" s="638" t="s">
        <v>343</v>
      </c>
      <c r="U62" s="638"/>
      <c r="V62" s="734" t="s">
        <v>986</v>
      </c>
      <c r="W62" s="638" t="s">
        <v>862</v>
      </c>
      <c r="X62" s="358"/>
      <c r="Y62" s="358"/>
      <c r="Z62" s="358" t="s">
        <v>656</v>
      </c>
      <c r="AA62" s="639" t="str">
        <f>CONCATENATE(Camp_List[[#This Row],[Ethnicity]],"-",Camp_List[[#This Row],[Religion]])</f>
        <v>-Muslim</v>
      </c>
      <c r="AB62" s="634" t="s">
        <v>1018</v>
      </c>
      <c r="AC62" s="358"/>
      <c r="AD62" s="708"/>
      <c r="AE62" s="358" t="s">
        <v>504</v>
      </c>
      <c r="AF62" s="358" t="s">
        <v>926</v>
      </c>
      <c r="AG62" s="290">
        <v>42766</v>
      </c>
      <c r="AH62" s="643" t="s">
        <v>988</v>
      </c>
      <c r="AI62" s="639" t="str">
        <f>IFERROR(VLOOKUP(Camp_List[[#This Row],[Responsible Agency]],Organization_t[],3,0),"")</f>
        <v/>
      </c>
      <c r="AJ62" s="646">
        <f ca="1">IF((SUMIFS(Data_Shelter_t[Coverage],Data_Shelter_t[Pcode],Camp_List[[#This Row],[P_Code]]))&gt;1,1,SUMIFS(Data_Shelter_t[Coverage],Data_Shelter_t[Pcode],Camp_List[[#This Row],[P_Code]]))</f>
        <v>1</v>
      </c>
      <c r="BL62" s="19"/>
      <c r="BM62" s="19"/>
      <c r="BP62" s="69"/>
      <c r="BQ62" s="69"/>
    </row>
    <row r="63" spans="1:69" ht="15" customHeight="1" x14ac:dyDescent="0.25">
      <c r="A63" s="631" t="s">
        <v>1005</v>
      </c>
      <c r="B63" s="358" t="s">
        <v>7</v>
      </c>
      <c r="C63" s="358" t="s">
        <v>351</v>
      </c>
      <c r="D63" s="358" t="s">
        <v>19</v>
      </c>
      <c r="E63" s="358" t="s">
        <v>603</v>
      </c>
      <c r="F63" s="358" t="s">
        <v>11</v>
      </c>
      <c r="G63" s="358" t="s">
        <v>352</v>
      </c>
      <c r="H63" s="358" t="s">
        <v>358</v>
      </c>
      <c r="I63" s="358" t="s">
        <v>357</v>
      </c>
      <c r="J63" s="358" t="s">
        <v>358</v>
      </c>
      <c r="K63" s="358">
        <v>196984</v>
      </c>
      <c r="L63" s="358" t="s">
        <v>25</v>
      </c>
      <c r="M63" s="358" t="s">
        <v>111</v>
      </c>
      <c r="N63" s="75">
        <v>93.271642</v>
      </c>
      <c r="O63" s="75">
        <v>20.377523</v>
      </c>
      <c r="P63" s="358"/>
      <c r="Q63" s="869">
        <v>19</v>
      </c>
      <c r="R63" s="868">
        <v>142</v>
      </c>
      <c r="S63" s="881">
        <v>7.4736842105263159</v>
      </c>
      <c r="T63" s="638" t="s">
        <v>343</v>
      </c>
      <c r="U63" s="638"/>
      <c r="V63" s="734" t="s">
        <v>986</v>
      </c>
      <c r="W63" s="638" t="s">
        <v>862</v>
      </c>
      <c r="X63" s="358"/>
      <c r="Y63" s="358"/>
      <c r="Z63" s="358" t="s">
        <v>656</v>
      </c>
      <c r="AA63" s="639" t="str">
        <f>CONCATENATE(Camp_List[[#This Row],[Ethnicity]],"-",Camp_List[[#This Row],[Religion]])</f>
        <v>-Muslim</v>
      </c>
      <c r="AB63" s="634" t="s">
        <v>1018</v>
      </c>
      <c r="AC63" s="358"/>
      <c r="AD63" s="708"/>
      <c r="AE63" s="358" t="s">
        <v>504</v>
      </c>
      <c r="AF63" s="358" t="s">
        <v>519</v>
      </c>
      <c r="AG63" s="290">
        <v>42766</v>
      </c>
      <c r="AH63" s="643" t="s">
        <v>988</v>
      </c>
      <c r="AI63" s="639" t="str">
        <f>IFERROR(VLOOKUP(Camp_List[[#This Row],[Responsible Agency]],Organization_t[],3,0),"")</f>
        <v/>
      </c>
      <c r="AJ63" s="646">
        <f ca="1">IF((SUMIFS(Data_Shelter_t[Coverage],Data_Shelter_t[Pcode],Camp_List[[#This Row],[P_Code]]))&gt;1,1,SUMIFS(Data_Shelter_t[Coverage],Data_Shelter_t[Pcode],Camp_List[[#This Row],[P_Code]]))</f>
        <v>1</v>
      </c>
      <c r="BL63" s="19"/>
      <c r="BM63" s="19"/>
      <c r="BP63" s="69"/>
      <c r="BQ63" s="69"/>
    </row>
    <row r="64" spans="1:69" ht="15" customHeight="1" x14ac:dyDescent="0.25">
      <c r="A64" s="631" t="s">
        <v>1005</v>
      </c>
      <c r="B64" s="358" t="s">
        <v>7</v>
      </c>
      <c r="C64" s="358" t="s">
        <v>351</v>
      </c>
      <c r="D64" s="358" t="s">
        <v>19</v>
      </c>
      <c r="E64" s="358" t="s">
        <v>603</v>
      </c>
      <c r="F64" s="358" t="s">
        <v>11</v>
      </c>
      <c r="G64" s="358" t="s">
        <v>352</v>
      </c>
      <c r="H64" s="358" t="s">
        <v>356</v>
      </c>
      <c r="I64" s="358" t="s">
        <v>355</v>
      </c>
      <c r="J64" s="358" t="s">
        <v>484</v>
      </c>
      <c r="K64" s="358">
        <v>197025</v>
      </c>
      <c r="L64" s="358" t="s">
        <v>32</v>
      </c>
      <c r="M64" s="358" t="s">
        <v>118</v>
      </c>
      <c r="N64" s="75">
        <v>93.313627999999994</v>
      </c>
      <c r="O64" s="75">
        <v>20.407971</v>
      </c>
      <c r="P64" s="358"/>
      <c r="Q64" s="869">
        <v>225</v>
      </c>
      <c r="R64" s="868">
        <v>1377</v>
      </c>
      <c r="S64" s="881">
        <v>5.8577777777777778</v>
      </c>
      <c r="T64" s="638" t="s">
        <v>343</v>
      </c>
      <c r="U64" s="638"/>
      <c r="V64" s="734" t="s">
        <v>986</v>
      </c>
      <c r="W64" s="638" t="s">
        <v>862</v>
      </c>
      <c r="X64" s="358"/>
      <c r="Y64" s="358"/>
      <c r="Z64" s="358" t="s">
        <v>656</v>
      </c>
      <c r="AA64" s="639" t="str">
        <f>CONCATENATE(Camp_List[[#This Row],[Ethnicity]],"-",Camp_List[[#This Row],[Religion]])</f>
        <v>-Muslim</v>
      </c>
      <c r="AB64" s="634" t="s">
        <v>1018</v>
      </c>
      <c r="AC64" s="358"/>
      <c r="AD64" s="708"/>
      <c r="AE64" s="358" t="s">
        <v>504</v>
      </c>
      <c r="AF64" s="358" t="s">
        <v>926</v>
      </c>
      <c r="AG64" s="290">
        <v>42766</v>
      </c>
      <c r="AH64" s="643" t="s">
        <v>988</v>
      </c>
      <c r="AI64" s="639" t="str">
        <f>IFERROR(VLOOKUP(Camp_List[[#This Row],[Responsible Agency]],Organization_t[],3,0),"")</f>
        <v/>
      </c>
      <c r="AJ64" s="646">
        <f ca="1">IF((SUMIFS(Data_Shelter_t[Coverage],Data_Shelter_t[Pcode],Camp_List[[#This Row],[P_Code]]))&gt;1,1,SUMIFS(Data_Shelter_t[Coverage],Data_Shelter_t[Pcode],Camp_List[[#This Row],[P_Code]]))</f>
        <v>1</v>
      </c>
      <c r="BL64" s="19"/>
      <c r="BM64" s="19"/>
      <c r="BP64" s="69"/>
      <c r="BQ64" s="69"/>
    </row>
    <row r="65" spans="1:69" ht="15" customHeight="1" x14ac:dyDescent="0.25">
      <c r="A65" s="631" t="s">
        <v>1005</v>
      </c>
      <c r="B65" s="358" t="s">
        <v>7</v>
      </c>
      <c r="C65" s="358" t="s">
        <v>351</v>
      </c>
      <c r="D65" s="358" t="s">
        <v>19</v>
      </c>
      <c r="E65" s="358" t="s">
        <v>603</v>
      </c>
      <c r="F65" s="358" t="s">
        <v>11</v>
      </c>
      <c r="G65" s="358" t="s">
        <v>352</v>
      </c>
      <c r="H65" s="358" t="s">
        <v>360</v>
      </c>
      <c r="I65" s="358" t="s">
        <v>359</v>
      </c>
      <c r="J65" s="358" t="s">
        <v>27</v>
      </c>
      <c r="K65" s="358">
        <v>196995</v>
      </c>
      <c r="L65" s="358" t="s">
        <v>27</v>
      </c>
      <c r="M65" s="358" t="s">
        <v>113</v>
      </c>
      <c r="N65" s="75">
        <v>93.249669999999995</v>
      </c>
      <c r="O65" s="75">
        <v>20.39902</v>
      </c>
      <c r="P65" s="358"/>
      <c r="Q65" s="869">
        <v>86</v>
      </c>
      <c r="R65" s="868">
        <v>476</v>
      </c>
      <c r="S65" s="881">
        <v>6.058139534883721</v>
      </c>
      <c r="T65" s="638" t="s">
        <v>343</v>
      </c>
      <c r="U65" s="638"/>
      <c r="V65" s="734" t="s">
        <v>986</v>
      </c>
      <c r="W65" s="638" t="s">
        <v>862</v>
      </c>
      <c r="X65" s="358"/>
      <c r="Y65" s="358"/>
      <c r="Z65" s="358" t="s">
        <v>656</v>
      </c>
      <c r="AA65" s="639" t="str">
        <f>CONCATENATE(Camp_List[[#This Row],[Ethnicity]],"-",Camp_List[[#This Row],[Religion]])</f>
        <v>-Muslim</v>
      </c>
      <c r="AB65" s="634" t="s">
        <v>1018</v>
      </c>
      <c r="AC65" s="358"/>
      <c r="AD65" s="708"/>
      <c r="AE65" s="358" t="s">
        <v>504</v>
      </c>
      <c r="AF65" s="358" t="s">
        <v>926</v>
      </c>
      <c r="AG65" s="290">
        <v>42766</v>
      </c>
      <c r="AH65" s="643" t="s">
        <v>988</v>
      </c>
      <c r="AI65" s="639" t="str">
        <f>IFERROR(VLOOKUP(Camp_List[[#This Row],[Responsible Agency]],Organization_t[],3,0),"")</f>
        <v/>
      </c>
      <c r="AJ65" s="646">
        <f ca="1">IF((SUMIFS(Data_Shelter_t[Coverage],Data_Shelter_t[Pcode],Camp_List[[#This Row],[P_Code]]))&gt;1,1,SUMIFS(Data_Shelter_t[Coverage],Data_Shelter_t[Pcode],Camp_List[[#This Row],[P_Code]]))</f>
        <v>1</v>
      </c>
      <c r="BL65" s="19"/>
      <c r="BM65" s="19"/>
      <c r="BP65" s="69"/>
      <c r="BQ65" s="69"/>
    </row>
    <row r="66" spans="1:69" ht="15" customHeight="1" x14ac:dyDescent="0.25">
      <c r="A66" s="631" t="s">
        <v>1005</v>
      </c>
      <c r="B66" s="358" t="s">
        <v>7</v>
      </c>
      <c r="C66" s="358" t="s">
        <v>351</v>
      </c>
      <c r="D66" s="358" t="s">
        <v>19</v>
      </c>
      <c r="E66" s="358" t="s">
        <v>603</v>
      </c>
      <c r="F66" s="358" t="s">
        <v>11</v>
      </c>
      <c r="G66" s="358" t="s">
        <v>352</v>
      </c>
      <c r="H66" s="358" t="s">
        <v>358</v>
      </c>
      <c r="I66" s="358" t="s">
        <v>357</v>
      </c>
      <c r="J66" s="358" t="s">
        <v>485</v>
      </c>
      <c r="K66" s="358">
        <v>196997</v>
      </c>
      <c r="L66" s="358" t="s">
        <v>26</v>
      </c>
      <c r="M66" s="358" t="s">
        <v>112</v>
      </c>
      <c r="N66" s="75">
        <v>93.257272</v>
      </c>
      <c r="O66" s="75">
        <v>20.392137999999999</v>
      </c>
      <c r="P66" s="358"/>
      <c r="Q66" s="869">
        <v>203</v>
      </c>
      <c r="R66" s="868">
        <v>1420</v>
      </c>
      <c r="S66" s="881">
        <v>5.3529411764705879</v>
      </c>
      <c r="T66" s="638" t="s">
        <v>343</v>
      </c>
      <c r="U66" s="638"/>
      <c r="V66" s="734" t="s">
        <v>986</v>
      </c>
      <c r="W66" s="638" t="s">
        <v>862</v>
      </c>
      <c r="X66" s="358"/>
      <c r="Y66" s="358"/>
      <c r="Z66" s="358" t="s">
        <v>656</v>
      </c>
      <c r="AA66" s="639" t="str">
        <f>CONCATENATE(Camp_List[[#This Row],[Ethnicity]],"-",Camp_List[[#This Row],[Religion]])</f>
        <v>-Muslim</v>
      </c>
      <c r="AB66" s="634" t="s">
        <v>1018</v>
      </c>
      <c r="AC66" s="358"/>
      <c r="AD66" s="708"/>
      <c r="AE66" s="358" t="s">
        <v>504</v>
      </c>
      <c r="AF66" s="358" t="s">
        <v>926</v>
      </c>
      <c r="AG66" s="290">
        <v>42766</v>
      </c>
      <c r="AH66" s="643" t="s">
        <v>988</v>
      </c>
      <c r="AI66" s="639" t="str">
        <f>IFERROR(VLOOKUP(Camp_List[[#This Row],[Responsible Agency]],Organization_t[],3,0),"")</f>
        <v/>
      </c>
      <c r="AJ66" s="646">
        <f ca="1">IF((SUMIFS(Data_Shelter_t[Coverage],Data_Shelter_t[Pcode],Camp_List[[#This Row],[P_Code]]))&gt;1,1,SUMIFS(Data_Shelter_t[Coverage],Data_Shelter_t[Pcode],Camp_List[[#This Row],[P_Code]]))</f>
        <v>1</v>
      </c>
      <c r="BL66" s="19"/>
      <c r="BM66" s="19"/>
      <c r="BP66" s="69"/>
      <c r="BQ66" s="69"/>
    </row>
    <row r="67" spans="1:69" ht="15" customHeight="1" x14ac:dyDescent="0.25">
      <c r="A67" s="631" t="s">
        <v>1005</v>
      </c>
      <c r="B67" s="358" t="s">
        <v>7</v>
      </c>
      <c r="C67" s="358" t="s">
        <v>351</v>
      </c>
      <c r="D67" s="358" t="s">
        <v>19</v>
      </c>
      <c r="E67" s="358" t="s">
        <v>603</v>
      </c>
      <c r="F67" s="358" t="s">
        <v>11</v>
      </c>
      <c r="G67" s="358" t="s">
        <v>352</v>
      </c>
      <c r="H67" s="358" t="s">
        <v>354</v>
      </c>
      <c r="I67" s="358" t="s">
        <v>353</v>
      </c>
      <c r="J67" s="358" t="s">
        <v>354</v>
      </c>
      <c r="K67" s="358">
        <v>197062</v>
      </c>
      <c r="L67" s="358" t="s">
        <v>29</v>
      </c>
      <c r="M67" s="358" t="s">
        <v>115</v>
      </c>
      <c r="N67" s="75">
        <v>93.258573999999996</v>
      </c>
      <c r="O67" s="75">
        <v>20.587142</v>
      </c>
      <c r="P67" s="358"/>
      <c r="Q67" s="869">
        <v>275</v>
      </c>
      <c r="R67" s="868">
        <v>1707</v>
      </c>
      <c r="S67" s="881">
        <v>5.9527272727272731</v>
      </c>
      <c r="T67" s="638" t="s">
        <v>343</v>
      </c>
      <c r="U67" s="638"/>
      <c r="V67" s="734" t="s">
        <v>986</v>
      </c>
      <c r="W67" s="638" t="s">
        <v>862</v>
      </c>
      <c r="X67" s="358"/>
      <c r="Y67" s="358"/>
      <c r="Z67" s="358" t="s">
        <v>656</v>
      </c>
      <c r="AA67" s="639" t="str">
        <f>CONCATENATE(Camp_List[[#This Row],[Ethnicity]],"-",Camp_List[[#This Row],[Religion]])</f>
        <v>-Muslim</v>
      </c>
      <c r="AB67" s="634" t="s">
        <v>1018</v>
      </c>
      <c r="AC67" s="358"/>
      <c r="AD67" s="708"/>
      <c r="AE67" s="358" t="s">
        <v>504</v>
      </c>
      <c r="AF67" s="358" t="s">
        <v>926</v>
      </c>
      <c r="AG67" s="290">
        <v>42766</v>
      </c>
      <c r="AH67" s="643" t="s">
        <v>988</v>
      </c>
      <c r="AI67" s="639" t="str">
        <f>IFERROR(VLOOKUP(Camp_List[[#This Row],[Responsible Agency]],Organization_t[],3,0),"")</f>
        <v/>
      </c>
      <c r="AJ67" s="646">
        <f ca="1">IF((SUMIFS(Data_Shelter_t[Coverage],Data_Shelter_t[Pcode],Camp_List[[#This Row],[P_Code]]))&gt;1,1,SUMIFS(Data_Shelter_t[Coverage],Data_Shelter_t[Pcode],Camp_List[[#This Row],[P_Code]]))</f>
        <v>1</v>
      </c>
      <c r="BL67" s="19"/>
      <c r="BM67" s="19"/>
      <c r="BP67" s="69"/>
      <c r="BQ67" s="69"/>
    </row>
    <row r="68" spans="1:69" ht="15" customHeight="1" x14ac:dyDescent="0.25">
      <c r="A68" s="631" t="s">
        <v>1005</v>
      </c>
      <c r="B68" s="358" t="s">
        <v>7</v>
      </c>
      <c r="C68" s="358" t="s">
        <v>351</v>
      </c>
      <c r="D68" s="358" t="s">
        <v>19</v>
      </c>
      <c r="E68" s="358" t="s">
        <v>603</v>
      </c>
      <c r="F68" s="358" t="s">
        <v>1002</v>
      </c>
      <c r="G68" s="358" t="s">
        <v>365</v>
      </c>
      <c r="H68" s="358" t="s">
        <v>368</v>
      </c>
      <c r="I68" s="358" t="s">
        <v>369</v>
      </c>
      <c r="J68" s="358" t="s">
        <v>368</v>
      </c>
      <c r="K68" s="358">
        <v>196428</v>
      </c>
      <c r="L68" s="358" t="s">
        <v>33</v>
      </c>
      <c r="M68" s="358" t="s">
        <v>119</v>
      </c>
      <c r="N68" s="75">
        <v>93.245551000000006</v>
      </c>
      <c r="O68" s="75">
        <v>20.576577</v>
      </c>
      <c r="P68" s="358"/>
      <c r="Q68" s="869">
        <v>204</v>
      </c>
      <c r="R68" s="868">
        <v>1265</v>
      </c>
      <c r="S68" s="881">
        <v>5.5245098039215685</v>
      </c>
      <c r="T68" s="638" t="s">
        <v>343</v>
      </c>
      <c r="U68" s="638"/>
      <c r="V68" s="734" t="s">
        <v>986</v>
      </c>
      <c r="W68" s="638" t="s">
        <v>862</v>
      </c>
      <c r="X68" s="358"/>
      <c r="Y68" s="358"/>
      <c r="Z68" s="358" t="s">
        <v>656</v>
      </c>
      <c r="AA68" s="639" t="str">
        <f>CONCATENATE(Camp_List[[#This Row],[Ethnicity]],"-",Camp_List[[#This Row],[Religion]])</f>
        <v>-Muslim</v>
      </c>
      <c r="AB68" s="634" t="s">
        <v>1018</v>
      </c>
      <c r="AC68" s="358"/>
      <c r="AD68" s="708"/>
      <c r="AE68" s="358" t="s">
        <v>504</v>
      </c>
      <c r="AF68" s="358" t="s">
        <v>926</v>
      </c>
      <c r="AG68" s="290">
        <v>42766</v>
      </c>
      <c r="AH68" s="643" t="s">
        <v>988</v>
      </c>
      <c r="AI68" s="639" t="str">
        <f>IFERROR(VLOOKUP(Camp_List[[#This Row],[Responsible Agency]],Organization_t[],3,0),"")</f>
        <v/>
      </c>
      <c r="AJ68" s="646">
        <f ca="1">IF((SUMIFS(Data_Shelter_t[Coverage],Data_Shelter_t[Pcode],Camp_List[[#This Row],[P_Code]]))&gt;1,1,SUMIFS(Data_Shelter_t[Coverage],Data_Shelter_t[Pcode],Camp_List[[#This Row],[P_Code]]))</f>
        <v>1</v>
      </c>
      <c r="BL68" s="19"/>
      <c r="BM68" s="19"/>
      <c r="BP68" s="69"/>
      <c r="BQ68" s="69"/>
    </row>
    <row r="69" spans="1:69" ht="15" customHeight="1" x14ac:dyDescent="0.25">
      <c r="A69" s="631" t="s">
        <v>1005</v>
      </c>
      <c r="B69" s="358" t="s">
        <v>7</v>
      </c>
      <c r="C69" s="358" t="s">
        <v>351</v>
      </c>
      <c r="D69" s="358" t="s">
        <v>19</v>
      </c>
      <c r="E69" s="358" t="s">
        <v>603</v>
      </c>
      <c r="F69" s="358" t="s">
        <v>1002</v>
      </c>
      <c r="G69" s="358" t="s">
        <v>365</v>
      </c>
      <c r="H69" s="358" t="s">
        <v>367</v>
      </c>
      <c r="I69" s="358" t="s">
        <v>366</v>
      </c>
      <c r="J69" s="358" t="s">
        <v>367</v>
      </c>
      <c r="K69" s="358">
        <v>196507</v>
      </c>
      <c r="L69" s="358" t="s">
        <v>34</v>
      </c>
      <c r="M69" s="358" t="s">
        <v>120</v>
      </c>
      <c r="N69" s="75">
        <v>93.217039999999997</v>
      </c>
      <c r="O69" s="75">
        <v>20.501757999999999</v>
      </c>
      <c r="P69" s="358"/>
      <c r="Q69" s="869">
        <v>365</v>
      </c>
      <c r="R69" s="868">
        <v>2366</v>
      </c>
      <c r="S69" s="881">
        <v>6.4821917808219176</v>
      </c>
      <c r="T69" s="638" t="s">
        <v>343</v>
      </c>
      <c r="U69" s="638"/>
      <c r="V69" s="734" t="s">
        <v>986</v>
      </c>
      <c r="W69" s="638" t="s">
        <v>862</v>
      </c>
      <c r="X69" s="358"/>
      <c r="Y69" s="358"/>
      <c r="Z69" s="358" t="s">
        <v>656</v>
      </c>
      <c r="AA69" s="639" t="str">
        <f>CONCATENATE(Camp_List[[#This Row],[Ethnicity]],"-",Camp_List[[#This Row],[Religion]])</f>
        <v>-Muslim</v>
      </c>
      <c r="AB69" s="634" t="s">
        <v>1018</v>
      </c>
      <c r="AC69" s="358"/>
      <c r="AD69" s="708"/>
      <c r="AE69" s="358" t="s">
        <v>504</v>
      </c>
      <c r="AF69" s="358" t="s">
        <v>926</v>
      </c>
      <c r="AG69" s="290">
        <v>42766</v>
      </c>
      <c r="AH69" s="643" t="s">
        <v>988</v>
      </c>
      <c r="AI69" s="639" t="str">
        <f>IFERROR(VLOOKUP(Camp_List[[#This Row],[Responsible Agency]],Organization_t[],3,0),"")</f>
        <v/>
      </c>
      <c r="AJ69" s="646">
        <f ca="1">IF((SUMIFS(Data_Shelter_t[Coverage],Data_Shelter_t[Pcode],Camp_List[[#This Row],[P_Code]]))&gt;1,1,SUMIFS(Data_Shelter_t[Coverage],Data_Shelter_t[Pcode],Camp_List[[#This Row],[P_Code]]))</f>
        <v>1</v>
      </c>
      <c r="BL69" s="19"/>
      <c r="BM69" s="19"/>
      <c r="BP69" s="69"/>
      <c r="BQ69" s="69"/>
    </row>
    <row r="70" spans="1:69" ht="15" customHeight="1" x14ac:dyDescent="0.25">
      <c r="A70" s="631" t="s">
        <v>1005</v>
      </c>
      <c r="B70" s="358" t="s">
        <v>7</v>
      </c>
      <c r="C70" s="358" t="s">
        <v>351</v>
      </c>
      <c r="D70" s="358" t="s">
        <v>19</v>
      </c>
      <c r="E70" s="358" t="s">
        <v>603</v>
      </c>
      <c r="F70" s="358" t="s">
        <v>16</v>
      </c>
      <c r="G70" s="358" t="s">
        <v>398</v>
      </c>
      <c r="H70" s="358" t="s">
        <v>56</v>
      </c>
      <c r="I70" s="358" t="s">
        <v>403</v>
      </c>
      <c r="J70" s="358" t="s">
        <v>56</v>
      </c>
      <c r="K70" s="358">
        <v>197763</v>
      </c>
      <c r="L70" s="358" t="s">
        <v>56</v>
      </c>
      <c r="M70" s="358" t="s">
        <v>142</v>
      </c>
      <c r="N70" s="75">
        <v>92.781294000000003</v>
      </c>
      <c r="O70" s="75">
        <v>20.399269</v>
      </c>
      <c r="P70" s="358"/>
      <c r="Q70" s="869">
        <v>32</v>
      </c>
      <c r="R70" s="868">
        <v>157</v>
      </c>
      <c r="S70" s="881">
        <v>5.21875</v>
      </c>
      <c r="T70" s="638" t="s">
        <v>343</v>
      </c>
      <c r="U70" s="638"/>
      <c r="V70" s="734" t="s">
        <v>986</v>
      </c>
      <c r="W70" s="638"/>
      <c r="X70" s="358"/>
      <c r="Y70" s="358"/>
      <c r="Z70" s="358" t="s">
        <v>656</v>
      </c>
      <c r="AA70" s="639" t="str">
        <f>CONCATENATE(Camp_List[[#This Row],[Ethnicity]],"-",Camp_List[[#This Row],[Religion]])</f>
        <v>-Muslim</v>
      </c>
      <c r="AB70" s="699" t="s">
        <v>1018</v>
      </c>
      <c r="AC70" s="358"/>
      <c r="AD70" s="708"/>
      <c r="AE70" s="358" t="s">
        <v>504</v>
      </c>
      <c r="AF70" s="358" t="s">
        <v>519</v>
      </c>
      <c r="AG70" s="290">
        <v>42766</v>
      </c>
      <c r="AH70" s="643" t="s">
        <v>988</v>
      </c>
      <c r="AI70" s="639" t="str">
        <f>IFERROR(VLOOKUP(Camp_List[[#This Row],[Responsible Agency]],Organization_t[],3,0),"")</f>
        <v/>
      </c>
      <c r="AJ70" s="646">
        <f ca="1">IF((SUMIFS(Data_Shelter_t[Coverage],Data_Shelter_t[Pcode],Camp_List[[#This Row],[P_Code]]))&gt;1,1,SUMIFS(Data_Shelter_t[Coverage],Data_Shelter_t[Pcode],Camp_List[[#This Row],[P_Code]]))</f>
        <v>1</v>
      </c>
      <c r="BL70" s="19"/>
      <c r="BM70" s="19"/>
      <c r="BP70" s="69"/>
      <c r="BQ70" s="69"/>
    </row>
    <row r="71" spans="1:69" ht="15" customHeight="1" x14ac:dyDescent="0.25">
      <c r="A71" s="631" t="s">
        <v>1005</v>
      </c>
      <c r="B71" s="358" t="s">
        <v>7</v>
      </c>
      <c r="C71" s="358" t="s">
        <v>351</v>
      </c>
      <c r="D71" s="358" t="s">
        <v>19</v>
      </c>
      <c r="E71" s="358" t="s">
        <v>603</v>
      </c>
      <c r="F71" s="358" t="s">
        <v>16</v>
      </c>
      <c r="G71" s="358" t="s">
        <v>398</v>
      </c>
      <c r="H71" s="358" t="s">
        <v>55</v>
      </c>
      <c r="I71" s="358" t="s">
        <v>404</v>
      </c>
      <c r="J71" s="358" t="s">
        <v>494</v>
      </c>
      <c r="K71" s="358">
        <v>197780</v>
      </c>
      <c r="L71" s="358" t="s">
        <v>55</v>
      </c>
      <c r="M71" s="358" t="s">
        <v>141</v>
      </c>
      <c r="N71" s="75">
        <v>92.785706000000005</v>
      </c>
      <c r="O71" s="75">
        <v>20.335864000000001</v>
      </c>
      <c r="P71" s="358"/>
      <c r="Q71" s="869">
        <v>54</v>
      </c>
      <c r="R71" s="868">
        <v>332</v>
      </c>
      <c r="S71" s="881">
        <v>6.2857142857142856</v>
      </c>
      <c r="T71" s="638" t="s">
        <v>343</v>
      </c>
      <c r="U71" s="638"/>
      <c r="V71" s="734" t="s">
        <v>986</v>
      </c>
      <c r="W71" s="638"/>
      <c r="X71" s="358"/>
      <c r="Y71" s="358"/>
      <c r="Z71" s="358" t="s">
        <v>656</v>
      </c>
      <c r="AA71" s="639" t="str">
        <f>CONCATENATE(Camp_List[[#This Row],[Ethnicity]],"-",Camp_List[[#This Row],[Religion]])</f>
        <v>-Muslim</v>
      </c>
      <c r="AB71" s="699" t="s">
        <v>1018</v>
      </c>
      <c r="AC71" s="358"/>
      <c r="AD71" s="708"/>
      <c r="AE71" s="358" t="s">
        <v>504</v>
      </c>
      <c r="AF71" s="358" t="s">
        <v>519</v>
      </c>
      <c r="AG71" s="290">
        <v>42766</v>
      </c>
      <c r="AH71" s="643" t="s">
        <v>988</v>
      </c>
      <c r="AI71" s="639" t="str">
        <f>IFERROR(VLOOKUP(Camp_List[[#This Row],[Responsible Agency]],Organization_t[],3,0),"")</f>
        <v/>
      </c>
      <c r="AJ71" s="646">
        <f ca="1">IF((SUMIFS(Data_Shelter_t[Coverage],Data_Shelter_t[Pcode],Camp_List[[#This Row],[P_Code]]))&gt;1,1,SUMIFS(Data_Shelter_t[Coverage],Data_Shelter_t[Pcode],Camp_List[[#This Row],[P_Code]]))</f>
        <v>1</v>
      </c>
      <c r="BL71" s="19"/>
      <c r="BM71" s="19"/>
      <c r="BP71" s="69"/>
      <c r="BQ71" s="69"/>
    </row>
    <row r="72" spans="1:69" ht="15" hidden="1" customHeight="1" x14ac:dyDescent="0.25">
      <c r="A72" s="358" t="s">
        <v>349</v>
      </c>
      <c r="B72" s="358" t="s">
        <v>7</v>
      </c>
      <c r="C72" s="358" t="s">
        <v>351</v>
      </c>
      <c r="D72" s="358" t="s">
        <v>20</v>
      </c>
      <c r="E72" s="358" t="s">
        <v>621</v>
      </c>
      <c r="F72" s="358" t="s">
        <v>20</v>
      </c>
      <c r="G72" s="358" t="s">
        <v>448</v>
      </c>
      <c r="H72" s="358" t="s">
        <v>457</v>
      </c>
      <c r="I72" s="358" t="s">
        <v>458</v>
      </c>
      <c r="J72" s="358" t="s">
        <v>466</v>
      </c>
      <c r="K72" s="358">
        <v>217897</v>
      </c>
      <c r="L72" s="358" t="s">
        <v>100</v>
      </c>
      <c r="M72" s="358" t="s">
        <v>188</v>
      </c>
      <c r="N72" s="75">
        <v>92.416263999999998</v>
      </c>
      <c r="O72" s="75">
        <v>20.796128</v>
      </c>
      <c r="P72" s="358"/>
      <c r="Q72" s="872"/>
      <c r="R72" s="875"/>
      <c r="S72" s="885">
        <v>0</v>
      </c>
      <c r="T72" s="358" t="s">
        <v>343</v>
      </c>
      <c r="U72" s="358" t="s">
        <v>755</v>
      </c>
      <c r="V72" s="637" t="s">
        <v>22</v>
      </c>
      <c r="W72" s="638"/>
      <c r="X72" s="358"/>
      <c r="Y72" s="358"/>
      <c r="Z72" s="358"/>
      <c r="AA72" s="639" t="str">
        <f>CONCATENATE(Camp_List[[#This Row],[Ethnicity]],"-",Camp_List[[#This Row],[Religion]])</f>
        <v>-</v>
      </c>
      <c r="AB72" s="639"/>
      <c r="AC72" s="358"/>
      <c r="AD72" s="641" t="s">
        <v>773</v>
      </c>
      <c r="AE72" s="358" t="s">
        <v>504</v>
      </c>
      <c r="AF72" s="358" t="s">
        <v>519</v>
      </c>
      <c r="AG72" s="290">
        <v>41520</v>
      </c>
      <c r="AH72" s="643" t="s">
        <v>1042</v>
      </c>
      <c r="AI72" s="639">
        <f>IFERROR(VLOOKUP(Camp_List[[#This Row],[Responsible Agency]],Organization_t[],3,0),"")</f>
        <v>0</v>
      </c>
      <c r="AJ72" s="646">
        <f ca="1">IF((SUMIFS(Data_Shelter_t[Coverage],Data_Shelter_t[Pcode],Camp_List[[#This Row],[P_Code]]))&gt;1,1,SUMIFS(Data_Shelter_t[Coverage],Data_Shelter_t[Pcode],Camp_List[[#This Row],[P_Code]]))</f>
        <v>0</v>
      </c>
      <c r="BL72" s="19"/>
      <c r="BM72" s="19"/>
      <c r="BP72" s="69"/>
      <c r="BQ72" s="69"/>
    </row>
    <row r="73" spans="1:69" ht="15" hidden="1" customHeight="1" x14ac:dyDescent="0.25">
      <c r="A73" s="358" t="s">
        <v>349</v>
      </c>
      <c r="B73" s="358" t="s">
        <v>7</v>
      </c>
      <c r="C73" s="358" t="s">
        <v>609</v>
      </c>
      <c r="D73" s="358" t="s">
        <v>20</v>
      </c>
      <c r="E73" s="358" t="s">
        <v>621</v>
      </c>
      <c r="F73" s="358" t="s">
        <v>20</v>
      </c>
      <c r="G73" s="358" t="s">
        <v>448</v>
      </c>
      <c r="H73" s="358" t="s">
        <v>512</v>
      </c>
      <c r="I73" s="358" t="s">
        <v>514</v>
      </c>
      <c r="J73" s="358"/>
      <c r="K73" s="358"/>
      <c r="L73" s="358" t="s">
        <v>613</v>
      </c>
      <c r="M73" s="358" t="s">
        <v>617</v>
      </c>
      <c r="N73" s="75">
        <v>92.365618999999995</v>
      </c>
      <c r="O73" s="75">
        <v>20.820316999999999</v>
      </c>
      <c r="P73" s="358"/>
      <c r="Q73" s="872"/>
      <c r="R73" s="875"/>
      <c r="S73" s="885">
        <v>0</v>
      </c>
      <c r="T73" s="358" t="s">
        <v>343</v>
      </c>
      <c r="U73" s="358" t="s">
        <v>755</v>
      </c>
      <c r="V73" s="637" t="s">
        <v>22</v>
      </c>
      <c r="W73" s="638"/>
      <c r="X73" s="358"/>
      <c r="Y73" s="358"/>
      <c r="Z73" s="358"/>
      <c r="AA73" s="639" t="str">
        <f>CONCATENATE(Camp_List[[#This Row],[Ethnicity]],"-",Camp_List[[#This Row],[Religion]])</f>
        <v>-</v>
      </c>
      <c r="AB73" s="639"/>
      <c r="AC73" s="358"/>
      <c r="AD73" s="641" t="s">
        <v>773</v>
      </c>
      <c r="AE73" s="358" t="s">
        <v>504</v>
      </c>
      <c r="AF73" s="358" t="s">
        <v>519</v>
      </c>
      <c r="AG73" s="290">
        <v>41548</v>
      </c>
      <c r="AH73" s="643"/>
      <c r="AI73" s="639">
        <f>IFERROR(VLOOKUP(Camp_List[[#This Row],[Responsible Agency]],Organization_t[],3,0),"")</f>
        <v>0</v>
      </c>
      <c r="AJ73" s="646">
        <f>IF((SUMIFS(Data_Shelter_t[Coverage],Data_Shelter_t[Pcode],Camp_List[[#This Row],[P_Code]]))&gt;1,1,SUMIFS(Data_Shelter_t[Coverage],Data_Shelter_t[Pcode],Camp_List[[#This Row],[P_Code]]))</f>
        <v>0</v>
      </c>
      <c r="BL73" s="19"/>
      <c r="BM73" s="19"/>
      <c r="BP73" s="69"/>
      <c r="BQ73" s="69"/>
    </row>
    <row r="74" spans="1:69" ht="15" hidden="1" customHeight="1" x14ac:dyDescent="0.25">
      <c r="A74" s="358" t="s">
        <v>349</v>
      </c>
      <c r="B74" s="358" t="s">
        <v>7</v>
      </c>
      <c r="C74" s="358" t="s">
        <v>351</v>
      </c>
      <c r="D74" s="358" t="s">
        <v>20</v>
      </c>
      <c r="E74" s="358" t="s">
        <v>621</v>
      </c>
      <c r="F74" s="358" t="s">
        <v>20</v>
      </c>
      <c r="G74" s="358" t="s">
        <v>448</v>
      </c>
      <c r="H74" s="358" t="s">
        <v>457</v>
      </c>
      <c r="I74" s="358" t="s">
        <v>458</v>
      </c>
      <c r="J74" s="358" t="s">
        <v>462</v>
      </c>
      <c r="K74" s="358">
        <v>217895</v>
      </c>
      <c r="L74" s="358" t="s">
        <v>102</v>
      </c>
      <c r="M74" s="358" t="s">
        <v>190</v>
      </c>
      <c r="N74" s="75">
        <v>92.423364000000007</v>
      </c>
      <c r="O74" s="75">
        <v>20.801544</v>
      </c>
      <c r="P74" s="358"/>
      <c r="Q74" s="872"/>
      <c r="R74" s="875"/>
      <c r="S74" s="885">
        <v>0</v>
      </c>
      <c r="T74" s="358" t="s">
        <v>343</v>
      </c>
      <c r="U74" s="358" t="s">
        <v>755</v>
      </c>
      <c r="V74" s="637" t="s">
        <v>22</v>
      </c>
      <c r="W74" s="638"/>
      <c r="X74" s="358"/>
      <c r="Y74" s="358"/>
      <c r="Z74" s="358"/>
      <c r="AA74" s="639" t="str">
        <f>CONCATENATE(Camp_List[[#This Row],[Ethnicity]],"-",Camp_List[[#This Row],[Religion]])</f>
        <v>-</v>
      </c>
      <c r="AB74" s="639"/>
      <c r="AC74" s="358"/>
      <c r="AD74" s="641" t="s">
        <v>773</v>
      </c>
      <c r="AE74" s="358" t="s">
        <v>504</v>
      </c>
      <c r="AF74" s="358" t="s">
        <v>519</v>
      </c>
      <c r="AG74" s="290">
        <v>41520</v>
      </c>
      <c r="AH74" s="643" t="s">
        <v>1043</v>
      </c>
      <c r="AI74" s="639">
        <f>IFERROR(VLOOKUP(Camp_List[[#This Row],[Responsible Agency]],Organization_t[],3,0),"")</f>
        <v>0</v>
      </c>
      <c r="AJ74" s="646">
        <f ca="1">IF((SUMIFS(Data_Shelter_t[Coverage],Data_Shelter_t[Pcode],Camp_List[[#This Row],[P_Code]]))&gt;1,1,SUMIFS(Data_Shelter_t[Coverage],Data_Shelter_t[Pcode],Camp_List[[#This Row],[P_Code]]))</f>
        <v>0</v>
      </c>
      <c r="BL74" s="19"/>
      <c r="BM74" s="19"/>
      <c r="BP74" s="69"/>
      <c r="BQ74" s="69"/>
    </row>
    <row r="75" spans="1:69" ht="15" hidden="1" customHeight="1" x14ac:dyDescent="0.25">
      <c r="A75" s="358" t="s">
        <v>349</v>
      </c>
      <c r="B75" s="358" t="s">
        <v>7</v>
      </c>
      <c r="C75" s="358" t="s">
        <v>351</v>
      </c>
      <c r="D75" s="358" t="s">
        <v>20</v>
      </c>
      <c r="E75" s="358" t="s">
        <v>621</v>
      </c>
      <c r="F75" s="358" t="s">
        <v>20</v>
      </c>
      <c r="G75" s="358" t="s">
        <v>448</v>
      </c>
      <c r="H75" s="358" t="s">
        <v>467</v>
      </c>
      <c r="I75" s="358" t="s">
        <v>468</v>
      </c>
      <c r="J75" s="358" t="s">
        <v>469</v>
      </c>
      <c r="K75" s="358">
        <v>217898</v>
      </c>
      <c r="L75" s="358" t="s">
        <v>101</v>
      </c>
      <c r="M75" s="358" t="s">
        <v>189</v>
      </c>
      <c r="N75" s="75">
        <v>92.424138999999997</v>
      </c>
      <c r="O75" s="75">
        <v>20.762730999999999</v>
      </c>
      <c r="P75" s="358"/>
      <c r="Q75" s="874"/>
      <c r="R75" s="875"/>
      <c r="S75" s="885">
        <v>0</v>
      </c>
      <c r="T75" s="358" t="s">
        <v>343</v>
      </c>
      <c r="U75" s="358" t="s">
        <v>755</v>
      </c>
      <c r="V75" s="637" t="s">
        <v>22</v>
      </c>
      <c r="W75" s="638"/>
      <c r="X75" s="358"/>
      <c r="Y75" s="358"/>
      <c r="Z75" s="358"/>
      <c r="AA75" s="639" t="str">
        <f>CONCATENATE(Camp_List[[#This Row],[Ethnicity]],"-",Camp_List[[#This Row],[Religion]])</f>
        <v>-</v>
      </c>
      <c r="AB75" s="639"/>
      <c r="AC75" s="358"/>
      <c r="AD75" s="641" t="s">
        <v>773</v>
      </c>
      <c r="AE75" s="358" t="s">
        <v>504</v>
      </c>
      <c r="AF75" s="358" t="s">
        <v>519</v>
      </c>
      <c r="AG75" s="290">
        <v>41520</v>
      </c>
      <c r="AH75" s="643" t="s">
        <v>1044</v>
      </c>
      <c r="AI75" s="639">
        <f>IFERROR(VLOOKUP(Camp_List[[#This Row],[Responsible Agency]],Organization_t[],3,0),"")</f>
        <v>0</v>
      </c>
      <c r="AJ75" s="646">
        <f ca="1">IF((SUMIFS(Data_Shelter_t[Coverage],Data_Shelter_t[Pcode],Camp_List[[#This Row],[P_Code]]))&gt;1,1,SUMIFS(Data_Shelter_t[Coverage],Data_Shelter_t[Pcode],Camp_List[[#This Row],[P_Code]]))</f>
        <v>0</v>
      </c>
      <c r="BL75" s="19"/>
      <c r="BM75" s="19"/>
      <c r="BP75" s="69"/>
      <c r="BQ75" s="69"/>
    </row>
    <row r="76" spans="1:69" ht="15" hidden="1" customHeight="1" x14ac:dyDescent="0.25">
      <c r="A76" s="358" t="s">
        <v>349</v>
      </c>
      <c r="B76" s="358" t="s">
        <v>7</v>
      </c>
      <c r="C76" s="358" t="s">
        <v>351</v>
      </c>
      <c r="D76" s="358" t="s">
        <v>20</v>
      </c>
      <c r="E76" s="358" t="s">
        <v>621</v>
      </c>
      <c r="F76" s="358" t="s">
        <v>20</v>
      </c>
      <c r="G76" s="358" t="s">
        <v>448</v>
      </c>
      <c r="H76" s="358" t="s">
        <v>277</v>
      </c>
      <c r="I76" s="358" t="s">
        <v>277</v>
      </c>
      <c r="J76" s="358" t="s">
        <v>277</v>
      </c>
      <c r="K76" s="358" t="s">
        <v>277</v>
      </c>
      <c r="L76" s="358" t="s">
        <v>99</v>
      </c>
      <c r="M76" s="358" t="s">
        <v>187</v>
      </c>
      <c r="N76" s="75" t="s">
        <v>277</v>
      </c>
      <c r="O76" s="75" t="s">
        <v>277</v>
      </c>
      <c r="P76" s="358"/>
      <c r="Q76" s="872"/>
      <c r="R76" s="875"/>
      <c r="S76" s="885">
        <v>0</v>
      </c>
      <c r="T76" s="358" t="s">
        <v>343</v>
      </c>
      <c r="U76" s="358" t="s">
        <v>755</v>
      </c>
      <c r="V76" s="637" t="s">
        <v>22</v>
      </c>
      <c r="W76" s="638"/>
      <c r="X76" s="358"/>
      <c r="Y76" s="358"/>
      <c r="Z76" s="358"/>
      <c r="AA76" s="639" t="str">
        <f>CONCATENATE(Camp_List[[#This Row],[Ethnicity]],"-",Camp_List[[#This Row],[Religion]])</f>
        <v>-</v>
      </c>
      <c r="AB76" s="639"/>
      <c r="AC76" s="358"/>
      <c r="AD76" s="641" t="s">
        <v>773</v>
      </c>
      <c r="AE76" s="358" t="s">
        <v>504</v>
      </c>
      <c r="AF76" s="358" t="s">
        <v>519</v>
      </c>
      <c r="AG76" s="290">
        <v>41520</v>
      </c>
      <c r="AH76" s="643"/>
      <c r="AI76" s="639">
        <f>IFERROR(VLOOKUP(Camp_List[[#This Row],[Responsible Agency]],Organization_t[],3,0),"")</f>
        <v>0</v>
      </c>
      <c r="AJ76" s="646">
        <f ca="1">IF((SUMIFS(Data_Shelter_t[Coverage],Data_Shelter_t[Pcode],Camp_List[[#This Row],[P_Code]]))&gt;1,1,SUMIFS(Data_Shelter_t[Coverage],Data_Shelter_t[Pcode],Camp_List[[#This Row],[P_Code]]))</f>
        <v>0</v>
      </c>
      <c r="BL76" s="19"/>
      <c r="BM76" s="19"/>
      <c r="BP76" s="69"/>
      <c r="BQ76" s="69"/>
    </row>
    <row r="77" spans="1:69" ht="15" hidden="1" customHeight="1" x14ac:dyDescent="0.25">
      <c r="A77" s="358" t="s">
        <v>349</v>
      </c>
      <c r="B77" s="358" t="s">
        <v>7</v>
      </c>
      <c r="C77" s="358" t="s">
        <v>351</v>
      </c>
      <c r="D77" s="358" t="s">
        <v>20</v>
      </c>
      <c r="E77" s="358" t="s">
        <v>621</v>
      </c>
      <c r="F77" s="358" t="s">
        <v>20</v>
      </c>
      <c r="G77" s="358" t="s">
        <v>448</v>
      </c>
      <c r="H77" s="358" t="s">
        <v>277</v>
      </c>
      <c r="I77" s="358" t="s">
        <v>277</v>
      </c>
      <c r="J77" s="358" t="s">
        <v>277</v>
      </c>
      <c r="K77" s="358" t="s">
        <v>277</v>
      </c>
      <c r="L77" s="358" t="s">
        <v>97</v>
      </c>
      <c r="M77" s="358" t="s">
        <v>185</v>
      </c>
      <c r="N77" s="75" t="s">
        <v>277</v>
      </c>
      <c r="O77" s="75" t="s">
        <v>277</v>
      </c>
      <c r="P77" s="358"/>
      <c r="Q77" s="872"/>
      <c r="R77" s="875"/>
      <c r="S77" s="885">
        <v>0</v>
      </c>
      <c r="T77" s="358" t="s">
        <v>343</v>
      </c>
      <c r="U77" s="358" t="s">
        <v>755</v>
      </c>
      <c r="V77" s="637" t="s">
        <v>22</v>
      </c>
      <c r="W77" s="638"/>
      <c r="X77" s="358"/>
      <c r="Y77" s="358"/>
      <c r="Z77" s="358"/>
      <c r="AA77" s="639" t="str">
        <f>CONCATENATE(Camp_List[[#This Row],[Ethnicity]],"-",Camp_List[[#This Row],[Religion]])</f>
        <v>-</v>
      </c>
      <c r="AB77" s="639"/>
      <c r="AC77" s="358"/>
      <c r="AD77" s="641" t="s">
        <v>773</v>
      </c>
      <c r="AE77" s="358" t="s">
        <v>504</v>
      </c>
      <c r="AF77" s="358" t="s">
        <v>519</v>
      </c>
      <c r="AG77" s="290">
        <v>41520</v>
      </c>
      <c r="AH77" s="643"/>
      <c r="AI77" s="639">
        <f>IFERROR(VLOOKUP(Camp_List[[#This Row],[Responsible Agency]],Organization_t[],3,0),"")</f>
        <v>0</v>
      </c>
      <c r="AJ77" s="646">
        <f ca="1">IF((SUMIFS(Data_Shelter_t[Coverage],Data_Shelter_t[Pcode],Camp_List[[#This Row],[P_Code]]))&gt;1,1,SUMIFS(Data_Shelter_t[Coverage],Data_Shelter_t[Pcode],Camp_List[[#This Row],[P_Code]]))</f>
        <v>0</v>
      </c>
      <c r="BL77" s="19"/>
      <c r="BM77" s="19"/>
      <c r="BP77" s="69"/>
      <c r="BQ77" s="69"/>
    </row>
    <row r="78" spans="1:69" ht="15" hidden="1" customHeight="1" x14ac:dyDescent="0.25">
      <c r="A78" s="358" t="s">
        <v>349</v>
      </c>
      <c r="B78" s="358" t="s">
        <v>7</v>
      </c>
      <c r="C78" s="358" t="s">
        <v>351</v>
      </c>
      <c r="D78" s="358" t="s">
        <v>20</v>
      </c>
      <c r="E78" s="358" t="s">
        <v>621</v>
      </c>
      <c r="F78" s="358" t="s">
        <v>20</v>
      </c>
      <c r="G78" s="358" t="s">
        <v>448</v>
      </c>
      <c r="H78" s="358" t="s">
        <v>447</v>
      </c>
      <c r="I78" s="358" t="s">
        <v>446</v>
      </c>
      <c r="J78" s="358" t="s">
        <v>472</v>
      </c>
      <c r="K78" s="358">
        <v>198016</v>
      </c>
      <c r="L78" s="358" t="s">
        <v>98</v>
      </c>
      <c r="M78" s="358" t="s">
        <v>186</v>
      </c>
      <c r="N78" s="75">
        <v>92.429599999999994</v>
      </c>
      <c r="O78" s="75">
        <v>20.729866999999999</v>
      </c>
      <c r="P78" s="358"/>
      <c r="Q78" s="872"/>
      <c r="R78" s="875"/>
      <c r="S78" s="885">
        <v>0</v>
      </c>
      <c r="T78" s="358" t="s">
        <v>343</v>
      </c>
      <c r="U78" s="358" t="s">
        <v>755</v>
      </c>
      <c r="V78" s="637" t="s">
        <v>22</v>
      </c>
      <c r="W78" s="638"/>
      <c r="X78" s="358"/>
      <c r="Y78" s="358"/>
      <c r="Z78" s="358"/>
      <c r="AA78" s="639" t="str">
        <f>CONCATENATE(Camp_List[[#This Row],[Ethnicity]],"-",Camp_List[[#This Row],[Religion]])</f>
        <v>-</v>
      </c>
      <c r="AB78" s="639"/>
      <c r="AC78" s="358"/>
      <c r="AD78" s="641" t="s">
        <v>773</v>
      </c>
      <c r="AE78" s="358" t="s">
        <v>504</v>
      </c>
      <c r="AF78" s="358" t="s">
        <v>519</v>
      </c>
      <c r="AG78" s="290">
        <v>41520</v>
      </c>
      <c r="AH78" s="643" t="s">
        <v>1045</v>
      </c>
      <c r="AI78" s="639">
        <f>IFERROR(VLOOKUP(Camp_List[[#This Row],[Responsible Agency]],Organization_t[],3,0),"")</f>
        <v>0</v>
      </c>
      <c r="AJ78" s="646">
        <f ca="1">IF((SUMIFS(Data_Shelter_t[Coverage],Data_Shelter_t[Pcode],Camp_List[[#This Row],[P_Code]]))&gt;1,1,SUMIFS(Data_Shelter_t[Coverage],Data_Shelter_t[Pcode],Camp_List[[#This Row],[P_Code]]))</f>
        <v>0</v>
      </c>
      <c r="BL78" s="19"/>
      <c r="BM78" s="19"/>
      <c r="BP78" s="69"/>
      <c r="BQ78" s="69"/>
    </row>
    <row r="79" spans="1:69" ht="15" hidden="1" customHeight="1" x14ac:dyDescent="0.25">
      <c r="A79" s="358" t="s">
        <v>349</v>
      </c>
      <c r="B79" s="358" t="s">
        <v>7</v>
      </c>
      <c r="C79" s="358" t="s">
        <v>610</v>
      </c>
      <c r="D79" s="358" t="s">
        <v>20</v>
      </c>
      <c r="E79" s="358" t="s">
        <v>621</v>
      </c>
      <c r="F79" s="358" t="s">
        <v>20</v>
      </c>
      <c r="G79" s="358" t="s">
        <v>448</v>
      </c>
      <c r="H79" s="358" t="s">
        <v>512</v>
      </c>
      <c r="I79" s="358" t="s">
        <v>514</v>
      </c>
      <c r="J79" s="358"/>
      <c r="K79" s="358"/>
      <c r="L79" s="358" t="s">
        <v>614</v>
      </c>
      <c r="M79" s="358" t="s">
        <v>618</v>
      </c>
      <c r="N79" s="75">
        <v>92.367536000000001</v>
      </c>
      <c r="O79" s="75">
        <v>20.825500000000002</v>
      </c>
      <c r="P79" s="358"/>
      <c r="Q79" s="872"/>
      <c r="R79" s="875"/>
      <c r="S79" s="885">
        <v>0</v>
      </c>
      <c r="T79" s="358" t="s">
        <v>343</v>
      </c>
      <c r="U79" s="358" t="s">
        <v>755</v>
      </c>
      <c r="V79" s="637" t="s">
        <v>22</v>
      </c>
      <c r="W79" s="638"/>
      <c r="X79" s="358"/>
      <c r="Y79" s="358"/>
      <c r="Z79" s="358"/>
      <c r="AA79" s="639" t="str">
        <f>CONCATENATE(Camp_List[[#This Row],[Ethnicity]],"-",Camp_List[[#This Row],[Religion]])</f>
        <v>-</v>
      </c>
      <c r="AB79" s="639"/>
      <c r="AC79" s="358"/>
      <c r="AD79" s="641" t="s">
        <v>773</v>
      </c>
      <c r="AE79" s="358" t="s">
        <v>504</v>
      </c>
      <c r="AF79" s="358" t="s">
        <v>519</v>
      </c>
      <c r="AG79" s="290">
        <v>41548</v>
      </c>
      <c r="AH79" s="643"/>
      <c r="AI79" s="639">
        <f>IFERROR(VLOOKUP(Camp_List[[#This Row],[Responsible Agency]],Organization_t[],3,0),"")</f>
        <v>0</v>
      </c>
      <c r="AJ79" s="646">
        <f>IF((SUMIFS(Data_Shelter_t[Coverage],Data_Shelter_t[Pcode],Camp_List[[#This Row],[P_Code]]))&gt;1,1,SUMIFS(Data_Shelter_t[Coverage],Data_Shelter_t[Pcode],Camp_List[[#This Row],[P_Code]]))</f>
        <v>0</v>
      </c>
      <c r="BL79" s="19"/>
      <c r="BM79" s="19"/>
      <c r="BP79" s="69"/>
      <c r="BQ79" s="69"/>
    </row>
    <row r="80" spans="1:69" ht="15" hidden="1" customHeight="1" x14ac:dyDescent="0.25">
      <c r="A80" s="358" t="s">
        <v>349</v>
      </c>
      <c r="B80" s="358" t="s">
        <v>7</v>
      </c>
      <c r="C80" s="358" t="s">
        <v>351</v>
      </c>
      <c r="D80" s="358" t="s">
        <v>20</v>
      </c>
      <c r="E80" s="358" t="s">
        <v>621</v>
      </c>
      <c r="F80" s="358" t="s">
        <v>20</v>
      </c>
      <c r="G80" s="358" t="s">
        <v>448</v>
      </c>
      <c r="H80" s="358" t="s">
        <v>452</v>
      </c>
      <c r="I80" s="358" t="s">
        <v>451</v>
      </c>
      <c r="J80" s="358" t="s">
        <v>461</v>
      </c>
      <c r="K80" s="358">
        <v>198049</v>
      </c>
      <c r="L80" s="358" t="s">
        <v>110</v>
      </c>
      <c r="M80" s="358" t="s">
        <v>198</v>
      </c>
      <c r="N80" s="75">
        <v>92.435074999999998</v>
      </c>
      <c r="O80" s="75">
        <v>20.714532999999999</v>
      </c>
      <c r="P80" s="358"/>
      <c r="Q80" s="872"/>
      <c r="R80" s="875"/>
      <c r="S80" s="885">
        <v>0</v>
      </c>
      <c r="T80" s="358" t="s">
        <v>343</v>
      </c>
      <c r="U80" s="358" t="s">
        <v>755</v>
      </c>
      <c r="V80" s="637" t="s">
        <v>23</v>
      </c>
      <c r="W80" s="638"/>
      <c r="X80" s="358"/>
      <c r="Y80" s="358"/>
      <c r="Z80" s="358"/>
      <c r="AA80" s="639" t="str">
        <f>CONCATENATE(Camp_List[[#This Row],[Ethnicity]],"-",Camp_List[[#This Row],[Religion]])</f>
        <v>-</v>
      </c>
      <c r="AB80" s="639"/>
      <c r="AC80" s="358"/>
      <c r="AD80" s="641" t="s">
        <v>773</v>
      </c>
      <c r="AE80" s="358" t="s">
        <v>504</v>
      </c>
      <c r="AF80" s="358" t="s">
        <v>519</v>
      </c>
      <c r="AG80" s="290">
        <v>41520</v>
      </c>
      <c r="AH80" s="643" t="s">
        <v>1046</v>
      </c>
      <c r="AI80" s="639">
        <f>IFERROR(VLOOKUP(Camp_List[[#This Row],[Responsible Agency]],Organization_t[],3,0),"")</f>
        <v>0</v>
      </c>
      <c r="AJ80" s="646">
        <f>IF((SUMIFS(Data_Shelter_t[Coverage],Data_Shelter_t[Pcode],Camp_List[[#This Row],[P_Code]]))&gt;1,1,SUMIFS(Data_Shelter_t[Coverage],Data_Shelter_t[Pcode],Camp_List[[#This Row],[P_Code]]))</f>
        <v>0</v>
      </c>
      <c r="BL80" s="19"/>
      <c r="BM80" s="19"/>
      <c r="BP80" s="69"/>
      <c r="BQ80" s="69"/>
    </row>
    <row r="81" spans="1:69" ht="15" hidden="1" customHeight="1" x14ac:dyDescent="0.25">
      <c r="A81" s="358" t="s">
        <v>349</v>
      </c>
      <c r="B81" s="358" t="s">
        <v>7</v>
      </c>
      <c r="C81" s="358" t="s">
        <v>351</v>
      </c>
      <c r="D81" s="358" t="s">
        <v>20</v>
      </c>
      <c r="E81" s="358" t="s">
        <v>621</v>
      </c>
      <c r="F81" s="358" t="s">
        <v>20</v>
      </c>
      <c r="G81" s="358" t="s">
        <v>448</v>
      </c>
      <c r="H81" s="358" t="s">
        <v>452</v>
      </c>
      <c r="I81" s="358" t="s">
        <v>451</v>
      </c>
      <c r="J81" s="358" t="s">
        <v>452</v>
      </c>
      <c r="K81" s="358">
        <v>198045</v>
      </c>
      <c r="L81" s="358" t="s">
        <v>108</v>
      </c>
      <c r="M81" s="358" t="s">
        <v>196</v>
      </c>
      <c r="N81" s="75">
        <v>92.426885999999996</v>
      </c>
      <c r="O81" s="75">
        <v>20.717331000000001</v>
      </c>
      <c r="P81" s="358"/>
      <c r="Q81" s="872"/>
      <c r="R81" s="875"/>
      <c r="S81" s="885">
        <v>0</v>
      </c>
      <c r="T81" s="358" t="s">
        <v>343</v>
      </c>
      <c r="U81" s="358" t="s">
        <v>755</v>
      </c>
      <c r="V81" s="637" t="s">
        <v>23</v>
      </c>
      <c r="W81" s="638"/>
      <c r="X81" s="358"/>
      <c r="Y81" s="358"/>
      <c r="Z81" s="358"/>
      <c r="AA81" s="639" t="str">
        <f>CONCATENATE(Camp_List[[#This Row],[Ethnicity]],"-",Camp_List[[#This Row],[Religion]])</f>
        <v>-</v>
      </c>
      <c r="AB81" s="639"/>
      <c r="AC81" s="358"/>
      <c r="AD81" s="641" t="s">
        <v>773</v>
      </c>
      <c r="AE81" s="358" t="s">
        <v>504</v>
      </c>
      <c r="AF81" s="358" t="s">
        <v>519</v>
      </c>
      <c r="AG81" s="290">
        <v>41520</v>
      </c>
      <c r="AH81" s="643" t="s">
        <v>1047</v>
      </c>
      <c r="AI81" s="639">
        <f>IFERROR(VLOOKUP(Camp_List[[#This Row],[Responsible Agency]],Organization_t[],3,0),"")</f>
        <v>0</v>
      </c>
      <c r="AJ81" s="646">
        <f>IF((SUMIFS(Data_Shelter_t[Coverage],Data_Shelter_t[Pcode],Camp_List[[#This Row],[P_Code]]))&gt;1,1,SUMIFS(Data_Shelter_t[Coverage],Data_Shelter_t[Pcode],Camp_List[[#This Row],[P_Code]]))</f>
        <v>0</v>
      </c>
      <c r="BL81" s="19"/>
      <c r="BM81" s="19"/>
      <c r="BP81" s="69"/>
      <c r="BQ81" s="69"/>
    </row>
    <row r="82" spans="1:69" ht="15" hidden="1" customHeight="1" x14ac:dyDescent="0.25">
      <c r="A82" s="358" t="s">
        <v>349</v>
      </c>
      <c r="B82" s="358" t="s">
        <v>7</v>
      </c>
      <c r="C82" s="358" t="s">
        <v>611</v>
      </c>
      <c r="D82" s="358" t="s">
        <v>20</v>
      </c>
      <c r="E82" s="358" t="s">
        <v>621</v>
      </c>
      <c r="F82" s="358" t="s">
        <v>20</v>
      </c>
      <c r="G82" s="358" t="s">
        <v>448</v>
      </c>
      <c r="H82" s="358" t="s">
        <v>512</v>
      </c>
      <c r="I82" s="358" t="s">
        <v>514</v>
      </c>
      <c r="J82" s="358"/>
      <c r="K82" s="358"/>
      <c r="L82" s="358" t="s">
        <v>615</v>
      </c>
      <c r="M82" s="358" t="s">
        <v>619</v>
      </c>
      <c r="N82" s="75">
        <v>92.367932999999994</v>
      </c>
      <c r="O82" s="75">
        <v>20.825417000000002</v>
      </c>
      <c r="P82" s="358"/>
      <c r="Q82" s="872"/>
      <c r="R82" s="875"/>
      <c r="S82" s="885">
        <v>0</v>
      </c>
      <c r="T82" s="358" t="s">
        <v>343</v>
      </c>
      <c r="U82" s="358" t="s">
        <v>755</v>
      </c>
      <c r="V82" s="637" t="s">
        <v>23</v>
      </c>
      <c r="W82" s="638"/>
      <c r="X82" s="358"/>
      <c r="Y82" s="358"/>
      <c r="Z82" s="358"/>
      <c r="AA82" s="639" t="str">
        <f>CONCATENATE(Camp_List[[#This Row],[Ethnicity]],"-",Camp_List[[#This Row],[Religion]])</f>
        <v>-</v>
      </c>
      <c r="AB82" s="639"/>
      <c r="AC82" s="358"/>
      <c r="AD82" s="641" t="s">
        <v>773</v>
      </c>
      <c r="AE82" s="358" t="s">
        <v>504</v>
      </c>
      <c r="AF82" s="358" t="s">
        <v>519</v>
      </c>
      <c r="AG82" s="290">
        <v>41548</v>
      </c>
      <c r="AH82" s="643"/>
      <c r="AI82" s="639">
        <f>IFERROR(VLOOKUP(Camp_List[[#This Row],[Responsible Agency]],Organization_t[],3,0),"")</f>
        <v>0</v>
      </c>
      <c r="AJ82" s="646">
        <f>IF((SUMIFS(Data_Shelter_t[Coverage],Data_Shelter_t[Pcode],Camp_List[[#This Row],[P_Code]]))&gt;1,1,SUMIFS(Data_Shelter_t[Coverage],Data_Shelter_t[Pcode],Camp_List[[#This Row],[P_Code]]))</f>
        <v>0</v>
      </c>
      <c r="BL82" s="19"/>
      <c r="BM82" s="19"/>
      <c r="BP82" s="69"/>
      <c r="BQ82" s="69"/>
    </row>
    <row r="83" spans="1:69" ht="15" hidden="1" customHeight="1" x14ac:dyDescent="0.25">
      <c r="A83" s="358" t="s">
        <v>349</v>
      </c>
      <c r="B83" s="358" t="s">
        <v>7</v>
      </c>
      <c r="C83" s="358" t="s">
        <v>351</v>
      </c>
      <c r="D83" s="358"/>
      <c r="E83" s="358"/>
      <c r="F83" s="358" t="s">
        <v>11</v>
      </c>
      <c r="G83" s="358" t="s">
        <v>352</v>
      </c>
      <c r="H83" s="358" t="s">
        <v>364</v>
      </c>
      <c r="I83" s="358" t="s">
        <v>363</v>
      </c>
      <c r="J83" s="358" t="s">
        <v>486</v>
      </c>
      <c r="K83" s="358">
        <v>197063</v>
      </c>
      <c r="L83" s="358" t="s">
        <v>28</v>
      </c>
      <c r="M83" s="358" t="s">
        <v>114</v>
      </c>
      <c r="N83" s="75">
        <v>93.258476000000002</v>
      </c>
      <c r="O83" s="75">
        <v>20.554084</v>
      </c>
      <c r="P83" s="358"/>
      <c r="Q83" s="872"/>
      <c r="R83" s="875"/>
      <c r="S83" s="885">
        <v>0</v>
      </c>
      <c r="T83" s="358" t="s">
        <v>343</v>
      </c>
      <c r="U83" s="358" t="s">
        <v>755</v>
      </c>
      <c r="V83" s="637" t="s">
        <v>23</v>
      </c>
      <c r="W83" s="638"/>
      <c r="X83" s="358"/>
      <c r="Y83" s="358"/>
      <c r="Z83" s="358"/>
      <c r="AA83" s="639" t="str">
        <f>CONCATENATE(Camp_List[[#This Row],[Ethnicity]],"-",Camp_List[[#This Row],[Religion]])</f>
        <v>-</v>
      </c>
      <c r="AB83" s="639"/>
      <c r="AC83" s="358"/>
      <c r="AD83" s="641" t="s">
        <v>773</v>
      </c>
      <c r="AE83" s="358" t="s">
        <v>504</v>
      </c>
      <c r="AF83" s="358" t="s">
        <v>519</v>
      </c>
      <c r="AG83" s="290">
        <v>41520</v>
      </c>
      <c r="AH83" s="643" t="s">
        <v>1048</v>
      </c>
      <c r="AI83" s="639">
        <f>IFERROR(VLOOKUP(Camp_List[[#This Row],[Responsible Agency]],Organization_t[],3,0),"")</f>
        <v>0</v>
      </c>
      <c r="AJ83" s="646">
        <f>IF((SUMIFS(Data_Shelter_t[Coverage],Data_Shelter_t[Pcode],Camp_List[[#This Row],[P_Code]]))&gt;1,1,SUMIFS(Data_Shelter_t[Coverage],Data_Shelter_t[Pcode],Camp_List[[#This Row],[P_Code]]))</f>
        <v>0</v>
      </c>
      <c r="BL83" s="19"/>
      <c r="BM83" s="19"/>
      <c r="BP83" s="69"/>
      <c r="BQ83" s="69"/>
    </row>
    <row r="84" spans="1:69" ht="15" hidden="1" customHeight="1" x14ac:dyDescent="0.25">
      <c r="A84" s="358" t="s">
        <v>349</v>
      </c>
      <c r="B84" s="358" t="s">
        <v>7</v>
      </c>
      <c r="C84" s="358" t="s">
        <v>351</v>
      </c>
      <c r="D84" s="358"/>
      <c r="E84" s="358"/>
      <c r="F84" s="358" t="s">
        <v>11</v>
      </c>
      <c r="G84" s="358" t="s">
        <v>352</v>
      </c>
      <c r="H84" s="358" t="s">
        <v>356</v>
      </c>
      <c r="I84" s="358" t="s">
        <v>355</v>
      </c>
      <c r="J84" s="358" t="s">
        <v>31</v>
      </c>
      <c r="K84" s="358">
        <v>197021</v>
      </c>
      <c r="L84" s="358" t="s">
        <v>31</v>
      </c>
      <c r="M84" s="358" t="s">
        <v>117</v>
      </c>
      <c r="N84" s="75">
        <v>93.321956999999998</v>
      </c>
      <c r="O84" s="75">
        <v>20.403735999999999</v>
      </c>
      <c r="P84" s="358"/>
      <c r="Q84" s="872"/>
      <c r="R84" s="875"/>
      <c r="S84" s="885">
        <v>0</v>
      </c>
      <c r="T84" s="358" t="s">
        <v>343</v>
      </c>
      <c r="U84" s="358" t="s">
        <v>755</v>
      </c>
      <c r="V84" s="637" t="s">
        <v>23</v>
      </c>
      <c r="W84" s="638"/>
      <c r="X84" s="358"/>
      <c r="Y84" s="358"/>
      <c r="Z84" s="358"/>
      <c r="AA84" s="639" t="str">
        <f>CONCATENATE(Camp_List[[#This Row],[Ethnicity]],"-",Camp_List[[#This Row],[Religion]])</f>
        <v>-</v>
      </c>
      <c r="AB84" s="639"/>
      <c r="AC84" s="358"/>
      <c r="AD84" s="641" t="s">
        <v>773</v>
      </c>
      <c r="AE84" s="358" t="s">
        <v>504</v>
      </c>
      <c r="AF84" s="358" t="s">
        <v>519</v>
      </c>
      <c r="AG84" s="290">
        <v>41520</v>
      </c>
      <c r="AH84" s="643" t="s">
        <v>1049</v>
      </c>
      <c r="AI84" s="639">
        <f>IFERROR(VLOOKUP(Camp_List[[#This Row],[Responsible Agency]],Organization_t[],3,0),"")</f>
        <v>0</v>
      </c>
      <c r="AJ84" s="646">
        <f>IF((SUMIFS(Data_Shelter_t[Coverage],Data_Shelter_t[Pcode],Camp_List[[#This Row],[P_Code]]))&gt;1,1,SUMIFS(Data_Shelter_t[Coverage],Data_Shelter_t[Pcode],Camp_List[[#This Row],[P_Code]]))</f>
        <v>0</v>
      </c>
      <c r="BL84" s="19"/>
      <c r="BM84" s="19"/>
      <c r="BP84" s="69"/>
      <c r="BQ84" s="69"/>
    </row>
    <row r="85" spans="1:69" ht="15" hidden="1" customHeight="1" x14ac:dyDescent="0.25">
      <c r="A85" s="358" t="s">
        <v>349</v>
      </c>
      <c r="B85" s="358" t="s">
        <v>7</v>
      </c>
      <c r="C85" s="358" t="s">
        <v>351</v>
      </c>
      <c r="D85" s="358" t="s">
        <v>19</v>
      </c>
      <c r="E85" s="358" t="s">
        <v>603</v>
      </c>
      <c r="F85" s="358" t="s">
        <v>1002</v>
      </c>
      <c r="G85" s="358" t="s">
        <v>365</v>
      </c>
      <c r="H85" s="358" t="s">
        <v>512</v>
      </c>
      <c r="I85" s="358" t="s">
        <v>511</v>
      </c>
      <c r="J85" s="358"/>
      <c r="K85" s="358"/>
      <c r="L85" s="358" t="s">
        <v>35</v>
      </c>
      <c r="M85" s="358" t="s">
        <v>121</v>
      </c>
      <c r="N85" s="75">
        <v>93.187995999999998</v>
      </c>
      <c r="O85" s="75">
        <v>20.589569000000001</v>
      </c>
      <c r="P85" s="358" t="s">
        <v>907</v>
      </c>
      <c r="Q85" s="873"/>
      <c r="R85" s="876"/>
      <c r="S85" s="885">
        <v>0</v>
      </c>
      <c r="T85" s="358" t="s">
        <v>343</v>
      </c>
      <c r="U85" s="358" t="s">
        <v>755</v>
      </c>
      <c r="V85" s="637" t="s">
        <v>21</v>
      </c>
      <c r="W85" s="638"/>
      <c r="X85" s="358"/>
      <c r="Y85" s="358"/>
      <c r="Z85" s="358"/>
      <c r="AA85" s="639" t="str">
        <f>CONCATENATE(Camp_List[[#This Row],[Ethnicity]],"-",Camp_List[[#This Row],[Religion]])</f>
        <v>-</v>
      </c>
      <c r="AB85" s="639"/>
      <c r="AC85" s="358"/>
      <c r="AD85" s="641" t="s">
        <v>773</v>
      </c>
      <c r="AE85" s="358" t="s">
        <v>504</v>
      </c>
      <c r="AF85" s="358" t="s">
        <v>519</v>
      </c>
      <c r="AG85" s="290">
        <v>41548</v>
      </c>
      <c r="AH85" s="643" t="s">
        <v>513</v>
      </c>
      <c r="AI85" s="639">
        <f>IFERROR(VLOOKUP(Camp_List[[#This Row],[Responsible Agency]],Organization_t[],3,0),"")</f>
        <v>0</v>
      </c>
      <c r="AJ85" s="646">
        <f>IF((SUMIFS(Data_Shelter_t[Coverage],Data_Shelter_t[Pcode],Camp_List[[#This Row],[P_Code]]))&gt;1,1,SUMIFS(Data_Shelter_t[Coverage],Data_Shelter_t[Pcode],Camp_List[[#This Row],[P_Code]]))</f>
        <v>0</v>
      </c>
      <c r="BL85" s="19"/>
      <c r="BM85" s="19"/>
      <c r="BP85" s="69"/>
      <c r="BQ85" s="69"/>
    </row>
    <row r="86" spans="1:69" ht="15" hidden="1" customHeight="1" x14ac:dyDescent="0.25">
      <c r="A86" s="358" t="s">
        <v>349</v>
      </c>
      <c r="B86" s="358" t="s">
        <v>7</v>
      </c>
      <c r="C86" s="358" t="s">
        <v>351</v>
      </c>
      <c r="D86" s="358" t="s">
        <v>19</v>
      </c>
      <c r="E86" s="358" t="s">
        <v>603</v>
      </c>
      <c r="F86" s="358" t="s">
        <v>14</v>
      </c>
      <c r="G86" s="358" t="s">
        <v>372</v>
      </c>
      <c r="H86" s="358" t="s">
        <v>43</v>
      </c>
      <c r="I86" s="358" t="s">
        <v>376</v>
      </c>
      <c r="J86" s="358" t="s">
        <v>489</v>
      </c>
      <c r="K86" s="358">
        <v>197548</v>
      </c>
      <c r="L86" s="358" t="s">
        <v>541</v>
      </c>
      <c r="M86" s="358" t="s">
        <v>278</v>
      </c>
      <c r="N86" s="75">
        <v>92.993758999999997</v>
      </c>
      <c r="O86" s="75">
        <v>20.064226000000001</v>
      </c>
      <c r="P86" s="358"/>
      <c r="Q86" s="872"/>
      <c r="R86" s="875"/>
      <c r="S86" s="885">
        <v>0</v>
      </c>
      <c r="T86" s="358" t="s">
        <v>343</v>
      </c>
      <c r="U86" s="358" t="s">
        <v>755</v>
      </c>
      <c r="V86" s="637" t="s">
        <v>23</v>
      </c>
      <c r="W86" s="638"/>
      <c r="X86" s="358"/>
      <c r="Y86" s="358"/>
      <c r="Z86" s="358"/>
      <c r="AA86" s="639" t="str">
        <f>CONCATENATE(Camp_List[[#This Row],[Ethnicity]],"-",Camp_List[[#This Row],[Religion]])</f>
        <v>-</v>
      </c>
      <c r="AB86" s="639"/>
      <c r="AC86" s="358"/>
      <c r="AD86" s="641" t="s">
        <v>773</v>
      </c>
      <c r="AE86" s="358" t="s">
        <v>504</v>
      </c>
      <c r="AF86" s="358" t="s">
        <v>519</v>
      </c>
      <c r="AG86" s="290">
        <v>42447</v>
      </c>
      <c r="AH86" s="643" t="s">
        <v>1050</v>
      </c>
      <c r="AI86" s="639">
        <f>IFERROR(VLOOKUP(Camp_List[[#This Row],[Responsible Agency]],Organization_t[],3,0),"")</f>
        <v>0</v>
      </c>
      <c r="AJ86" s="646">
        <f>IF((SUMIFS(Data_Shelter_t[Coverage],Data_Shelter_t[Pcode],Camp_List[[#This Row],[P_Code]]))&gt;1,1,SUMIFS(Data_Shelter_t[Coverage],Data_Shelter_t[Pcode],Camp_List[[#This Row],[P_Code]]))</f>
        <v>0</v>
      </c>
      <c r="BL86" s="19"/>
      <c r="BM86" s="19"/>
      <c r="BP86" s="69"/>
      <c r="BQ86" s="69"/>
    </row>
    <row r="87" spans="1:69" ht="15" hidden="1" customHeight="1" x14ac:dyDescent="0.25">
      <c r="A87" s="358" t="s">
        <v>349</v>
      </c>
      <c r="B87" s="358" t="s">
        <v>7</v>
      </c>
      <c r="C87" s="358" t="s">
        <v>351</v>
      </c>
      <c r="D87" s="358" t="s">
        <v>19</v>
      </c>
      <c r="E87" s="358" t="s">
        <v>603</v>
      </c>
      <c r="F87" s="358" t="s">
        <v>19</v>
      </c>
      <c r="G87" s="358" t="s">
        <v>413</v>
      </c>
      <c r="H87" s="358" t="s">
        <v>424</v>
      </c>
      <c r="I87" s="358" t="s">
        <v>559</v>
      </c>
      <c r="J87" s="358"/>
      <c r="K87" s="358" t="s">
        <v>425</v>
      </c>
      <c r="L87" s="358" t="s">
        <v>90</v>
      </c>
      <c r="M87" s="358" t="s">
        <v>178</v>
      </c>
      <c r="N87" s="75">
        <v>92.895899999999997</v>
      </c>
      <c r="O87" s="75">
        <v>20.1538</v>
      </c>
      <c r="P87" s="358"/>
      <c r="Q87" s="873"/>
      <c r="R87" s="876"/>
      <c r="S87" s="885">
        <v>0</v>
      </c>
      <c r="T87" s="358" t="s">
        <v>343</v>
      </c>
      <c r="U87" s="358" t="s">
        <v>755</v>
      </c>
      <c r="V87" s="637" t="s">
        <v>21</v>
      </c>
      <c r="W87" s="638"/>
      <c r="X87" s="358"/>
      <c r="Y87" s="358"/>
      <c r="Z87" s="358"/>
      <c r="AA87" s="639" t="str">
        <f>CONCATENATE(Camp_List[[#This Row],[Ethnicity]],"-",Camp_List[[#This Row],[Religion]])</f>
        <v>-</v>
      </c>
      <c r="AB87" s="639"/>
      <c r="AC87" s="358"/>
      <c r="AD87" s="641" t="s">
        <v>773</v>
      </c>
      <c r="AE87" s="358" t="s">
        <v>504</v>
      </c>
      <c r="AF87" s="358" t="s">
        <v>519</v>
      </c>
      <c r="AG87" s="290">
        <v>41520</v>
      </c>
      <c r="AH87" s="643"/>
      <c r="AI87" s="639">
        <f>IFERROR(VLOOKUP(Camp_List[[#This Row],[Responsible Agency]],Organization_t[],3,0),"")</f>
        <v>0</v>
      </c>
      <c r="AJ87" s="646">
        <f>IF((SUMIFS(Data_Shelter_t[Coverage],Data_Shelter_t[Pcode],Camp_List[[#This Row],[P_Code]]))&gt;1,1,SUMIFS(Data_Shelter_t[Coverage],Data_Shelter_t[Pcode],Camp_List[[#This Row],[P_Code]]))</f>
        <v>0</v>
      </c>
      <c r="BL87" s="19"/>
      <c r="BM87" s="19"/>
      <c r="BP87" s="69"/>
      <c r="BQ87" s="69"/>
    </row>
    <row r="88" spans="1:69" ht="15" hidden="1" customHeight="1" x14ac:dyDescent="0.25">
      <c r="A88" s="358" t="s">
        <v>349</v>
      </c>
      <c r="B88" s="358" t="s">
        <v>7</v>
      </c>
      <c r="C88" s="358" t="s">
        <v>351</v>
      </c>
      <c r="D88" s="358" t="s">
        <v>19</v>
      </c>
      <c r="E88" s="358" t="s">
        <v>603</v>
      </c>
      <c r="F88" s="358" t="s">
        <v>19</v>
      </c>
      <c r="G88" s="358" t="s">
        <v>413</v>
      </c>
      <c r="H88" s="358" t="s">
        <v>432</v>
      </c>
      <c r="I88" s="358" t="s">
        <v>559</v>
      </c>
      <c r="J88" s="358"/>
      <c r="K88" s="358" t="s">
        <v>433</v>
      </c>
      <c r="L88" s="358" t="s">
        <v>80</v>
      </c>
      <c r="M88" s="358" t="s">
        <v>168</v>
      </c>
      <c r="N88" s="75">
        <v>92.894568000000007</v>
      </c>
      <c r="O88" s="75">
        <v>20.145585000000001</v>
      </c>
      <c r="P88" s="358"/>
      <c r="Q88" s="873"/>
      <c r="R88" s="876"/>
      <c r="S88" s="885">
        <v>0</v>
      </c>
      <c r="T88" s="358" t="s">
        <v>343</v>
      </c>
      <c r="U88" s="358" t="s">
        <v>755</v>
      </c>
      <c r="V88" s="637" t="s">
        <v>21</v>
      </c>
      <c r="W88" s="638"/>
      <c r="X88" s="358"/>
      <c r="Y88" s="358"/>
      <c r="Z88" s="358"/>
      <c r="AA88" s="639" t="str">
        <f>CONCATENATE(Camp_List[[#This Row],[Ethnicity]],"-",Camp_List[[#This Row],[Religion]])</f>
        <v>-</v>
      </c>
      <c r="AB88" s="639"/>
      <c r="AC88" s="358"/>
      <c r="AD88" s="641" t="s">
        <v>773</v>
      </c>
      <c r="AE88" s="358" t="s">
        <v>504</v>
      </c>
      <c r="AF88" s="358" t="s">
        <v>519</v>
      </c>
      <c r="AG88" s="290">
        <v>41520</v>
      </c>
      <c r="AH88" s="643"/>
      <c r="AI88" s="639">
        <f>IFERROR(VLOOKUP(Camp_List[[#This Row],[Responsible Agency]],Organization_t[],3,0),"")</f>
        <v>0</v>
      </c>
      <c r="AJ88" s="646">
        <f>IF((SUMIFS(Data_Shelter_t[Coverage],Data_Shelter_t[Pcode],Camp_List[[#This Row],[P_Code]]))&gt;1,1,SUMIFS(Data_Shelter_t[Coverage],Data_Shelter_t[Pcode],Camp_List[[#This Row],[P_Code]]))</f>
        <v>0</v>
      </c>
      <c r="BL88" s="19"/>
      <c r="BM88" s="19"/>
      <c r="BP88" s="69"/>
      <c r="BQ88" s="69"/>
    </row>
    <row r="89" spans="1:69" ht="15" hidden="1" customHeight="1" x14ac:dyDescent="0.25">
      <c r="A89" s="358" t="s">
        <v>349</v>
      </c>
      <c r="B89" s="358" t="s">
        <v>7</v>
      </c>
      <c r="C89" s="358" t="s">
        <v>351</v>
      </c>
      <c r="D89" s="358" t="s">
        <v>19</v>
      </c>
      <c r="E89" s="358" t="s">
        <v>603</v>
      </c>
      <c r="F89" s="358" t="s">
        <v>19</v>
      </c>
      <c r="G89" s="358" t="s">
        <v>413</v>
      </c>
      <c r="H89" s="358" t="s">
        <v>434</v>
      </c>
      <c r="I89" s="358" t="s">
        <v>559</v>
      </c>
      <c r="J89" s="358"/>
      <c r="K89" s="358" t="s">
        <v>440</v>
      </c>
      <c r="L89" s="358" t="s">
        <v>81</v>
      </c>
      <c r="M89" s="358" t="s">
        <v>169</v>
      </c>
      <c r="N89" s="75">
        <v>92.898398</v>
      </c>
      <c r="O89" s="75">
        <v>20.152559</v>
      </c>
      <c r="P89" s="358"/>
      <c r="Q89" s="873"/>
      <c r="R89" s="876"/>
      <c r="S89" s="885">
        <v>0</v>
      </c>
      <c r="T89" s="358" t="s">
        <v>343</v>
      </c>
      <c r="U89" s="358" t="s">
        <v>755</v>
      </c>
      <c r="V89" s="637" t="s">
        <v>21</v>
      </c>
      <c r="W89" s="638"/>
      <c r="X89" s="358"/>
      <c r="Y89" s="358"/>
      <c r="Z89" s="358"/>
      <c r="AA89" s="639" t="str">
        <f>CONCATENATE(Camp_List[[#This Row],[Ethnicity]],"-",Camp_List[[#This Row],[Religion]])</f>
        <v>-</v>
      </c>
      <c r="AB89" s="639"/>
      <c r="AC89" s="358"/>
      <c r="AD89" s="641" t="s">
        <v>773</v>
      </c>
      <c r="AE89" s="358" t="s">
        <v>504</v>
      </c>
      <c r="AF89" s="358" t="s">
        <v>519</v>
      </c>
      <c r="AG89" s="290">
        <v>41520</v>
      </c>
      <c r="AH89" s="643"/>
      <c r="AI89" s="639">
        <f>IFERROR(VLOOKUP(Camp_List[[#This Row],[Responsible Agency]],Organization_t[],3,0),"")</f>
        <v>0</v>
      </c>
      <c r="AJ89" s="646">
        <f>IF((SUMIFS(Data_Shelter_t[Coverage],Data_Shelter_t[Pcode],Camp_List[[#This Row],[P_Code]]))&gt;1,1,SUMIFS(Data_Shelter_t[Coverage],Data_Shelter_t[Pcode],Camp_List[[#This Row],[P_Code]]))</f>
        <v>0</v>
      </c>
      <c r="BL89" s="19"/>
      <c r="BM89" s="19"/>
      <c r="BP89" s="69"/>
      <c r="BQ89" s="69"/>
    </row>
    <row r="90" spans="1:69" ht="15" hidden="1" customHeight="1" x14ac:dyDescent="0.25">
      <c r="A90" s="358" t="s">
        <v>349</v>
      </c>
      <c r="B90" s="358" t="s">
        <v>7</v>
      </c>
      <c r="C90" s="358" t="s">
        <v>351</v>
      </c>
      <c r="D90" s="358" t="s">
        <v>19</v>
      </c>
      <c r="E90" s="358" t="s">
        <v>603</v>
      </c>
      <c r="F90" s="358" t="s">
        <v>19</v>
      </c>
      <c r="G90" s="358" t="s">
        <v>413</v>
      </c>
      <c r="H90" s="358" t="s">
        <v>432</v>
      </c>
      <c r="I90" s="358" t="s">
        <v>559</v>
      </c>
      <c r="J90" s="358"/>
      <c r="K90" s="358" t="s">
        <v>433</v>
      </c>
      <c r="L90" s="358" t="s">
        <v>94</v>
      </c>
      <c r="M90" s="358" t="s">
        <v>182</v>
      </c>
      <c r="N90" s="75">
        <v>92.895600000000002</v>
      </c>
      <c r="O90" s="75">
        <v>20.146916999999998</v>
      </c>
      <c r="P90" s="358"/>
      <c r="Q90" s="873"/>
      <c r="R90" s="876"/>
      <c r="S90" s="885">
        <v>0</v>
      </c>
      <c r="T90" s="358" t="s">
        <v>343</v>
      </c>
      <c r="U90" s="358" t="s">
        <v>755</v>
      </c>
      <c r="V90" s="637" t="s">
        <v>21</v>
      </c>
      <c r="W90" s="638"/>
      <c r="X90" s="358"/>
      <c r="Y90" s="358"/>
      <c r="Z90" s="358"/>
      <c r="AA90" s="639" t="str">
        <f>CONCATENATE(Camp_List[[#This Row],[Ethnicity]],"-",Camp_List[[#This Row],[Religion]])</f>
        <v>-</v>
      </c>
      <c r="AB90" s="639"/>
      <c r="AC90" s="358"/>
      <c r="AD90" s="641" t="s">
        <v>773</v>
      </c>
      <c r="AE90" s="358" t="s">
        <v>504</v>
      </c>
      <c r="AF90" s="358" t="s">
        <v>519</v>
      </c>
      <c r="AG90" s="290">
        <v>41520</v>
      </c>
      <c r="AH90" s="643"/>
      <c r="AI90" s="639">
        <f>IFERROR(VLOOKUP(Camp_List[[#This Row],[Responsible Agency]],Organization_t[],3,0),"")</f>
        <v>0</v>
      </c>
      <c r="AJ90" s="646">
        <f>IF((SUMIFS(Data_Shelter_t[Coverage],Data_Shelter_t[Pcode],Camp_List[[#This Row],[P_Code]]))&gt;1,1,SUMIFS(Data_Shelter_t[Coverage],Data_Shelter_t[Pcode],Camp_List[[#This Row],[P_Code]]))</f>
        <v>0</v>
      </c>
      <c r="BL90" s="19"/>
      <c r="BM90" s="19"/>
      <c r="BP90" s="69"/>
      <c r="BQ90" s="69"/>
    </row>
    <row r="91" spans="1:69" ht="15" hidden="1" customHeight="1" x14ac:dyDescent="0.25">
      <c r="A91" s="358" t="s">
        <v>349</v>
      </c>
      <c r="B91" s="358" t="s">
        <v>7</v>
      </c>
      <c r="C91" s="358" t="s">
        <v>351</v>
      </c>
      <c r="D91" s="358" t="s">
        <v>19</v>
      </c>
      <c r="E91" s="358" t="s">
        <v>603</v>
      </c>
      <c r="F91" s="358" t="s">
        <v>19</v>
      </c>
      <c r="G91" s="358" t="s">
        <v>413</v>
      </c>
      <c r="H91" s="358" t="s">
        <v>424</v>
      </c>
      <c r="I91" s="358" t="s">
        <v>559</v>
      </c>
      <c r="J91" s="358"/>
      <c r="K91" s="358" t="s">
        <v>425</v>
      </c>
      <c r="L91" s="358" t="s">
        <v>82</v>
      </c>
      <c r="M91" s="358" t="s">
        <v>170</v>
      </c>
      <c r="N91" s="75">
        <v>92.896409000000006</v>
      </c>
      <c r="O91" s="75">
        <v>20.153753999999999</v>
      </c>
      <c r="P91" s="358"/>
      <c r="Q91" s="873"/>
      <c r="R91" s="876"/>
      <c r="S91" s="885">
        <v>0</v>
      </c>
      <c r="T91" s="358" t="s">
        <v>343</v>
      </c>
      <c r="U91" s="358" t="s">
        <v>755</v>
      </c>
      <c r="V91" s="637" t="s">
        <v>21</v>
      </c>
      <c r="W91" s="638"/>
      <c r="X91" s="358"/>
      <c r="Y91" s="358"/>
      <c r="Z91" s="358"/>
      <c r="AA91" s="639" t="str">
        <f>CONCATENATE(Camp_List[[#This Row],[Ethnicity]],"-",Camp_List[[#This Row],[Religion]])</f>
        <v>-</v>
      </c>
      <c r="AB91" s="639"/>
      <c r="AC91" s="358"/>
      <c r="AD91" s="641" t="s">
        <v>773</v>
      </c>
      <c r="AE91" s="358" t="s">
        <v>504</v>
      </c>
      <c r="AF91" s="358" t="s">
        <v>519</v>
      </c>
      <c r="AG91" s="290">
        <v>41520</v>
      </c>
      <c r="AH91" s="643"/>
      <c r="AI91" s="639">
        <f>IFERROR(VLOOKUP(Camp_List[[#This Row],[Responsible Agency]],Organization_t[],3,0),"")</f>
        <v>0</v>
      </c>
      <c r="AJ91" s="646">
        <f>IF((SUMIFS(Data_Shelter_t[Coverage],Data_Shelter_t[Pcode],Camp_List[[#This Row],[P_Code]]))&gt;1,1,SUMIFS(Data_Shelter_t[Coverage],Data_Shelter_t[Pcode],Camp_List[[#This Row],[P_Code]]))</f>
        <v>0</v>
      </c>
      <c r="BL91" s="19"/>
      <c r="BM91" s="19"/>
      <c r="BP91" s="69"/>
      <c r="BQ91" s="69"/>
    </row>
    <row r="92" spans="1:69" ht="15" hidden="1" customHeight="1" x14ac:dyDescent="0.25">
      <c r="A92" s="358" t="s">
        <v>349</v>
      </c>
      <c r="B92" s="358" t="s">
        <v>7</v>
      </c>
      <c r="C92" s="358" t="s">
        <v>351</v>
      </c>
      <c r="D92" s="358" t="s">
        <v>19</v>
      </c>
      <c r="E92" s="358" t="s">
        <v>603</v>
      </c>
      <c r="F92" s="358" t="s">
        <v>19</v>
      </c>
      <c r="G92" s="358" t="s">
        <v>413</v>
      </c>
      <c r="H92" s="358" t="s">
        <v>439</v>
      </c>
      <c r="I92" s="358" t="s">
        <v>559</v>
      </c>
      <c r="J92" s="358"/>
      <c r="K92" s="358" t="s">
        <v>444</v>
      </c>
      <c r="L92" s="358" t="s">
        <v>92</v>
      </c>
      <c r="M92" s="358" t="s">
        <v>180</v>
      </c>
      <c r="N92" s="75">
        <v>92.894450000000006</v>
      </c>
      <c r="O92" s="75">
        <v>20.147099999999998</v>
      </c>
      <c r="P92" s="358"/>
      <c r="Q92" s="873"/>
      <c r="R92" s="876"/>
      <c r="S92" s="885">
        <v>0</v>
      </c>
      <c r="T92" s="358" t="s">
        <v>343</v>
      </c>
      <c r="U92" s="358" t="s">
        <v>755</v>
      </c>
      <c r="V92" s="637" t="s">
        <v>21</v>
      </c>
      <c r="W92" s="638"/>
      <c r="X92" s="358"/>
      <c r="Y92" s="358"/>
      <c r="Z92" s="358"/>
      <c r="AA92" s="639" t="str">
        <f>CONCATENATE(Camp_List[[#This Row],[Ethnicity]],"-",Camp_List[[#This Row],[Religion]])</f>
        <v>-</v>
      </c>
      <c r="AB92" s="639"/>
      <c r="AC92" s="358"/>
      <c r="AD92" s="641" t="s">
        <v>773</v>
      </c>
      <c r="AE92" s="358" t="s">
        <v>504</v>
      </c>
      <c r="AF92" s="358" t="s">
        <v>519</v>
      </c>
      <c r="AG92" s="290">
        <v>41520</v>
      </c>
      <c r="AH92" s="643"/>
      <c r="AI92" s="639">
        <f>IFERROR(VLOOKUP(Camp_List[[#This Row],[Responsible Agency]],Organization_t[],3,0),"")</f>
        <v>0</v>
      </c>
      <c r="AJ92" s="646">
        <f>IF((SUMIFS(Data_Shelter_t[Coverage],Data_Shelter_t[Pcode],Camp_List[[#This Row],[P_Code]]))&gt;1,1,SUMIFS(Data_Shelter_t[Coverage],Data_Shelter_t[Pcode],Camp_List[[#This Row],[P_Code]]))</f>
        <v>0</v>
      </c>
      <c r="BL92" s="19"/>
      <c r="BM92" s="19"/>
      <c r="BP92" s="69"/>
      <c r="BQ92" s="69"/>
    </row>
    <row r="93" spans="1:69" ht="15" hidden="1" customHeight="1" x14ac:dyDescent="0.25">
      <c r="A93" s="358" t="s">
        <v>349</v>
      </c>
      <c r="B93" s="358" t="s">
        <v>7</v>
      </c>
      <c r="C93" s="358" t="s">
        <v>351</v>
      </c>
      <c r="D93" s="358" t="s">
        <v>19</v>
      </c>
      <c r="E93" s="358" t="s">
        <v>603</v>
      </c>
      <c r="F93" s="358" t="s">
        <v>19</v>
      </c>
      <c r="G93" s="358" t="s">
        <v>413</v>
      </c>
      <c r="H93" s="358" t="s">
        <v>435</v>
      </c>
      <c r="I93" s="358" t="s">
        <v>559</v>
      </c>
      <c r="J93" s="358"/>
      <c r="K93" s="358" t="s">
        <v>441</v>
      </c>
      <c r="L93" s="358" t="s">
        <v>83</v>
      </c>
      <c r="M93" s="358" t="s">
        <v>171</v>
      </c>
      <c r="N93" s="75">
        <v>92.896006</v>
      </c>
      <c r="O93" s="75">
        <v>20.154330999999999</v>
      </c>
      <c r="P93" s="358"/>
      <c r="Q93" s="873"/>
      <c r="R93" s="876"/>
      <c r="S93" s="885">
        <v>0</v>
      </c>
      <c r="T93" s="358" t="s">
        <v>343</v>
      </c>
      <c r="U93" s="358" t="s">
        <v>755</v>
      </c>
      <c r="V93" s="637" t="s">
        <v>21</v>
      </c>
      <c r="W93" s="638"/>
      <c r="X93" s="358"/>
      <c r="Y93" s="358"/>
      <c r="Z93" s="358"/>
      <c r="AA93" s="639" t="str">
        <f>CONCATENATE(Camp_List[[#This Row],[Ethnicity]],"-",Camp_List[[#This Row],[Religion]])</f>
        <v>-</v>
      </c>
      <c r="AB93" s="639"/>
      <c r="AC93" s="358"/>
      <c r="AD93" s="641" t="s">
        <v>773</v>
      </c>
      <c r="AE93" s="358" t="s">
        <v>504</v>
      </c>
      <c r="AF93" s="358" t="s">
        <v>519</v>
      </c>
      <c r="AG93" s="290">
        <v>41520</v>
      </c>
      <c r="AH93" s="643"/>
      <c r="AI93" s="639">
        <f>IFERROR(VLOOKUP(Camp_List[[#This Row],[Responsible Agency]],Organization_t[],3,0),"")</f>
        <v>0</v>
      </c>
      <c r="AJ93" s="646">
        <f>IF((SUMIFS(Data_Shelter_t[Coverage],Data_Shelter_t[Pcode],Camp_List[[#This Row],[P_Code]]))&gt;1,1,SUMIFS(Data_Shelter_t[Coverage],Data_Shelter_t[Pcode],Camp_List[[#This Row],[P_Code]]))</f>
        <v>0</v>
      </c>
      <c r="BL93" s="19"/>
      <c r="BM93" s="19"/>
      <c r="BP93" s="69"/>
      <c r="BQ93" s="69"/>
    </row>
    <row r="94" spans="1:69" ht="15" hidden="1" customHeight="1" x14ac:dyDescent="0.25">
      <c r="A94" s="358" t="s">
        <v>349</v>
      </c>
      <c r="B94" s="358" t="s">
        <v>7</v>
      </c>
      <c r="C94" s="358" t="s">
        <v>351</v>
      </c>
      <c r="D94" s="358" t="s">
        <v>19</v>
      </c>
      <c r="E94" s="358" t="s">
        <v>603</v>
      </c>
      <c r="F94" s="358" t="s">
        <v>19</v>
      </c>
      <c r="G94" s="358" t="s">
        <v>413</v>
      </c>
      <c r="H94" s="358"/>
      <c r="I94" s="358"/>
      <c r="J94" s="358"/>
      <c r="K94" s="358"/>
      <c r="L94" s="358" t="s">
        <v>93</v>
      </c>
      <c r="M94" s="358" t="s">
        <v>181</v>
      </c>
      <c r="N94" s="75">
        <v>92.893904000000006</v>
      </c>
      <c r="O94" s="75">
        <v>20.146673</v>
      </c>
      <c r="P94" s="358"/>
      <c r="Q94" s="873"/>
      <c r="R94" s="876"/>
      <c r="S94" s="885">
        <v>0</v>
      </c>
      <c r="T94" s="358" t="s">
        <v>343</v>
      </c>
      <c r="U94" s="358" t="s">
        <v>755</v>
      </c>
      <c r="V94" s="637" t="s">
        <v>21</v>
      </c>
      <c r="W94" s="638"/>
      <c r="X94" s="358"/>
      <c r="Y94" s="358"/>
      <c r="Z94" s="358"/>
      <c r="AA94" s="639" t="str">
        <f>CONCATENATE(Camp_List[[#This Row],[Ethnicity]],"-",Camp_List[[#This Row],[Religion]])</f>
        <v>-</v>
      </c>
      <c r="AB94" s="639"/>
      <c r="AC94" s="358"/>
      <c r="AD94" s="641" t="s">
        <v>773</v>
      </c>
      <c r="AE94" s="358" t="s">
        <v>504</v>
      </c>
      <c r="AF94" s="358" t="s">
        <v>519</v>
      </c>
      <c r="AG94" s="290">
        <v>41520</v>
      </c>
      <c r="AH94" s="643"/>
      <c r="AI94" s="639">
        <f>IFERROR(VLOOKUP(Camp_List[[#This Row],[Responsible Agency]],Organization_t[],3,0),"")</f>
        <v>0</v>
      </c>
      <c r="AJ94" s="646">
        <f>IF((SUMIFS(Data_Shelter_t[Coverage],Data_Shelter_t[Pcode],Camp_List[[#This Row],[P_Code]]))&gt;1,1,SUMIFS(Data_Shelter_t[Coverage],Data_Shelter_t[Pcode],Camp_List[[#This Row],[P_Code]]))</f>
        <v>0</v>
      </c>
      <c r="BL94" s="19"/>
      <c r="BM94" s="19"/>
      <c r="BP94" s="69"/>
      <c r="BQ94" s="69"/>
    </row>
    <row r="95" spans="1:69" ht="15" hidden="1" customHeight="1" x14ac:dyDescent="0.25">
      <c r="A95" s="358" t="s">
        <v>349</v>
      </c>
      <c r="B95" s="358" t="s">
        <v>7</v>
      </c>
      <c r="C95" s="358" t="s">
        <v>351</v>
      </c>
      <c r="D95" s="358" t="s">
        <v>19</v>
      </c>
      <c r="E95" s="358" t="s">
        <v>603</v>
      </c>
      <c r="F95" s="358" t="s">
        <v>19</v>
      </c>
      <c r="G95" s="358" t="s">
        <v>413</v>
      </c>
      <c r="H95" s="358" t="s">
        <v>436</v>
      </c>
      <c r="I95" s="358" t="s">
        <v>559</v>
      </c>
      <c r="J95" s="358"/>
      <c r="K95" s="358" t="s">
        <v>440</v>
      </c>
      <c r="L95" s="358" t="s">
        <v>84</v>
      </c>
      <c r="M95" s="358" t="s">
        <v>172</v>
      </c>
      <c r="N95" s="75">
        <v>92.897783000000004</v>
      </c>
      <c r="O95" s="75">
        <v>20.151050000000001</v>
      </c>
      <c r="P95" s="358"/>
      <c r="Q95" s="873"/>
      <c r="R95" s="876"/>
      <c r="S95" s="885">
        <v>0</v>
      </c>
      <c r="T95" s="358" t="s">
        <v>343</v>
      </c>
      <c r="U95" s="358" t="s">
        <v>755</v>
      </c>
      <c r="V95" s="637" t="s">
        <v>21</v>
      </c>
      <c r="W95" s="638"/>
      <c r="X95" s="358"/>
      <c r="Y95" s="358"/>
      <c r="Z95" s="358"/>
      <c r="AA95" s="639" t="str">
        <f>CONCATENATE(Camp_List[[#This Row],[Ethnicity]],"-",Camp_List[[#This Row],[Religion]])</f>
        <v>-</v>
      </c>
      <c r="AB95" s="639"/>
      <c r="AC95" s="358"/>
      <c r="AD95" s="641" t="s">
        <v>773</v>
      </c>
      <c r="AE95" s="358" t="s">
        <v>504</v>
      </c>
      <c r="AF95" s="358" t="s">
        <v>519</v>
      </c>
      <c r="AG95" s="290">
        <v>41520</v>
      </c>
      <c r="AH95" s="643"/>
      <c r="AI95" s="639">
        <f>IFERROR(VLOOKUP(Camp_List[[#This Row],[Responsible Agency]],Organization_t[],3,0),"")</f>
        <v>0</v>
      </c>
      <c r="AJ95" s="646">
        <f>IF((SUMIFS(Data_Shelter_t[Coverage],Data_Shelter_t[Pcode],Camp_List[[#This Row],[P_Code]]))&gt;1,1,SUMIFS(Data_Shelter_t[Coverage],Data_Shelter_t[Pcode],Camp_List[[#This Row],[P_Code]]))</f>
        <v>0</v>
      </c>
      <c r="BL95" s="19"/>
      <c r="BM95" s="19"/>
      <c r="BP95" s="69"/>
      <c r="BQ95" s="69"/>
    </row>
    <row r="96" spans="1:69" ht="15" hidden="1" customHeight="1" x14ac:dyDescent="0.25">
      <c r="A96" s="358" t="s">
        <v>349</v>
      </c>
      <c r="B96" s="358" t="s">
        <v>7</v>
      </c>
      <c r="C96" s="358" t="s">
        <v>351</v>
      </c>
      <c r="D96" s="358" t="s">
        <v>19</v>
      </c>
      <c r="E96" s="358" t="s">
        <v>603</v>
      </c>
      <c r="F96" s="358" t="s">
        <v>19</v>
      </c>
      <c r="G96" s="358" t="s">
        <v>413</v>
      </c>
      <c r="H96" s="358" t="s">
        <v>437</v>
      </c>
      <c r="I96" s="358" t="s">
        <v>559</v>
      </c>
      <c r="J96" s="358"/>
      <c r="K96" s="358" t="s">
        <v>442</v>
      </c>
      <c r="L96" s="358" t="s">
        <v>85</v>
      </c>
      <c r="M96" s="358" t="s">
        <v>173</v>
      </c>
      <c r="N96" s="75">
        <v>92.896944000000005</v>
      </c>
      <c r="O96" s="75">
        <v>20.150891999999999</v>
      </c>
      <c r="P96" s="358"/>
      <c r="Q96" s="873"/>
      <c r="R96" s="876"/>
      <c r="S96" s="885">
        <v>0</v>
      </c>
      <c r="T96" s="358" t="s">
        <v>343</v>
      </c>
      <c r="U96" s="358" t="s">
        <v>755</v>
      </c>
      <c r="V96" s="637" t="s">
        <v>21</v>
      </c>
      <c r="W96" s="638"/>
      <c r="X96" s="358"/>
      <c r="Y96" s="358"/>
      <c r="Z96" s="358"/>
      <c r="AA96" s="639" t="str">
        <f>CONCATENATE(Camp_List[[#This Row],[Ethnicity]],"-",Camp_List[[#This Row],[Religion]])</f>
        <v>-</v>
      </c>
      <c r="AB96" s="639"/>
      <c r="AC96" s="358"/>
      <c r="AD96" s="641" t="s">
        <v>773</v>
      </c>
      <c r="AE96" s="358" t="s">
        <v>504</v>
      </c>
      <c r="AF96" s="358" t="s">
        <v>519</v>
      </c>
      <c r="AG96" s="290">
        <v>41520</v>
      </c>
      <c r="AH96" s="643"/>
      <c r="AI96" s="639">
        <f>IFERROR(VLOOKUP(Camp_List[[#This Row],[Responsible Agency]],Organization_t[],3,0),"")</f>
        <v>0</v>
      </c>
      <c r="AJ96" s="646">
        <f>IF((SUMIFS(Data_Shelter_t[Coverage],Data_Shelter_t[Pcode],Camp_List[[#This Row],[P_Code]]))&gt;1,1,SUMIFS(Data_Shelter_t[Coverage],Data_Shelter_t[Pcode],Camp_List[[#This Row],[P_Code]]))</f>
        <v>0</v>
      </c>
      <c r="BL96" s="19"/>
      <c r="BM96" s="19"/>
      <c r="BP96" s="69"/>
      <c r="BQ96" s="69"/>
    </row>
    <row r="97" spans="1:69" ht="15" hidden="1" customHeight="1" x14ac:dyDescent="0.25">
      <c r="A97" s="358" t="s">
        <v>349</v>
      </c>
      <c r="B97" s="358" t="s">
        <v>7</v>
      </c>
      <c r="C97" s="358" t="s">
        <v>351</v>
      </c>
      <c r="D97" s="358" t="s">
        <v>19</v>
      </c>
      <c r="E97" s="358" t="s">
        <v>603</v>
      </c>
      <c r="F97" s="358" t="s">
        <v>19</v>
      </c>
      <c r="G97" s="358" t="s">
        <v>413</v>
      </c>
      <c r="H97" s="358" t="s">
        <v>424</v>
      </c>
      <c r="I97" s="358" t="s">
        <v>559</v>
      </c>
      <c r="J97" s="358"/>
      <c r="K97" s="358" t="s">
        <v>425</v>
      </c>
      <c r="L97" s="358" t="s">
        <v>86</v>
      </c>
      <c r="M97" s="358" t="s">
        <v>174</v>
      </c>
      <c r="N97" s="75">
        <v>92.894499999999994</v>
      </c>
      <c r="O97" s="75">
        <v>20.1462</v>
      </c>
      <c r="P97" s="358"/>
      <c r="Q97" s="873"/>
      <c r="R97" s="876"/>
      <c r="S97" s="885">
        <v>0</v>
      </c>
      <c r="T97" s="358" t="s">
        <v>343</v>
      </c>
      <c r="U97" s="358" t="s">
        <v>755</v>
      </c>
      <c r="V97" s="637" t="s">
        <v>21</v>
      </c>
      <c r="W97" s="638"/>
      <c r="X97" s="358"/>
      <c r="Y97" s="358"/>
      <c r="Z97" s="358"/>
      <c r="AA97" s="639" t="str">
        <f>CONCATENATE(Camp_List[[#This Row],[Ethnicity]],"-",Camp_List[[#This Row],[Religion]])</f>
        <v>-</v>
      </c>
      <c r="AB97" s="639"/>
      <c r="AC97" s="358"/>
      <c r="AD97" s="641" t="s">
        <v>773</v>
      </c>
      <c r="AE97" s="358" t="s">
        <v>504</v>
      </c>
      <c r="AF97" s="358" t="s">
        <v>519</v>
      </c>
      <c r="AG97" s="290">
        <v>41520</v>
      </c>
      <c r="AH97" s="643"/>
      <c r="AI97" s="639">
        <f>IFERROR(VLOOKUP(Camp_List[[#This Row],[Responsible Agency]],Organization_t[],3,0),"")</f>
        <v>0</v>
      </c>
      <c r="AJ97" s="646">
        <f>IF((SUMIFS(Data_Shelter_t[Coverage],Data_Shelter_t[Pcode],Camp_List[[#This Row],[P_Code]]))&gt;1,1,SUMIFS(Data_Shelter_t[Coverage],Data_Shelter_t[Pcode],Camp_List[[#This Row],[P_Code]]))</f>
        <v>0</v>
      </c>
      <c r="BL97" s="19"/>
      <c r="BM97" s="19"/>
      <c r="BP97" s="69"/>
      <c r="BQ97" s="69"/>
    </row>
    <row r="98" spans="1:69" ht="15" hidden="1" customHeight="1" x14ac:dyDescent="0.25">
      <c r="A98" s="358" t="s">
        <v>349</v>
      </c>
      <c r="B98" s="358" t="s">
        <v>7</v>
      </c>
      <c r="C98" s="358" t="s">
        <v>351</v>
      </c>
      <c r="D98" s="358" t="s">
        <v>19</v>
      </c>
      <c r="E98" s="358" t="s">
        <v>603</v>
      </c>
      <c r="F98" s="358" t="s">
        <v>19</v>
      </c>
      <c r="G98" s="358" t="s">
        <v>413</v>
      </c>
      <c r="H98" s="358" t="s">
        <v>435</v>
      </c>
      <c r="I98" s="358" t="s">
        <v>559</v>
      </c>
      <c r="J98" s="358"/>
      <c r="K98" s="358" t="s">
        <v>441</v>
      </c>
      <c r="L98" s="358" t="s">
        <v>89</v>
      </c>
      <c r="M98" s="358" t="s">
        <v>177</v>
      </c>
      <c r="N98" s="75">
        <v>92.897932999999995</v>
      </c>
      <c r="O98" s="75">
        <v>20.155850000000001</v>
      </c>
      <c r="P98" s="358"/>
      <c r="Q98" s="873"/>
      <c r="R98" s="876"/>
      <c r="S98" s="885">
        <v>0</v>
      </c>
      <c r="T98" s="358" t="s">
        <v>343</v>
      </c>
      <c r="U98" s="358" t="s">
        <v>755</v>
      </c>
      <c r="V98" s="637" t="s">
        <v>21</v>
      </c>
      <c r="W98" s="638"/>
      <c r="X98" s="358"/>
      <c r="Y98" s="358"/>
      <c r="Z98" s="358"/>
      <c r="AA98" s="639" t="str">
        <f>CONCATENATE(Camp_List[[#This Row],[Ethnicity]],"-",Camp_List[[#This Row],[Religion]])</f>
        <v>-</v>
      </c>
      <c r="AB98" s="639"/>
      <c r="AC98" s="358"/>
      <c r="AD98" s="641" t="s">
        <v>773</v>
      </c>
      <c r="AE98" s="358" t="s">
        <v>504</v>
      </c>
      <c r="AF98" s="358" t="s">
        <v>519</v>
      </c>
      <c r="AG98" s="290">
        <v>41520</v>
      </c>
      <c r="AH98" s="643"/>
      <c r="AI98" s="639">
        <f>IFERROR(VLOOKUP(Camp_List[[#This Row],[Responsible Agency]],Organization_t[],3,0),"")</f>
        <v>0</v>
      </c>
      <c r="AJ98" s="646">
        <f>IF((SUMIFS(Data_Shelter_t[Coverage],Data_Shelter_t[Pcode],Camp_List[[#This Row],[P_Code]]))&gt;1,1,SUMIFS(Data_Shelter_t[Coverage],Data_Shelter_t[Pcode],Camp_List[[#This Row],[P_Code]]))</f>
        <v>0</v>
      </c>
      <c r="BL98" s="19"/>
      <c r="BM98" s="19"/>
      <c r="BP98" s="69"/>
      <c r="BQ98" s="69"/>
    </row>
    <row r="99" spans="1:69" ht="15" hidden="1" customHeight="1" x14ac:dyDescent="0.25">
      <c r="A99" s="358" t="s">
        <v>349</v>
      </c>
      <c r="B99" s="358" t="s">
        <v>7</v>
      </c>
      <c r="C99" s="358" t="s">
        <v>351</v>
      </c>
      <c r="D99" s="358" t="s">
        <v>19</v>
      </c>
      <c r="E99" s="358" t="s">
        <v>603</v>
      </c>
      <c r="F99" s="358" t="s">
        <v>19</v>
      </c>
      <c r="G99" s="358" t="s">
        <v>413</v>
      </c>
      <c r="H99" s="358" t="s">
        <v>438</v>
      </c>
      <c r="I99" s="358" t="s">
        <v>559</v>
      </c>
      <c r="J99" s="358"/>
      <c r="K99" s="358" t="s">
        <v>443</v>
      </c>
      <c r="L99" s="358" t="s">
        <v>87</v>
      </c>
      <c r="M99" s="358" t="s">
        <v>175</v>
      </c>
      <c r="N99" s="75">
        <v>92.888949999999994</v>
      </c>
      <c r="O99" s="75">
        <v>20.125032999999998</v>
      </c>
      <c r="P99" s="358"/>
      <c r="Q99" s="873"/>
      <c r="R99" s="876"/>
      <c r="S99" s="885">
        <v>0</v>
      </c>
      <c r="T99" s="358" t="s">
        <v>343</v>
      </c>
      <c r="U99" s="358" t="s">
        <v>755</v>
      </c>
      <c r="V99" s="637" t="s">
        <v>21</v>
      </c>
      <c r="W99" s="638"/>
      <c r="X99" s="358"/>
      <c r="Y99" s="358"/>
      <c r="Z99" s="358"/>
      <c r="AA99" s="639" t="str">
        <f>CONCATENATE(Camp_List[[#This Row],[Ethnicity]],"-",Camp_List[[#This Row],[Religion]])</f>
        <v>-</v>
      </c>
      <c r="AB99" s="639"/>
      <c r="AC99" s="358"/>
      <c r="AD99" s="641" t="s">
        <v>773</v>
      </c>
      <c r="AE99" s="358" t="s">
        <v>504</v>
      </c>
      <c r="AF99" s="358" t="s">
        <v>519</v>
      </c>
      <c r="AG99" s="290">
        <v>41520</v>
      </c>
      <c r="AH99" s="643"/>
      <c r="AI99" s="639">
        <f>IFERROR(VLOOKUP(Camp_List[[#This Row],[Responsible Agency]],Organization_t[],3,0),"")</f>
        <v>0</v>
      </c>
      <c r="AJ99" s="646">
        <f>IF((SUMIFS(Data_Shelter_t[Coverage],Data_Shelter_t[Pcode],Camp_List[[#This Row],[P_Code]]))&gt;1,1,SUMIFS(Data_Shelter_t[Coverage],Data_Shelter_t[Pcode],Camp_List[[#This Row],[P_Code]]))</f>
        <v>0</v>
      </c>
      <c r="BL99" s="19"/>
      <c r="BM99" s="19"/>
      <c r="BP99" s="69"/>
      <c r="BQ99" s="69"/>
    </row>
    <row r="100" spans="1:69" ht="15" hidden="1" customHeight="1" x14ac:dyDescent="0.25">
      <c r="A100" s="358" t="s">
        <v>349</v>
      </c>
      <c r="B100" s="358" t="s">
        <v>7</v>
      </c>
      <c r="C100" s="358" t="s">
        <v>351</v>
      </c>
      <c r="D100" s="358" t="s">
        <v>19</v>
      </c>
      <c r="E100" s="358" t="s">
        <v>603</v>
      </c>
      <c r="F100" s="358" t="s">
        <v>19</v>
      </c>
      <c r="G100" s="358" t="s">
        <v>413</v>
      </c>
      <c r="H100" s="358" t="s">
        <v>439</v>
      </c>
      <c r="I100" s="358" t="s">
        <v>559</v>
      </c>
      <c r="J100" s="358"/>
      <c r="K100" s="358" t="s">
        <v>444</v>
      </c>
      <c r="L100" s="358" t="s">
        <v>91</v>
      </c>
      <c r="M100" s="358" t="s">
        <v>179</v>
      </c>
      <c r="N100" s="75">
        <v>92.892431999999999</v>
      </c>
      <c r="O100" s="75">
        <v>20.146041</v>
      </c>
      <c r="P100" s="358"/>
      <c r="Q100" s="873"/>
      <c r="R100" s="876"/>
      <c r="S100" s="885">
        <v>0</v>
      </c>
      <c r="T100" s="358" t="s">
        <v>343</v>
      </c>
      <c r="U100" s="358" t="s">
        <v>755</v>
      </c>
      <c r="V100" s="637" t="s">
        <v>21</v>
      </c>
      <c r="W100" s="638"/>
      <c r="X100" s="358"/>
      <c r="Y100" s="358"/>
      <c r="Z100" s="358"/>
      <c r="AA100" s="639" t="str">
        <f>CONCATENATE(Camp_List[[#This Row],[Ethnicity]],"-",Camp_List[[#This Row],[Religion]])</f>
        <v>-</v>
      </c>
      <c r="AB100" s="639"/>
      <c r="AC100" s="358"/>
      <c r="AD100" s="641" t="s">
        <v>773</v>
      </c>
      <c r="AE100" s="358" t="s">
        <v>504</v>
      </c>
      <c r="AF100" s="358" t="s">
        <v>519</v>
      </c>
      <c r="AG100" s="290">
        <v>41520</v>
      </c>
      <c r="AH100" s="643"/>
      <c r="AI100" s="639">
        <f>IFERROR(VLOOKUP(Camp_List[[#This Row],[Responsible Agency]],Organization_t[],3,0),"")</f>
        <v>0</v>
      </c>
      <c r="AJ100" s="646">
        <f>IF((SUMIFS(Data_Shelter_t[Coverage],Data_Shelter_t[Pcode],Camp_List[[#This Row],[P_Code]]))&gt;1,1,SUMIFS(Data_Shelter_t[Coverage],Data_Shelter_t[Pcode],Camp_List[[#This Row],[P_Code]]))</f>
        <v>0</v>
      </c>
      <c r="BL100" s="19"/>
      <c r="BM100" s="19"/>
      <c r="BP100" s="69"/>
      <c r="BQ100" s="69"/>
    </row>
    <row r="101" spans="1:69" ht="15" hidden="1" customHeight="1" x14ac:dyDescent="0.25">
      <c r="A101" s="358" t="s">
        <v>349</v>
      </c>
      <c r="B101" s="358" t="s">
        <v>7</v>
      </c>
      <c r="C101" s="358" t="s">
        <v>351</v>
      </c>
      <c r="D101" s="358" t="s">
        <v>19</v>
      </c>
      <c r="E101" s="358" t="s">
        <v>603</v>
      </c>
      <c r="F101" s="358" t="s">
        <v>19</v>
      </c>
      <c r="G101" s="358" t="s">
        <v>413</v>
      </c>
      <c r="H101" s="358" t="s">
        <v>424</v>
      </c>
      <c r="I101" s="358" t="s">
        <v>559</v>
      </c>
      <c r="J101" s="358"/>
      <c r="K101" s="358" t="s">
        <v>425</v>
      </c>
      <c r="L101" s="358" t="s">
        <v>88</v>
      </c>
      <c r="M101" s="358" t="s">
        <v>176</v>
      </c>
      <c r="N101" s="75">
        <v>92.896417999999997</v>
      </c>
      <c r="O101" s="75">
        <v>20.152895000000001</v>
      </c>
      <c r="P101" s="358"/>
      <c r="Q101" s="873"/>
      <c r="R101" s="876"/>
      <c r="S101" s="885">
        <v>0</v>
      </c>
      <c r="T101" s="358" t="s">
        <v>343</v>
      </c>
      <c r="U101" s="358" t="s">
        <v>755</v>
      </c>
      <c r="V101" s="637" t="s">
        <v>21</v>
      </c>
      <c r="W101" s="638"/>
      <c r="X101" s="358"/>
      <c r="Y101" s="358"/>
      <c r="Z101" s="358"/>
      <c r="AA101" s="639" t="str">
        <f>CONCATENATE(Camp_List[[#This Row],[Ethnicity]],"-",Camp_List[[#This Row],[Religion]])</f>
        <v>-</v>
      </c>
      <c r="AB101" s="639"/>
      <c r="AC101" s="358"/>
      <c r="AD101" s="641" t="s">
        <v>773</v>
      </c>
      <c r="AE101" s="358" t="s">
        <v>504</v>
      </c>
      <c r="AF101" s="358" t="s">
        <v>519</v>
      </c>
      <c r="AG101" s="290">
        <v>41520</v>
      </c>
      <c r="AH101" s="643"/>
      <c r="AI101" s="639">
        <f>IFERROR(VLOOKUP(Camp_List[[#This Row],[Responsible Agency]],Organization_t[],3,0),"")</f>
        <v>0</v>
      </c>
      <c r="AJ101" s="646">
        <f>IF((SUMIFS(Data_Shelter_t[Coverage],Data_Shelter_t[Pcode],Camp_List[[#This Row],[P_Code]]))&gt;1,1,SUMIFS(Data_Shelter_t[Coverage],Data_Shelter_t[Pcode],Camp_List[[#This Row],[P_Code]]))</f>
        <v>0</v>
      </c>
      <c r="BL101" s="19"/>
      <c r="BM101" s="19"/>
      <c r="BP101" s="69"/>
      <c r="BQ101" s="69"/>
    </row>
    <row r="102" spans="1:69" ht="15" hidden="1" customHeight="1" x14ac:dyDescent="0.25">
      <c r="A102" s="358" t="s">
        <v>349</v>
      </c>
      <c r="B102" s="358" t="s">
        <v>7</v>
      </c>
      <c r="C102" s="358" t="s">
        <v>351</v>
      </c>
      <c r="D102" s="358" t="s">
        <v>19</v>
      </c>
      <c r="E102" s="358" t="s">
        <v>603</v>
      </c>
      <c r="F102" s="358" t="s">
        <v>19</v>
      </c>
      <c r="G102" s="358" t="s">
        <v>413</v>
      </c>
      <c r="H102" s="358" t="s">
        <v>435</v>
      </c>
      <c r="I102" s="358" t="s">
        <v>559</v>
      </c>
      <c r="J102" s="358"/>
      <c r="K102" s="358" t="s">
        <v>441</v>
      </c>
      <c r="L102" s="358" t="s">
        <v>96</v>
      </c>
      <c r="M102" s="358" t="s">
        <v>184</v>
      </c>
      <c r="N102" s="75">
        <v>92.896533000000005</v>
      </c>
      <c r="O102" s="75">
        <v>20.15465</v>
      </c>
      <c r="P102" s="358"/>
      <c r="Q102" s="873"/>
      <c r="R102" s="876"/>
      <c r="S102" s="885">
        <v>0</v>
      </c>
      <c r="T102" s="358" t="s">
        <v>343</v>
      </c>
      <c r="U102" s="358" t="s">
        <v>755</v>
      </c>
      <c r="V102" s="637" t="s">
        <v>21</v>
      </c>
      <c r="W102" s="638"/>
      <c r="X102" s="358"/>
      <c r="Y102" s="358"/>
      <c r="Z102" s="358"/>
      <c r="AA102" s="639" t="str">
        <f>CONCATENATE(Camp_List[[#This Row],[Ethnicity]],"-",Camp_List[[#This Row],[Religion]])</f>
        <v>-</v>
      </c>
      <c r="AB102" s="639"/>
      <c r="AC102" s="358"/>
      <c r="AD102" s="641" t="s">
        <v>773</v>
      </c>
      <c r="AE102" s="358" t="s">
        <v>504</v>
      </c>
      <c r="AF102" s="358" t="s">
        <v>519</v>
      </c>
      <c r="AG102" s="290">
        <v>41520</v>
      </c>
      <c r="AH102" s="643"/>
      <c r="AI102" s="639">
        <f>IFERROR(VLOOKUP(Camp_List[[#This Row],[Responsible Agency]],Organization_t[],3,0),"")</f>
        <v>0</v>
      </c>
      <c r="AJ102" s="646">
        <f>IF((SUMIFS(Data_Shelter_t[Coverage],Data_Shelter_t[Pcode],Camp_List[[#This Row],[P_Code]]))&gt;1,1,SUMIFS(Data_Shelter_t[Coverage],Data_Shelter_t[Pcode],Camp_List[[#This Row],[P_Code]]))</f>
        <v>0</v>
      </c>
      <c r="BL102" s="19"/>
      <c r="BM102" s="19"/>
      <c r="BP102" s="69"/>
      <c r="BQ102" s="69"/>
    </row>
    <row r="103" spans="1:69" ht="15" hidden="1" customHeight="1" x14ac:dyDescent="0.25">
      <c r="A103" s="358" t="s">
        <v>349</v>
      </c>
      <c r="B103" s="358" t="s">
        <v>7</v>
      </c>
      <c r="C103" s="358" t="s">
        <v>351</v>
      </c>
      <c r="D103" s="358" t="s">
        <v>19</v>
      </c>
      <c r="E103" s="358" t="s">
        <v>603</v>
      </c>
      <c r="F103" s="358" t="s">
        <v>19</v>
      </c>
      <c r="G103" s="358" t="s">
        <v>413</v>
      </c>
      <c r="H103" s="358" t="s">
        <v>439</v>
      </c>
      <c r="I103" s="358" t="s">
        <v>559</v>
      </c>
      <c r="J103" s="358"/>
      <c r="K103" s="358" t="s">
        <v>444</v>
      </c>
      <c r="L103" s="358" t="s">
        <v>95</v>
      </c>
      <c r="M103" s="358" t="s">
        <v>183</v>
      </c>
      <c r="N103" s="75">
        <v>92.893332999999998</v>
      </c>
      <c r="O103" s="75">
        <v>20.146117</v>
      </c>
      <c r="P103" s="358"/>
      <c r="Q103" s="873"/>
      <c r="R103" s="876"/>
      <c r="S103" s="885">
        <v>0</v>
      </c>
      <c r="T103" s="358" t="s">
        <v>343</v>
      </c>
      <c r="U103" s="358" t="s">
        <v>755</v>
      </c>
      <c r="V103" s="637" t="s">
        <v>21</v>
      </c>
      <c r="W103" s="638"/>
      <c r="X103" s="358"/>
      <c r="Y103" s="358"/>
      <c r="Z103" s="358"/>
      <c r="AA103" s="639" t="str">
        <f>CONCATENATE(Camp_List[[#This Row],[Ethnicity]],"-",Camp_List[[#This Row],[Religion]])</f>
        <v>-</v>
      </c>
      <c r="AB103" s="639"/>
      <c r="AC103" s="358"/>
      <c r="AD103" s="641" t="s">
        <v>773</v>
      </c>
      <c r="AE103" s="358" t="s">
        <v>504</v>
      </c>
      <c r="AF103" s="358" t="s">
        <v>519</v>
      </c>
      <c r="AG103" s="290">
        <v>41520</v>
      </c>
      <c r="AH103" s="643"/>
      <c r="AI103" s="639">
        <f>IFERROR(VLOOKUP(Camp_List[[#This Row],[Responsible Agency]],Organization_t[],3,0),"")</f>
        <v>0</v>
      </c>
      <c r="AJ103" s="646">
        <f>IF((SUMIFS(Data_Shelter_t[Coverage],Data_Shelter_t[Pcode],Camp_List[[#This Row],[P_Code]]))&gt;1,1,SUMIFS(Data_Shelter_t[Coverage],Data_Shelter_t[Pcode],Camp_List[[#This Row],[P_Code]]))</f>
        <v>0</v>
      </c>
      <c r="BL103" s="19"/>
      <c r="BM103" s="19"/>
      <c r="BP103" s="69"/>
      <c r="BQ103" s="69"/>
    </row>
    <row r="104" spans="1:69" ht="15" hidden="1" customHeight="1" x14ac:dyDescent="0.25">
      <c r="A104" s="358" t="s">
        <v>349</v>
      </c>
      <c r="B104" s="358" t="s">
        <v>7</v>
      </c>
      <c r="C104" s="358" t="s">
        <v>351</v>
      </c>
      <c r="D104" s="358" t="s">
        <v>19</v>
      </c>
      <c r="E104" s="358" t="s">
        <v>603</v>
      </c>
      <c r="F104" s="358" t="s">
        <v>19</v>
      </c>
      <c r="G104" s="358" t="s">
        <v>413</v>
      </c>
      <c r="H104" s="358" t="s">
        <v>419</v>
      </c>
      <c r="I104" s="358" t="s">
        <v>418</v>
      </c>
      <c r="J104" s="358" t="s">
        <v>496</v>
      </c>
      <c r="K104" s="358">
        <v>196192</v>
      </c>
      <c r="L104" s="358" t="s">
        <v>62</v>
      </c>
      <c r="M104" s="358" t="s">
        <v>150</v>
      </c>
      <c r="N104" s="75">
        <v>92.807418999999996</v>
      </c>
      <c r="O104" s="75">
        <v>20.181238</v>
      </c>
      <c r="P104" s="358"/>
      <c r="Q104" s="872"/>
      <c r="R104" s="875"/>
      <c r="S104" s="885">
        <v>0</v>
      </c>
      <c r="T104" s="358" t="s">
        <v>343</v>
      </c>
      <c r="U104" s="358" t="s">
        <v>755</v>
      </c>
      <c r="V104" s="637" t="s">
        <v>22</v>
      </c>
      <c r="W104" s="638"/>
      <c r="X104" s="358"/>
      <c r="Y104" s="358"/>
      <c r="Z104" s="358"/>
      <c r="AA104" s="639" t="str">
        <f>CONCATENATE(Camp_List[[#This Row],[Ethnicity]],"-",Camp_List[[#This Row],[Religion]])</f>
        <v>-</v>
      </c>
      <c r="AB104" s="639"/>
      <c r="AC104" s="358"/>
      <c r="AD104" s="641" t="s">
        <v>773</v>
      </c>
      <c r="AE104" s="358" t="s">
        <v>504</v>
      </c>
      <c r="AF104" s="358" t="s">
        <v>519</v>
      </c>
      <c r="AG104" s="290">
        <v>41548</v>
      </c>
      <c r="AH104" s="643" t="s">
        <v>1051</v>
      </c>
      <c r="AI104" s="639">
        <f>IFERROR(VLOOKUP(Camp_List[[#This Row],[Responsible Agency]],Organization_t[],3,0),"")</f>
        <v>0</v>
      </c>
      <c r="AJ104" s="646">
        <f>IF((SUMIFS(Data_Shelter_t[Coverage],Data_Shelter_t[Pcode],Camp_List[[#This Row],[P_Code]]))&gt;1,1,SUMIFS(Data_Shelter_t[Coverage],Data_Shelter_t[Pcode],Camp_List[[#This Row],[P_Code]]))</f>
        <v>0</v>
      </c>
      <c r="BL104" s="19"/>
      <c r="BM104" s="19"/>
      <c r="BP104" s="69"/>
      <c r="BQ104" s="69"/>
    </row>
    <row r="105" spans="1:69" ht="15" hidden="1" customHeight="1" x14ac:dyDescent="0.25">
      <c r="A105" s="358" t="s">
        <v>349</v>
      </c>
      <c r="B105" s="358" t="s">
        <v>7</v>
      </c>
      <c r="C105" s="358" t="s">
        <v>351</v>
      </c>
      <c r="D105" s="358" t="s">
        <v>19</v>
      </c>
      <c r="E105" s="358" t="s">
        <v>603</v>
      </c>
      <c r="F105" s="358" t="s">
        <v>19</v>
      </c>
      <c r="G105" s="358" t="s">
        <v>413</v>
      </c>
      <c r="H105" s="358" t="s">
        <v>430</v>
      </c>
      <c r="I105" s="358" t="s">
        <v>559</v>
      </c>
      <c r="J105" s="358"/>
      <c r="K105" s="358" t="s">
        <v>431</v>
      </c>
      <c r="L105" s="358" t="s">
        <v>77</v>
      </c>
      <c r="M105" s="358" t="s">
        <v>165</v>
      </c>
      <c r="N105" s="75">
        <v>92.889384000000007</v>
      </c>
      <c r="O105" s="75">
        <v>20.135473999999999</v>
      </c>
      <c r="P105" s="358"/>
      <c r="Q105" s="872"/>
      <c r="R105" s="875"/>
      <c r="S105" s="885">
        <v>0</v>
      </c>
      <c r="T105" s="358" t="s">
        <v>343</v>
      </c>
      <c r="U105" s="358" t="s">
        <v>755</v>
      </c>
      <c r="V105" s="637" t="s">
        <v>22</v>
      </c>
      <c r="W105" s="638"/>
      <c r="X105" s="358"/>
      <c r="Y105" s="358"/>
      <c r="Z105" s="358"/>
      <c r="AA105" s="639" t="str">
        <f>CONCATENATE(Camp_List[[#This Row],[Ethnicity]],"-",Camp_List[[#This Row],[Religion]])</f>
        <v>-</v>
      </c>
      <c r="AB105" s="639"/>
      <c r="AC105" s="358"/>
      <c r="AD105" s="641" t="s">
        <v>773</v>
      </c>
      <c r="AE105" s="358" t="s">
        <v>504</v>
      </c>
      <c r="AF105" s="358" t="s">
        <v>519</v>
      </c>
      <c r="AG105" s="290">
        <v>41520</v>
      </c>
      <c r="AH105" s="643" t="s">
        <v>1052</v>
      </c>
      <c r="AI105" s="639">
        <f>IFERROR(VLOOKUP(Camp_List[[#This Row],[Responsible Agency]],Organization_t[],3,0),"")</f>
        <v>0</v>
      </c>
      <c r="AJ105" s="646">
        <f>IF((SUMIFS(Data_Shelter_t[Coverage],Data_Shelter_t[Pcode],Camp_List[[#This Row],[P_Code]]))&gt;1,1,SUMIFS(Data_Shelter_t[Coverage],Data_Shelter_t[Pcode],Camp_List[[#This Row],[P_Code]]))</f>
        <v>0</v>
      </c>
      <c r="BL105" s="19"/>
      <c r="BM105" s="19"/>
      <c r="BP105" s="69"/>
      <c r="BQ105" s="69"/>
    </row>
    <row r="106" spans="1:69" ht="15" hidden="1" customHeight="1" x14ac:dyDescent="0.25">
      <c r="A106" s="358" t="s">
        <v>349</v>
      </c>
      <c r="B106" s="358" t="s">
        <v>7</v>
      </c>
      <c r="C106" s="358" t="s">
        <v>351</v>
      </c>
      <c r="D106" s="358" t="s">
        <v>19</v>
      </c>
      <c r="E106" s="358" t="s">
        <v>603</v>
      </c>
      <c r="F106" s="358" t="s">
        <v>19</v>
      </c>
      <c r="G106" s="358" t="s">
        <v>413</v>
      </c>
      <c r="H106" s="358" t="s">
        <v>424</v>
      </c>
      <c r="I106" s="358" t="s">
        <v>559</v>
      </c>
      <c r="J106" s="358"/>
      <c r="K106" s="358" t="s">
        <v>425</v>
      </c>
      <c r="L106" s="358" t="s">
        <v>79</v>
      </c>
      <c r="M106" s="358" t="s">
        <v>167</v>
      </c>
      <c r="N106" s="75">
        <v>92.897177999999997</v>
      </c>
      <c r="O106" s="75">
        <v>20.153129</v>
      </c>
      <c r="P106" s="358"/>
      <c r="Q106" s="872"/>
      <c r="R106" s="875"/>
      <c r="S106" s="885">
        <v>0</v>
      </c>
      <c r="T106" s="358" t="s">
        <v>343</v>
      </c>
      <c r="U106" s="358" t="s">
        <v>755</v>
      </c>
      <c r="V106" s="637" t="s">
        <v>22</v>
      </c>
      <c r="W106" s="638"/>
      <c r="X106" s="358"/>
      <c r="Y106" s="358"/>
      <c r="Z106" s="358"/>
      <c r="AA106" s="639" t="str">
        <f>CONCATENATE(Camp_List[[#This Row],[Ethnicity]],"-",Camp_List[[#This Row],[Religion]])</f>
        <v>-</v>
      </c>
      <c r="AB106" s="639"/>
      <c r="AC106" s="358"/>
      <c r="AD106" s="641" t="s">
        <v>773</v>
      </c>
      <c r="AE106" s="358" t="s">
        <v>504</v>
      </c>
      <c r="AF106" s="358" t="s">
        <v>519</v>
      </c>
      <c r="AG106" s="290">
        <v>41520</v>
      </c>
      <c r="AH106" s="643" t="s">
        <v>1053</v>
      </c>
      <c r="AI106" s="639">
        <f>IFERROR(VLOOKUP(Camp_List[[#This Row],[Responsible Agency]],Organization_t[],3,0),"")</f>
        <v>0</v>
      </c>
      <c r="AJ106" s="646">
        <f>IF((SUMIFS(Data_Shelter_t[Coverage],Data_Shelter_t[Pcode],Camp_List[[#This Row],[P_Code]]))&gt;1,1,SUMIFS(Data_Shelter_t[Coverage],Data_Shelter_t[Pcode],Camp_List[[#This Row],[P_Code]]))</f>
        <v>0</v>
      </c>
      <c r="BL106" s="19"/>
      <c r="BM106" s="19"/>
      <c r="BP106" s="69"/>
      <c r="BQ106" s="69"/>
    </row>
    <row r="107" spans="1:69" ht="15" hidden="1" customHeight="1" x14ac:dyDescent="0.25">
      <c r="A107" s="358" t="s">
        <v>349</v>
      </c>
      <c r="B107" s="358" t="s">
        <v>7</v>
      </c>
      <c r="C107" s="358" t="s">
        <v>351</v>
      </c>
      <c r="D107" s="358" t="s">
        <v>19</v>
      </c>
      <c r="E107" s="358" t="s">
        <v>603</v>
      </c>
      <c r="F107" s="358" t="s">
        <v>19</v>
      </c>
      <c r="G107" s="358" t="s">
        <v>413</v>
      </c>
      <c r="H107" s="358" t="s">
        <v>419</v>
      </c>
      <c r="I107" s="358" t="s">
        <v>418</v>
      </c>
      <c r="J107" s="358"/>
      <c r="K107" s="358"/>
      <c r="L107" s="358" t="s">
        <v>550</v>
      </c>
      <c r="M107" s="358" t="s">
        <v>551</v>
      </c>
      <c r="N107" s="75">
        <v>92.816638999999995</v>
      </c>
      <c r="O107" s="75">
        <v>20.180194</v>
      </c>
      <c r="P107" s="358"/>
      <c r="Q107" s="872"/>
      <c r="R107" s="875"/>
      <c r="S107" s="885">
        <v>0</v>
      </c>
      <c r="T107" s="358" t="s">
        <v>343</v>
      </c>
      <c r="U107" s="358" t="s">
        <v>755</v>
      </c>
      <c r="V107" s="637" t="s">
        <v>22</v>
      </c>
      <c r="W107" s="638"/>
      <c r="X107" s="358"/>
      <c r="Y107" s="358"/>
      <c r="Z107" s="358"/>
      <c r="AA107" s="639" t="str">
        <f>CONCATENATE(Camp_List[[#This Row],[Ethnicity]],"-",Camp_List[[#This Row],[Religion]])</f>
        <v>-</v>
      </c>
      <c r="AB107" s="639"/>
      <c r="AC107" s="358"/>
      <c r="AD107" s="641" t="s">
        <v>773</v>
      </c>
      <c r="AE107" s="358" t="s">
        <v>504</v>
      </c>
      <c r="AF107" s="358" t="s">
        <v>519</v>
      </c>
      <c r="AG107" s="290">
        <v>41548</v>
      </c>
      <c r="AH107" s="643"/>
      <c r="AI107" s="639">
        <f>IFERROR(VLOOKUP(Camp_List[[#This Row],[Responsible Agency]],Organization_t[],3,0),"")</f>
        <v>0</v>
      </c>
      <c r="AJ107" s="646">
        <f>IF((SUMIFS(Data_Shelter_t[Coverage],Data_Shelter_t[Pcode],Camp_List[[#This Row],[P_Code]]))&gt;1,1,SUMIFS(Data_Shelter_t[Coverage],Data_Shelter_t[Pcode],Camp_List[[#This Row],[P_Code]]))</f>
        <v>0</v>
      </c>
      <c r="BL107" s="19"/>
      <c r="BM107" s="19"/>
      <c r="BP107" s="69"/>
      <c r="BQ107" s="69"/>
    </row>
    <row r="108" spans="1:69" ht="15" hidden="1" customHeight="1" x14ac:dyDescent="0.25">
      <c r="A108" s="358" t="s">
        <v>349</v>
      </c>
      <c r="B108" s="358" t="s">
        <v>7</v>
      </c>
      <c r="C108" s="358" t="s">
        <v>351</v>
      </c>
      <c r="D108" s="358" t="s">
        <v>19</v>
      </c>
      <c r="E108" s="358" t="s">
        <v>603</v>
      </c>
      <c r="F108" s="358" t="s">
        <v>19</v>
      </c>
      <c r="G108" s="358" t="s">
        <v>413</v>
      </c>
      <c r="H108" s="358" t="s">
        <v>417</v>
      </c>
      <c r="I108" s="358" t="s">
        <v>416</v>
      </c>
      <c r="J108" s="358" t="s">
        <v>502</v>
      </c>
      <c r="K108" s="358">
        <v>196207</v>
      </c>
      <c r="L108" s="358" t="s">
        <v>71</v>
      </c>
      <c r="M108" s="358" t="s">
        <v>159</v>
      </c>
      <c r="N108" s="75">
        <v>92.826407000000003</v>
      </c>
      <c r="O108" s="75">
        <v>20.175169</v>
      </c>
      <c r="P108" s="358"/>
      <c r="Q108" s="872"/>
      <c r="R108" s="875"/>
      <c r="S108" s="885">
        <v>0</v>
      </c>
      <c r="T108" s="358" t="s">
        <v>343</v>
      </c>
      <c r="U108" s="358" t="s">
        <v>755</v>
      </c>
      <c r="V108" s="637" t="s">
        <v>22</v>
      </c>
      <c r="W108" s="638"/>
      <c r="X108" s="358"/>
      <c r="Y108" s="358"/>
      <c r="Z108" s="358"/>
      <c r="AA108" s="639" t="str">
        <f>CONCATENATE(Camp_List[[#This Row],[Ethnicity]],"-",Camp_List[[#This Row],[Religion]])</f>
        <v>-</v>
      </c>
      <c r="AB108" s="639"/>
      <c r="AC108" s="358"/>
      <c r="AD108" s="641" t="s">
        <v>773</v>
      </c>
      <c r="AE108" s="358" t="s">
        <v>504</v>
      </c>
      <c r="AF108" s="358" t="s">
        <v>519</v>
      </c>
      <c r="AG108" s="290">
        <v>41520</v>
      </c>
      <c r="AH108" s="643" t="s">
        <v>1054</v>
      </c>
      <c r="AI108" s="639">
        <f>IFERROR(VLOOKUP(Camp_List[[#This Row],[Responsible Agency]],Organization_t[],3,0),"")</f>
        <v>0</v>
      </c>
      <c r="AJ108" s="646">
        <f>IF((SUMIFS(Data_Shelter_t[Coverage],Data_Shelter_t[Pcode],Camp_List[[#This Row],[P_Code]]))&gt;1,1,SUMIFS(Data_Shelter_t[Coverage],Data_Shelter_t[Pcode],Camp_List[[#This Row],[P_Code]]))</f>
        <v>0</v>
      </c>
      <c r="BL108" s="19"/>
      <c r="BM108" s="19"/>
      <c r="BP108" s="69"/>
      <c r="BQ108" s="69"/>
    </row>
    <row r="109" spans="1:69" ht="15" hidden="1" customHeight="1" x14ac:dyDescent="0.25">
      <c r="A109" s="358" t="s">
        <v>349</v>
      </c>
      <c r="B109" s="358" t="s">
        <v>7</v>
      </c>
      <c r="C109" s="358" t="s">
        <v>351</v>
      </c>
      <c r="D109" s="358" t="s">
        <v>19</v>
      </c>
      <c r="E109" s="358" t="s">
        <v>603</v>
      </c>
      <c r="F109" s="358" t="s">
        <v>19</v>
      </c>
      <c r="G109" s="358" t="s">
        <v>413</v>
      </c>
      <c r="H109" s="358" t="s">
        <v>427</v>
      </c>
      <c r="I109" s="358" t="s">
        <v>559</v>
      </c>
      <c r="J109" s="358"/>
      <c r="K109" s="358" t="s">
        <v>426</v>
      </c>
      <c r="L109" s="358" t="s">
        <v>75</v>
      </c>
      <c r="M109" s="358" t="s">
        <v>163</v>
      </c>
      <c r="N109" s="75">
        <v>92.886889999999994</v>
      </c>
      <c r="O109" s="75">
        <v>20.132694999999998</v>
      </c>
      <c r="P109" s="358"/>
      <c r="Q109" s="872"/>
      <c r="R109" s="875"/>
      <c r="S109" s="885">
        <v>0</v>
      </c>
      <c r="T109" s="358" t="s">
        <v>343</v>
      </c>
      <c r="U109" s="358" t="s">
        <v>755</v>
      </c>
      <c r="V109" s="637" t="s">
        <v>22</v>
      </c>
      <c r="W109" s="638"/>
      <c r="X109" s="358"/>
      <c r="Y109" s="358"/>
      <c r="Z109" s="358"/>
      <c r="AA109" s="639" t="str">
        <f>CONCATENATE(Camp_List[[#This Row],[Ethnicity]],"-",Camp_List[[#This Row],[Religion]])</f>
        <v>-</v>
      </c>
      <c r="AB109" s="639"/>
      <c r="AC109" s="358"/>
      <c r="AD109" s="641" t="s">
        <v>773</v>
      </c>
      <c r="AE109" s="358" t="s">
        <v>504</v>
      </c>
      <c r="AF109" s="358" t="s">
        <v>519</v>
      </c>
      <c r="AG109" s="290">
        <v>41520</v>
      </c>
      <c r="AH109" s="643" t="s">
        <v>1055</v>
      </c>
      <c r="AI109" s="639">
        <f>IFERROR(VLOOKUP(Camp_List[[#This Row],[Responsible Agency]],Organization_t[],3,0),"")</f>
        <v>0</v>
      </c>
      <c r="AJ109" s="646">
        <f>IF((SUMIFS(Data_Shelter_t[Coverage],Data_Shelter_t[Pcode],Camp_List[[#This Row],[P_Code]]))&gt;1,1,SUMIFS(Data_Shelter_t[Coverage],Data_Shelter_t[Pcode],Camp_List[[#This Row],[P_Code]]))</f>
        <v>0</v>
      </c>
      <c r="BL109" s="19"/>
      <c r="BM109" s="19"/>
      <c r="BP109" s="69"/>
      <c r="BQ109" s="69"/>
    </row>
    <row r="110" spans="1:69" ht="15" hidden="1" customHeight="1" x14ac:dyDescent="0.25">
      <c r="A110" s="358" t="s">
        <v>349</v>
      </c>
      <c r="B110" s="358" t="s">
        <v>7</v>
      </c>
      <c r="C110" s="358" t="s">
        <v>351</v>
      </c>
      <c r="D110" s="358" t="s">
        <v>19</v>
      </c>
      <c r="E110" s="358" t="s">
        <v>603</v>
      </c>
      <c r="F110" s="358" t="s">
        <v>19</v>
      </c>
      <c r="G110" s="358" t="s">
        <v>413</v>
      </c>
      <c r="H110" s="358" t="s">
        <v>428</v>
      </c>
      <c r="I110" s="358" t="s">
        <v>559</v>
      </c>
      <c r="J110" s="358"/>
      <c r="K110" s="358" t="s">
        <v>429</v>
      </c>
      <c r="L110" s="358" t="s">
        <v>76</v>
      </c>
      <c r="M110" s="358" t="s">
        <v>164</v>
      </c>
      <c r="N110" s="75">
        <v>92.860598999999993</v>
      </c>
      <c r="O110" s="75">
        <v>20.154343000000001</v>
      </c>
      <c r="P110" s="358"/>
      <c r="Q110" s="872"/>
      <c r="R110" s="875"/>
      <c r="S110" s="885">
        <v>0</v>
      </c>
      <c r="T110" s="358" t="s">
        <v>343</v>
      </c>
      <c r="U110" s="358" t="s">
        <v>755</v>
      </c>
      <c r="V110" s="637" t="s">
        <v>22</v>
      </c>
      <c r="W110" s="638"/>
      <c r="X110" s="358"/>
      <c r="Y110" s="358"/>
      <c r="Z110" s="358"/>
      <c r="AA110" s="639" t="str">
        <f>CONCATENATE(Camp_List[[#This Row],[Ethnicity]],"-",Camp_List[[#This Row],[Religion]])</f>
        <v>-</v>
      </c>
      <c r="AB110" s="639"/>
      <c r="AC110" s="358"/>
      <c r="AD110" s="641" t="s">
        <v>773</v>
      </c>
      <c r="AE110" s="358" t="s">
        <v>504</v>
      </c>
      <c r="AF110" s="358" t="s">
        <v>519</v>
      </c>
      <c r="AG110" s="290">
        <v>41520</v>
      </c>
      <c r="AH110" s="643" t="s">
        <v>1056</v>
      </c>
      <c r="AI110" s="639">
        <f>IFERROR(VLOOKUP(Camp_List[[#This Row],[Responsible Agency]],Organization_t[],3,0),"")</f>
        <v>0</v>
      </c>
      <c r="AJ110" s="646">
        <f>IF((SUMIFS(Data_Shelter_t[Coverage],Data_Shelter_t[Pcode],Camp_List[[#This Row],[P_Code]]))&gt;1,1,SUMIFS(Data_Shelter_t[Coverage],Data_Shelter_t[Pcode],Camp_List[[#This Row],[P_Code]]))</f>
        <v>0</v>
      </c>
      <c r="BL110" s="19"/>
      <c r="BM110" s="19"/>
      <c r="BP110" s="69"/>
      <c r="BQ110" s="69"/>
    </row>
    <row r="111" spans="1:69" ht="15" hidden="1" customHeight="1" x14ac:dyDescent="0.25">
      <c r="A111" s="358" t="s">
        <v>349</v>
      </c>
      <c r="B111" s="358" t="s">
        <v>7</v>
      </c>
      <c r="C111" s="358" t="s">
        <v>351</v>
      </c>
      <c r="D111" s="358" t="s">
        <v>19</v>
      </c>
      <c r="E111" s="358" t="s">
        <v>603</v>
      </c>
      <c r="F111" s="358" t="s">
        <v>19</v>
      </c>
      <c r="G111" s="358" t="s">
        <v>413</v>
      </c>
      <c r="H111" s="358" t="s">
        <v>419</v>
      </c>
      <c r="I111" s="358" t="s">
        <v>418</v>
      </c>
      <c r="J111" s="358" t="s">
        <v>496</v>
      </c>
      <c r="K111" s="358">
        <v>196192</v>
      </c>
      <c r="L111" s="358" t="s">
        <v>65</v>
      </c>
      <c r="M111" s="358" t="s">
        <v>153</v>
      </c>
      <c r="N111" s="75">
        <v>92.798676999999998</v>
      </c>
      <c r="O111" s="75">
        <v>20.187750999999999</v>
      </c>
      <c r="P111" s="358"/>
      <c r="Q111" s="872"/>
      <c r="R111" s="875"/>
      <c r="S111" s="885">
        <v>0</v>
      </c>
      <c r="T111" s="358" t="s">
        <v>343</v>
      </c>
      <c r="U111" s="358" t="s">
        <v>755</v>
      </c>
      <c r="V111" s="637" t="s">
        <v>22</v>
      </c>
      <c r="W111" s="638"/>
      <c r="X111" s="358"/>
      <c r="Y111" s="358"/>
      <c r="Z111" s="358"/>
      <c r="AA111" s="639" t="str">
        <f>CONCATENATE(Camp_List[[#This Row],[Ethnicity]],"-",Camp_List[[#This Row],[Religion]])</f>
        <v>-</v>
      </c>
      <c r="AB111" s="639"/>
      <c r="AC111" s="358"/>
      <c r="AD111" s="641" t="s">
        <v>773</v>
      </c>
      <c r="AE111" s="358" t="s">
        <v>504</v>
      </c>
      <c r="AF111" s="358" t="s">
        <v>519</v>
      </c>
      <c r="AG111" s="290">
        <v>41548</v>
      </c>
      <c r="AH111" s="643" t="s">
        <v>1057</v>
      </c>
      <c r="AI111" s="639">
        <f>IFERROR(VLOOKUP(Camp_List[[#This Row],[Responsible Agency]],Organization_t[],3,0),"")</f>
        <v>0</v>
      </c>
      <c r="AJ111" s="646">
        <f>IF((SUMIFS(Data_Shelter_t[Coverage],Data_Shelter_t[Pcode],Camp_List[[#This Row],[P_Code]]))&gt;1,1,SUMIFS(Data_Shelter_t[Coverage],Data_Shelter_t[Pcode],Camp_List[[#This Row],[P_Code]]))</f>
        <v>0</v>
      </c>
      <c r="BL111" s="19"/>
      <c r="BM111" s="19"/>
      <c r="BP111" s="69"/>
      <c r="BQ111" s="69"/>
    </row>
    <row r="112" spans="1:69" ht="15" hidden="1" customHeight="1" x14ac:dyDescent="0.25">
      <c r="A112" s="358" t="s">
        <v>349</v>
      </c>
      <c r="B112" s="358" t="s">
        <v>7</v>
      </c>
      <c r="C112" s="358" t="s">
        <v>351</v>
      </c>
      <c r="D112" s="358" t="s">
        <v>19</v>
      </c>
      <c r="E112" s="358" t="s">
        <v>603</v>
      </c>
      <c r="F112" s="358" t="s">
        <v>19</v>
      </c>
      <c r="G112" s="358" t="s">
        <v>413</v>
      </c>
      <c r="H112" s="358" t="s">
        <v>419</v>
      </c>
      <c r="I112" s="358" t="s">
        <v>418</v>
      </c>
      <c r="J112" s="358" t="s">
        <v>496</v>
      </c>
      <c r="K112" s="358">
        <v>196192</v>
      </c>
      <c r="L112" s="358" t="s">
        <v>244</v>
      </c>
      <c r="M112" s="358" t="s">
        <v>279</v>
      </c>
      <c r="N112" s="75">
        <v>92.800693999999993</v>
      </c>
      <c r="O112" s="75">
        <v>20.190055999999998</v>
      </c>
      <c r="P112" s="358"/>
      <c r="Q112" s="872"/>
      <c r="R112" s="875"/>
      <c r="S112" s="885">
        <v>0</v>
      </c>
      <c r="T112" s="358" t="s">
        <v>343</v>
      </c>
      <c r="U112" s="358" t="s">
        <v>755</v>
      </c>
      <c r="V112" s="637" t="s">
        <v>22</v>
      </c>
      <c r="W112" s="638"/>
      <c r="X112" s="358"/>
      <c r="Y112" s="358"/>
      <c r="Z112" s="358"/>
      <c r="AA112" s="639" t="str">
        <f>CONCATENATE(Camp_List[[#This Row],[Ethnicity]],"-",Camp_List[[#This Row],[Religion]])</f>
        <v>-</v>
      </c>
      <c r="AB112" s="639"/>
      <c r="AC112" s="358"/>
      <c r="AD112" s="641" t="s">
        <v>773</v>
      </c>
      <c r="AE112" s="358" t="s">
        <v>504</v>
      </c>
      <c r="AF112" s="358" t="s">
        <v>519</v>
      </c>
      <c r="AG112" s="290">
        <v>41548</v>
      </c>
      <c r="AH112" s="643" t="s">
        <v>1058</v>
      </c>
      <c r="AI112" s="639">
        <f>IFERROR(VLOOKUP(Camp_List[[#This Row],[Responsible Agency]],Organization_t[],3,0),"")</f>
        <v>0</v>
      </c>
      <c r="AJ112" s="646">
        <f>IF((SUMIFS(Data_Shelter_t[Coverage],Data_Shelter_t[Pcode],Camp_List[[#This Row],[P_Code]]))&gt;1,1,SUMIFS(Data_Shelter_t[Coverage],Data_Shelter_t[Pcode],Camp_List[[#This Row],[P_Code]]))</f>
        <v>0</v>
      </c>
      <c r="BL112" s="19"/>
      <c r="BM112" s="19"/>
      <c r="BP112" s="69"/>
      <c r="BQ112" s="69"/>
    </row>
    <row r="113" spans="1:69" ht="15" hidden="1" customHeight="1" x14ac:dyDescent="0.25">
      <c r="A113" s="358" t="s">
        <v>349</v>
      </c>
      <c r="B113" s="358" t="s">
        <v>7</v>
      </c>
      <c r="C113" s="358" t="s">
        <v>351</v>
      </c>
      <c r="D113" s="358" t="s">
        <v>19</v>
      </c>
      <c r="E113" s="358" t="s">
        <v>603</v>
      </c>
      <c r="F113" s="358" t="s">
        <v>19</v>
      </c>
      <c r="G113" s="358" t="s">
        <v>413</v>
      </c>
      <c r="H113" s="358" t="s">
        <v>419</v>
      </c>
      <c r="I113" s="358" t="s">
        <v>418</v>
      </c>
      <c r="J113" s="358" t="s">
        <v>496</v>
      </c>
      <c r="K113" s="358">
        <v>196192</v>
      </c>
      <c r="L113" s="358" t="s">
        <v>275</v>
      </c>
      <c r="M113" s="358" t="s">
        <v>546</v>
      </c>
      <c r="N113" s="75">
        <v>92.800528</v>
      </c>
      <c r="O113" s="75">
        <v>20.185583000000001</v>
      </c>
      <c r="P113" s="358"/>
      <c r="Q113" s="872"/>
      <c r="R113" s="875"/>
      <c r="S113" s="885">
        <v>0</v>
      </c>
      <c r="T113" s="358" t="s">
        <v>343</v>
      </c>
      <c r="U113" s="358" t="s">
        <v>755</v>
      </c>
      <c r="V113" s="637" t="s">
        <v>22</v>
      </c>
      <c r="W113" s="638"/>
      <c r="X113" s="358"/>
      <c r="Y113" s="358"/>
      <c r="Z113" s="358"/>
      <c r="AA113" s="639" t="str">
        <f>CONCATENATE(Camp_List[[#This Row],[Ethnicity]],"-",Camp_List[[#This Row],[Religion]])</f>
        <v>-</v>
      </c>
      <c r="AB113" s="639"/>
      <c r="AC113" s="358"/>
      <c r="AD113" s="641" t="s">
        <v>773</v>
      </c>
      <c r="AE113" s="358" t="s">
        <v>504</v>
      </c>
      <c r="AF113" s="358" t="s">
        <v>519</v>
      </c>
      <c r="AG113" s="290">
        <v>41548</v>
      </c>
      <c r="AH113" s="643" t="s">
        <v>1059</v>
      </c>
      <c r="AI113" s="639">
        <f>IFERROR(VLOOKUP(Camp_List[[#This Row],[Responsible Agency]],Organization_t[],3,0),"")</f>
        <v>0</v>
      </c>
      <c r="AJ113" s="646">
        <f>IF((SUMIFS(Data_Shelter_t[Coverage],Data_Shelter_t[Pcode],Camp_List[[#This Row],[P_Code]]))&gt;1,1,SUMIFS(Data_Shelter_t[Coverage],Data_Shelter_t[Pcode],Camp_List[[#This Row],[P_Code]]))</f>
        <v>0</v>
      </c>
      <c r="BL113" s="19"/>
      <c r="BM113" s="19"/>
      <c r="BP113" s="69"/>
      <c r="BQ113" s="69"/>
    </row>
    <row r="114" spans="1:69" ht="15" hidden="1" customHeight="1" x14ac:dyDescent="0.25">
      <c r="A114" s="358" t="s">
        <v>349</v>
      </c>
      <c r="B114" s="358" t="s">
        <v>7</v>
      </c>
      <c r="C114" s="358" t="s">
        <v>351</v>
      </c>
      <c r="D114" s="358" t="s">
        <v>19</v>
      </c>
      <c r="E114" s="358" t="s">
        <v>603</v>
      </c>
      <c r="F114" s="358" t="s">
        <v>19</v>
      </c>
      <c r="G114" s="358" t="s">
        <v>413</v>
      </c>
      <c r="H114" s="358" t="s">
        <v>419</v>
      </c>
      <c r="I114" s="358" t="s">
        <v>418</v>
      </c>
      <c r="J114" s="358" t="s">
        <v>496</v>
      </c>
      <c r="K114" s="358">
        <v>196192</v>
      </c>
      <c r="L114" s="358" t="s">
        <v>276</v>
      </c>
      <c r="M114" s="358" t="s">
        <v>547</v>
      </c>
      <c r="N114" s="75">
        <v>92.799861000000007</v>
      </c>
      <c r="O114" s="75">
        <v>20.185193999999999</v>
      </c>
      <c r="P114" s="358"/>
      <c r="Q114" s="872"/>
      <c r="R114" s="875"/>
      <c r="S114" s="885">
        <v>0</v>
      </c>
      <c r="T114" s="358" t="s">
        <v>343</v>
      </c>
      <c r="U114" s="358" t="s">
        <v>755</v>
      </c>
      <c r="V114" s="637" t="s">
        <v>22</v>
      </c>
      <c r="W114" s="638"/>
      <c r="X114" s="358"/>
      <c r="Y114" s="358"/>
      <c r="Z114" s="358"/>
      <c r="AA114" s="639" t="str">
        <f>CONCATENATE(Camp_List[[#This Row],[Ethnicity]],"-",Camp_List[[#This Row],[Religion]])</f>
        <v>-</v>
      </c>
      <c r="AB114" s="639"/>
      <c r="AC114" s="358"/>
      <c r="AD114" s="641" t="s">
        <v>773</v>
      </c>
      <c r="AE114" s="358" t="s">
        <v>504</v>
      </c>
      <c r="AF114" s="358" t="s">
        <v>519</v>
      </c>
      <c r="AG114" s="290">
        <v>41548</v>
      </c>
      <c r="AH114" s="643" t="s">
        <v>1060</v>
      </c>
      <c r="AI114" s="639">
        <f>IFERROR(VLOOKUP(Camp_List[[#This Row],[Responsible Agency]],Organization_t[],3,0),"")</f>
        <v>0</v>
      </c>
      <c r="AJ114" s="646">
        <f>IF((SUMIFS(Data_Shelter_t[Coverage],Data_Shelter_t[Pcode],Camp_List[[#This Row],[P_Code]]))&gt;1,1,SUMIFS(Data_Shelter_t[Coverage],Data_Shelter_t[Pcode],Camp_List[[#This Row],[P_Code]]))</f>
        <v>0</v>
      </c>
      <c r="BL114" s="19"/>
      <c r="BM114" s="19"/>
      <c r="BP114" s="69"/>
      <c r="BQ114" s="69"/>
    </row>
    <row r="115" spans="1:69" ht="15" hidden="1" customHeight="1" x14ac:dyDescent="0.25">
      <c r="A115" s="358" t="s">
        <v>349</v>
      </c>
      <c r="B115" s="358" t="s">
        <v>7</v>
      </c>
      <c r="C115" s="358" t="s">
        <v>351</v>
      </c>
      <c r="D115" s="358" t="s">
        <v>19</v>
      </c>
      <c r="E115" s="358" t="s">
        <v>603</v>
      </c>
      <c r="F115" s="358" t="s">
        <v>19</v>
      </c>
      <c r="G115" s="358" t="s">
        <v>413</v>
      </c>
      <c r="H115" s="358" t="s">
        <v>421</v>
      </c>
      <c r="I115" s="358" t="s">
        <v>420</v>
      </c>
      <c r="J115" s="358" t="s">
        <v>500</v>
      </c>
      <c r="K115" s="358">
        <v>196157</v>
      </c>
      <c r="L115" s="358" t="s">
        <v>66</v>
      </c>
      <c r="M115" s="358" t="s">
        <v>154</v>
      </c>
      <c r="N115" s="75">
        <v>92.788177000000005</v>
      </c>
      <c r="O115" s="75">
        <v>20.207284999999999</v>
      </c>
      <c r="P115" s="358"/>
      <c r="Q115" s="872"/>
      <c r="R115" s="875"/>
      <c r="S115" s="885">
        <v>0</v>
      </c>
      <c r="T115" s="358" t="s">
        <v>343</v>
      </c>
      <c r="U115" s="358" t="s">
        <v>755</v>
      </c>
      <c r="V115" s="637" t="s">
        <v>22</v>
      </c>
      <c r="W115" s="638"/>
      <c r="X115" s="358"/>
      <c r="Y115" s="358"/>
      <c r="Z115" s="358"/>
      <c r="AA115" s="639" t="str">
        <f>CONCATENATE(Camp_List[[#This Row],[Ethnicity]],"-",Camp_List[[#This Row],[Religion]])</f>
        <v>-</v>
      </c>
      <c r="AB115" s="639"/>
      <c r="AC115" s="358"/>
      <c r="AD115" s="641" t="s">
        <v>773</v>
      </c>
      <c r="AE115" s="358" t="s">
        <v>504</v>
      </c>
      <c r="AF115" s="358" t="s">
        <v>519</v>
      </c>
      <c r="AG115" s="290">
        <v>41548</v>
      </c>
      <c r="AH115" s="643" t="s">
        <v>1061</v>
      </c>
      <c r="AI115" s="639">
        <f>IFERROR(VLOOKUP(Camp_List[[#This Row],[Responsible Agency]],Organization_t[],3,0),"")</f>
        <v>0</v>
      </c>
      <c r="AJ115" s="646">
        <f>IF((SUMIFS(Data_Shelter_t[Coverage],Data_Shelter_t[Pcode],Camp_List[[#This Row],[P_Code]]))&gt;1,1,SUMIFS(Data_Shelter_t[Coverage],Data_Shelter_t[Pcode],Camp_List[[#This Row],[P_Code]]))</f>
        <v>0</v>
      </c>
      <c r="BL115" s="19"/>
      <c r="BM115" s="19"/>
      <c r="BP115" s="69"/>
      <c r="BQ115" s="69"/>
    </row>
    <row r="116" spans="1:69" ht="15" hidden="1" customHeight="1" x14ac:dyDescent="0.25">
      <c r="A116" s="358" t="s">
        <v>349</v>
      </c>
      <c r="B116" s="358" t="s">
        <v>7</v>
      </c>
      <c r="C116" s="358" t="s">
        <v>351</v>
      </c>
      <c r="D116" s="358" t="s">
        <v>19</v>
      </c>
      <c r="E116" s="358" t="s">
        <v>603</v>
      </c>
      <c r="F116" s="358" t="s">
        <v>19</v>
      </c>
      <c r="G116" s="358" t="s">
        <v>413</v>
      </c>
      <c r="H116" s="358" t="s">
        <v>417</v>
      </c>
      <c r="I116" s="358" t="s">
        <v>416</v>
      </c>
      <c r="J116" s="358" t="s">
        <v>499</v>
      </c>
      <c r="K116" s="358">
        <v>196209</v>
      </c>
      <c r="L116" s="358" t="s">
        <v>73</v>
      </c>
      <c r="M116" s="358" t="s">
        <v>161</v>
      </c>
      <c r="N116" s="75">
        <v>92.847966999999997</v>
      </c>
      <c r="O116" s="75">
        <v>20.147107999999999</v>
      </c>
      <c r="P116" s="358"/>
      <c r="Q116" s="872"/>
      <c r="R116" s="875"/>
      <c r="S116" s="885">
        <v>0</v>
      </c>
      <c r="T116" s="358" t="s">
        <v>343</v>
      </c>
      <c r="U116" s="358" t="s">
        <v>755</v>
      </c>
      <c r="V116" s="637" t="s">
        <v>23</v>
      </c>
      <c r="W116" s="638"/>
      <c r="X116" s="358"/>
      <c r="Y116" s="358"/>
      <c r="Z116" s="358"/>
      <c r="AA116" s="639" t="str">
        <f>CONCATENATE(Camp_List[[#This Row],[Ethnicity]],"-",Camp_List[[#This Row],[Religion]])</f>
        <v>-</v>
      </c>
      <c r="AB116" s="639"/>
      <c r="AC116" s="358"/>
      <c r="AD116" s="641" t="s">
        <v>773</v>
      </c>
      <c r="AE116" s="358" t="s">
        <v>504</v>
      </c>
      <c r="AF116" s="358" t="s">
        <v>519</v>
      </c>
      <c r="AG116" s="290">
        <v>41520</v>
      </c>
      <c r="AH116" s="643" t="s">
        <v>1062</v>
      </c>
      <c r="AI116" s="639">
        <f>IFERROR(VLOOKUP(Camp_List[[#This Row],[Responsible Agency]],Organization_t[],3,0),"")</f>
        <v>0</v>
      </c>
      <c r="AJ116" s="646">
        <f>IF((SUMIFS(Data_Shelter_t[Coverage],Data_Shelter_t[Pcode],Camp_List[[#This Row],[P_Code]]))&gt;1,1,SUMIFS(Data_Shelter_t[Coverage],Data_Shelter_t[Pcode],Camp_List[[#This Row],[P_Code]]))</f>
        <v>0</v>
      </c>
      <c r="BL116" s="19"/>
      <c r="BM116" s="19"/>
      <c r="BP116" s="69"/>
      <c r="BQ116" s="69"/>
    </row>
    <row r="117" spans="1:69" ht="15" hidden="1" customHeight="1" x14ac:dyDescent="0.25">
      <c r="A117" s="358" t="s">
        <v>349</v>
      </c>
      <c r="B117" s="358" t="s">
        <v>7</v>
      </c>
      <c r="C117" s="358" t="s">
        <v>351</v>
      </c>
      <c r="D117" s="358" t="s">
        <v>19</v>
      </c>
      <c r="E117" s="358" t="s">
        <v>603</v>
      </c>
      <c r="F117" s="358" t="s">
        <v>19</v>
      </c>
      <c r="G117" s="358" t="s">
        <v>413</v>
      </c>
      <c r="H117" s="358" t="s">
        <v>417</v>
      </c>
      <c r="I117" s="358" t="s">
        <v>416</v>
      </c>
      <c r="J117" s="358" t="s">
        <v>503</v>
      </c>
      <c r="K117" s="358">
        <v>196216</v>
      </c>
      <c r="L117" s="358" t="s">
        <v>74</v>
      </c>
      <c r="M117" s="358" t="s">
        <v>162</v>
      </c>
      <c r="N117" s="75">
        <v>92.848348000000001</v>
      </c>
      <c r="O117" s="75">
        <v>20.133385000000001</v>
      </c>
      <c r="P117" s="358"/>
      <c r="Q117" s="872"/>
      <c r="R117" s="875"/>
      <c r="S117" s="885">
        <v>0</v>
      </c>
      <c r="T117" s="358" t="s">
        <v>343</v>
      </c>
      <c r="U117" s="358" t="s">
        <v>755</v>
      </c>
      <c r="V117" s="637" t="s">
        <v>23</v>
      </c>
      <c r="W117" s="638"/>
      <c r="X117" s="358"/>
      <c r="Y117" s="358"/>
      <c r="Z117" s="358"/>
      <c r="AA117" s="639" t="str">
        <f>CONCATENATE(Camp_List[[#This Row],[Ethnicity]],"-",Camp_List[[#This Row],[Religion]])</f>
        <v>-</v>
      </c>
      <c r="AB117" s="639"/>
      <c r="AC117" s="358"/>
      <c r="AD117" s="641" t="s">
        <v>773</v>
      </c>
      <c r="AE117" s="358" t="s">
        <v>504</v>
      </c>
      <c r="AF117" s="358" t="s">
        <v>519</v>
      </c>
      <c r="AG117" s="290">
        <v>41520</v>
      </c>
      <c r="AH117" s="643"/>
      <c r="AI117" s="639">
        <f>IFERROR(VLOOKUP(Camp_List[[#This Row],[Responsible Agency]],Organization_t[],3,0),"")</f>
        <v>0</v>
      </c>
      <c r="AJ117" s="646">
        <f>IF((SUMIFS(Data_Shelter_t[Coverage],Data_Shelter_t[Pcode],Camp_List[[#This Row],[P_Code]]))&gt;1,1,SUMIFS(Data_Shelter_t[Coverage],Data_Shelter_t[Pcode],Camp_List[[#This Row],[P_Code]]))</f>
        <v>0</v>
      </c>
      <c r="BL117" s="19"/>
      <c r="BM117" s="19"/>
      <c r="BP117" s="69"/>
      <c r="BQ117" s="69"/>
    </row>
    <row r="118" spans="1:69" ht="15" hidden="1" customHeight="1" x14ac:dyDescent="0.25">
      <c r="A118" s="358" t="s">
        <v>349</v>
      </c>
      <c r="B118" s="358" t="s">
        <v>7</v>
      </c>
      <c r="C118" s="358" t="s">
        <v>351</v>
      </c>
      <c r="D118" s="358" t="s">
        <v>19</v>
      </c>
      <c r="E118" s="358" t="s">
        <v>603</v>
      </c>
      <c r="F118" s="358" t="s">
        <v>19</v>
      </c>
      <c r="G118" s="358" t="s">
        <v>413</v>
      </c>
      <c r="H118" s="358" t="s">
        <v>415</v>
      </c>
      <c r="I118" s="358" t="s">
        <v>414</v>
      </c>
      <c r="J118" s="358" t="s">
        <v>67</v>
      </c>
      <c r="K118" s="358">
        <v>196154</v>
      </c>
      <c r="L118" s="358" t="s">
        <v>72</v>
      </c>
      <c r="M118" s="358" t="s">
        <v>160</v>
      </c>
      <c r="N118" s="75">
        <v>92.792958999999996</v>
      </c>
      <c r="O118" s="75">
        <v>20.205295</v>
      </c>
      <c r="P118" s="358"/>
      <c r="Q118" s="872"/>
      <c r="R118" s="875"/>
      <c r="S118" s="885">
        <v>0</v>
      </c>
      <c r="T118" s="358" t="s">
        <v>343</v>
      </c>
      <c r="U118" s="358" t="s">
        <v>755</v>
      </c>
      <c r="V118" s="637" t="s">
        <v>23</v>
      </c>
      <c r="W118" s="638"/>
      <c r="X118" s="358"/>
      <c r="Y118" s="358"/>
      <c r="Z118" s="358"/>
      <c r="AA118" s="639" t="str">
        <f>CONCATENATE(Camp_List[[#This Row],[Ethnicity]],"-",Camp_List[[#This Row],[Religion]])</f>
        <v>-</v>
      </c>
      <c r="AB118" s="639"/>
      <c r="AC118" s="358"/>
      <c r="AD118" s="641" t="s">
        <v>773</v>
      </c>
      <c r="AE118" s="358" t="s">
        <v>504</v>
      </c>
      <c r="AF118" s="358" t="s">
        <v>519</v>
      </c>
      <c r="AG118" s="290">
        <v>41520</v>
      </c>
      <c r="AH118" s="643" t="s">
        <v>1063</v>
      </c>
      <c r="AI118" s="639">
        <f>IFERROR(VLOOKUP(Camp_List[[#This Row],[Responsible Agency]],Organization_t[],3,0),"")</f>
        <v>0</v>
      </c>
      <c r="AJ118" s="646">
        <f>IF((SUMIFS(Data_Shelter_t[Coverage],Data_Shelter_t[Pcode],Camp_List[[#This Row],[P_Code]]))&gt;1,1,SUMIFS(Data_Shelter_t[Coverage],Data_Shelter_t[Pcode],Camp_List[[#This Row],[P_Code]]))</f>
        <v>0</v>
      </c>
      <c r="BL118" s="19"/>
      <c r="BM118" s="19"/>
      <c r="BP118" s="69"/>
      <c r="BQ118" s="69"/>
    </row>
    <row r="119" spans="1:69" ht="15" hidden="1" customHeight="1" x14ac:dyDescent="0.25">
      <c r="A119" s="358" t="s">
        <v>349</v>
      </c>
      <c r="B119" s="358" t="s">
        <v>7</v>
      </c>
      <c r="C119" s="358" t="s">
        <v>351</v>
      </c>
      <c r="D119" s="358" t="s">
        <v>19</v>
      </c>
      <c r="E119" s="358" t="s">
        <v>603</v>
      </c>
      <c r="F119" s="358" t="s">
        <v>19</v>
      </c>
      <c r="G119" s="358" t="s">
        <v>413</v>
      </c>
      <c r="H119" s="358" t="s">
        <v>512</v>
      </c>
      <c r="I119" s="358" t="s">
        <v>559</v>
      </c>
      <c r="J119" s="358" t="s">
        <v>560</v>
      </c>
      <c r="K119" s="358" t="s">
        <v>561</v>
      </c>
      <c r="L119" s="358" t="s">
        <v>562</v>
      </c>
      <c r="M119" s="358" t="s">
        <v>563</v>
      </c>
      <c r="N119" s="75">
        <v>92.887277999999995</v>
      </c>
      <c r="O119" s="75">
        <v>20.151471999999998</v>
      </c>
      <c r="P119" s="358"/>
      <c r="Q119" s="872"/>
      <c r="R119" s="875"/>
      <c r="S119" s="885">
        <v>0</v>
      </c>
      <c r="T119" s="358" t="s">
        <v>343</v>
      </c>
      <c r="U119" s="358" t="s">
        <v>755</v>
      </c>
      <c r="V119" s="637" t="s">
        <v>23</v>
      </c>
      <c r="W119" s="638"/>
      <c r="X119" s="358"/>
      <c r="Y119" s="358"/>
      <c r="Z119" s="358"/>
      <c r="AA119" s="639" t="str">
        <f>CONCATENATE(Camp_List[[#This Row],[Ethnicity]],"-",Camp_List[[#This Row],[Religion]])</f>
        <v>-</v>
      </c>
      <c r="AB119" s="639"/>
      <c r="AC119" s="358"/>
      <c r="AD119" s="641" t="s">
        <v>773</v>
      </c>
      <c r="AE119" s="358" t="s">
        <v>504</v>
      </c>
      <c r="AF119" s="358" t="s">
        <v>519</v>
      </c>
      <c r="AG119" s="290">
        <v>41548</v>
      </c>
      <c r="AH119" s="643" t="s">
        <v>1064</v>
      </c>
      <c r="AI119" s="639">
        <f>IFERROR(VLOOKUP(Camp_List[[#This Row],[Responsible Agency]],Organization_t[],3,0),"")</f>
        <v>0</v>
      </c>
      <c r="AJ119" s="646">
        <f>IF((SUMIFS(Data_Shelter_t[Coverage],Data_Shelter_t[Pcode],Camp_List[[#This Row],[P_Code]]))&gt;1,1,SUMIFS(Data_Shelter_t[Coverage],Data_Shelter_t[Pcode],Camp_List[[#This Row],[P_Code]]))</f>
        <v>0</v>
      </c>
      <c r="BL119" s="19"/>
      <c r="BM119" s="19"/>
      <c r="BP119" s="69"/>
      <c r="BQ119" s="69"/>
    </row>
    <row r="120" spans="1:69" ht="15" hidden="1" customHeight="1" x14ac:dyDescent="0.25">
      <c r="A120" s="358" t="s">
        <v>654</v>
      </c>
      <c r="B120" s="358" t="s">
        <v>7</v>
      </c>
      <c r="C120" s="358" t="s">
        <v>351</v>
      </c>
      <c r="D120" s="358" t="s">
        <v>19</v>
      </c>
      <c r="E120" s="358" t="s">
        <v>603</v>
      </c>
      <c r="F120" s="358" t="s">
        <v>19</v>
      </c>
      <c r="G120" s="358" t="s">
        <v>413</v>
      </c>
      <c r="H120" s="358" t="s">
        <v>417</v>
      </c>
      <c r="I120" s="358" t="s">
        <v>416</v>
      </c>
      <c r="J120" s="358" t="s">
        <v>495</v>
      </c>
      <c r="K120" s="358">
        <v>196211</v>
      </c>
      <c r="L120" s="358" t="s">
        <v>69</v>
      </c>
      <c r="M120" s="358" t="s">
        <v>157</v>
      </c>
      <c r="N120" s="75">
        <v>92.837576999999996</v>
      </c>
      <c r="O120" s="75">
        <v>20.156842000000001</v>
      </c>
      <c r="P120" s="358"/>
      <c r="Q120" s="872"/>
      <c r="R120" s="875"/>
      <c r="S120" s="885">
        <v>0</v>
      </c>
      <c r="T120" s="358" t="s">
        <v>343</v>
      </c>
      <c r="U120" s="358" t="s">
        <v>755</v>
      </c>
      <c r="V120" s="637" t="s">
        <v>23</v>
      </c>
      <c r="W120" s="638"/>
      <c r="X120" s="358"/>
      <c r="Y120" s="358"/>
      <c r="Z120" s="358"/>
      <c r="AA120" s="639" t="str">
        <f>CONCATENATE(Camp_List[[#This Row],[Ethnicity]],"-",Camp_List[[#This Row],[Religion]])</f>
        <v>-</v>
      </c>
      <c r="AB120" s="639"/>
      <c r="AC120" s="358"/>
      <c r="AD120" s="641" t="s">
        <v>773</v>
      </c>
      <c r="AE120" s="358" t="s">
        <v>504</v>
      </c>
      <c r="AF120" s="358" t="s">
        <v>519</v>
      </c>
      <c r="AG120" s="290">
        <v>41579</v>
      </c>
      <c r="AH120" s="643" t="s">
        <v>1065</v>
      </c>
      <c r="AI120" s="639">
        <f>IFERROR(VLOOKUP(Camp_List[[#This Row],[Responsible Agency]],Organization_t[],3,0),"")</f>
        <v>0</v>
      </c>
      <c r="AJ120" s="646">
        <f>IF((SUMIFS(Data_Shelter_t[Coverage],Data_Shelter_t[Pcode],Camp_List[[#This Row],[P_Code]]))&gt;1,1,SUMIFS(Data_Shelter_t[Coverage],Data_Shelter_t[Pcode],Camp_List[[#This Row],[P_Code]]))</f>
        <v>0</v>
      </c>
      <c r="BL120" s="19"/>
      <c r="BM120" s="19"/>
      <c r="BP120" s="69"/>
      <c r="BQ120" s="69"/>
    </row>
    <row r="121" spans="1:69" ht="15" hidden="1" customHeight="1" x14ac:dyDescent="0.25">
      <c r="A121" s="358" t="s">
        <v>349</v>
      </c>
      <c r="B121" s="358" t="s">
        <v>7</v>
      </c>
      <c r="C121" s="358" t="s">
        <v>351</v>
      </c>
      <c r="D121" s="358" t="s">
        <v>19</v>
      </c>
      <c r="E121" s="358" t="s">
        <v>603</v>
      </c>
      <c r="F121" s="358" t="s">
        <v>19</v>
      </c>
      <c r="G121" s="358" t="s">
        <v>413</v>
      </c>
      <c r="H121" s="358" t="s">
        <v>417</v>
      </c>
      <c r="I121" s="358" t="s">
        <v>416</v>
      </c>
      <c r="J121" s="358" t="s">
        <v>495</v>
      </c>
      <c r="K121" s="358">
        <v>196211</v>
      </c>
      <c r="L121" s="358" t="s">
        <v>548</v>
      </c>
      <c r="M121" s="358" t="s">
        <v>549</v>
      </c>
      <c r="N121" s="75">
        <v>92.839166000000006</v>
      </c>
      <c r="O121" s="75">
        <v>20.157311</v>
      </c>
      <c r="P121" s="358"/>
      <c r="Q121" s="873"/>
      <c r="R121" s="876"/>
      <c r="S121" s="885"/>
      <c r="T121" s="358" t="s">
        <v>343</v>
      </c>
      <c r="U121" s="358" t="s">
        <v>755</v>
      </c>
      <c r="V121" s="637" t="s">
        <v>808</v>
      </c>
      <c r="W121" s="638"/>
      <c r="X121" s="358"/>
      <c r="Y121" s="358"/>
      <c r="Z121" s="358"/>
      <c r="AA121" s="639"/>
      <c r="AB121" s="639"/>
      <c r="AC121" s="358"/>
      <c r="AD121" s="641"/>
      <c r="AE121" s="358"/>
      <c r="AF121" s="358"/>
      <c r="AG121" s="290">
        <v>42278</v>
      </c>
      <c r="AH121" s="643" t="s">
        <v>868</v>
      </c>
      <c r="AI121" s="639" t="str">
        <f>IFERROR(VLOOKUP(Camp_List[[#This Row],[Responsible Agency]],Organization_t[],3,0),"")</f>
        <v/>
      </c>
      <c r="AJ121" s="646">
        <f>IF((SUMIFS(Data_Shelter_t[Coverage],Data_Shelter_t[Pcode],Camp_List[[#This Row],[P_Code]]))&gt;1,1,SUMIFS(Data_Shelter_t[Coverage],Data_Shelter_t[Pcode],Camp_List[[#This Row],[P_Code]]))</f>
        <v>0</v>
      </c>
      <c r="BL121" s="19"/>
      <c r="BM121" s="19"/>
      <c r="BP121" s="69"/>
      <c r="BQ121" s="69"/>
    </row>
    <row r="122" spans="1:69" hidden="1" x14ac:dyDescent="0.25">
      <c r="A122" s="75"/>
      <c r="B122" s="75"/>
      <c r="C122" s="75"/>
      <c r="D122" s="75"/>
      <c r="E122" s="75"/>
      <c r="F122" s="75"/>
      <c r="G122" s="75"/>
      <c r="H122" s="75"/>
      <c r="I122" s="75"/>
      <c r="J122" s="75"/>
      <c r="K122" s="75"/>
      <c r="L122" s="358"/>
      <c r="M122" s="75"/>
      <c r="N122" s="75"/>
      <c r="O122" s="75"/>
      <c r="P122" s="75"/>
      <c r="Q122" s="288"/>
      <c r="R122" s="867"/>
      <c r="S122" s="885"/>
      <c r="T122" s="637"/>
      <c r="U122" s="75"/>
      <c r="V122" s="692"/>
      <c r="W122" s="693"/>
      <c r="X122" s="75"/>
      <c r="Y122" s="75"/>
      <c r="Z122" s="75"/>
      <c r="AA122" s="639" t="str">
        <f>CONCATENATE(Camp_List[[#This Row],[Ethnicity]],"-",Camp_List[[#This Row],[Religion]])</f>
        <v>-</v>
      </c>
      <c r="AB122" s="639"/>
      <c r="AC122" s="641"/>
      <c r="AD122" s="641"/>
      <c r="AE122" s="693"/>
      <c r="AF122" s="75"/>
      <c r="AG122" s="694"/>
      <c r="AH122" s="639"/>
      <c r="AI122" s="695" t="str">
        <f>IFERROR(VLOOKUP(Camp_List[[#This Row],[Responsible Agency]],Organization_t[],3,0),"")</f>
        <v/>
      </c>
      <c r="AJ122" s="646">
        <f>IF((SUMIFS(Data_Shelter_t[Coverage],Data_Shelter_t[Pcode],Camp_List[[#This Row],[P_Code]]))&gt;1,1,SUMIFS(Data_Shelter_t[Coverage],Data_Shelter_t[Pcode],Camp_List[[#This Row],[P_Code]]))</f>
        <v>0</v>
      </c>
    </row>
    <row r="123" spans="1:69" hidden="1" x14ac:dyDescent="0.25">
      <c r="A123" s="75"/>
      <c r="B123" s="75"/>
      <c r="C123" s="75"/>
      <c r="D123" s="75"/>
      <c r="E123" s="75"/>
      <c r="F123" s="75"/>
      <c r="G123" s="75"/>
      <c r="H123" s="75"/>
      <c r="I123" s="75"/>
      <c r="J123" s="75"/>
      <c r="K123" s="75"/>
      <c r="L123" s="358"/>
      <c r="M123" s="75"/>
      <c r="N123" s="75"/>
      <c r="O123" s="75"/>
      <c r="P123" s="75"/>
      <c r="Q123" s="288"/>
      <c r="R123" s="867"/>
      <c r="S123" s="885"/>
      <c r="T123" s="637"/>
      <c r="U123" s="75"/>
      <c r="V123" s="692"/>
      <c r="W123" s="693"/>
      <c r="X123" s="75"/>
      <c r="Y123" s="75"/>
      <c r="Z123" s="75"/>
      <c r="AA123" s="639" t="str">
        <f>CONCATENATE(Camp_List[[#This Row],[Ethnicity]],"-",Camp_List[[#This Row],[Religion]])</f>
        <v>-</v>
      </c>
      <c r="AB123" s="639"/>
      <c r="AC123" s="641"/>
      <c r="AD123" s="641"/>
      <c r="AE123" s="693"/>
      <c r="AF123" s="75"/>
      <c r="AG123" s="694"/>
      <c r="AH123" s="639"/>
      <c r="AI123" s="695" t="str">
        <f>IFERROR(VLOOKUP(Camp_List[[#This Row],[Responsible Agency]],Organization_t[],3,0),"")</f>
        <v/>
      </c>
      <c r="AJ123" s="646">
        <f>IF((SUMIFS(Data_Shelter_t[Coverage],Data_Shelter_t[Pcode],Camp_List[[#This Row],[P_Code]]))&gt;1,1,SUMIFS(Data_Shelter_t[Coverage],Data_Shelter_t[Pcode],Camp_List[[#This Row],[P_Code]]))</f>
        <v>0</v>
      </c>
    </row>
    <row r="124" spans="1:69" hidden="1" x14ac:dyDescent="0.25">
      <c r="A124" s="75"/>
      <c r="B124" s="75"/>
      <c r="C124" s="75"/>
      <c r="D124" s="75"/>
      <c r="E124" s="75"/>
      <c r="F124" s="75"/>
      <c r="G124" s="75"/>
      <c r="H124" s="75"/>
      <c r="I124" s="75"/>
      <c r="J124" s="75"/>
      <c r="K124" s="75"/>
      <c r="L124" s="358"/>
      <c r="M124" s="75"/>
      <c r="N124" s="75"/>
      <c r="O124" s="75"/>
      <c r="P124" s="75"/>
      <c r="Q124" s="288"/>
      <c r="R124" s="867"/>
      <c r="S124" s="885"/>
      <c r="T124" s="637"/>
      <c r="U124" s="75"/>
      <c r="V124" s="692"/>
      <c r="W124" s="693"/>
      <c r="X124" s="75"/>
      <c r="Y124" s="75"/>
      <c r="Z124" s="75"/>
      <c r="AA124" s="639" t="str">
        <f>CONCATENATE(Camp_List[[#This Row],[Ethnicity]],"-",Camp_List[[#This Row],[Religion]])</f>
        <v>-</v>
      </c>
      <c r="AB124" s="639"/>
      <c r="AC124" s="641"/>
      <c r="AD124" s="641"/>
      <c r="AE124" s="693"/>
      <c r="AF124" s="75"/>
      <c r="AG124" s="694"/>
      <c r="AH124" s="639"/>
      <c r="AI124" s="695" t="str">
        <f>IFERROR(VLOOKUP(Camp_List[[#This Row],[Responsible Agency]],Organization_t[],3,0),"")</f>
        <v/>
      </c>
      <c r="AJ124" s="646">
        <f>IF((SUMIFS(Data_Shelter_t[Coverage],Data_Shelter_t[Pcode],Camp_List[[#This Row],[P_Code]]))&gt;1,1,SUMIFS(Data_Shelter_t[Coverage],Data_Shelter_t[Pcode],Camp_List[[#This Row],[P_Code]]))</f>
        <v>0</v>
      </c>
    </row>
    <row r="125" spans="1:69" hidden="1" x14ac:dyDescent="0.25">
      <c r="A125" s="75"/>
      <c r="B125" s="75"/>
      <c r="C125" s="75"/>
      <c r="D125" s="555"/>
      <c r="E125" s="75"/>
      <c r="F125" s="75"/>
      <c r="G125" s="75"/>
      <c r="H125" s="75"/>
      <c r="I125" s="75"/>
      <c r="J125" s="75"/>
      <c r="K125" s="555"/>
      <c r="L125" s="358"/>
      <c r="M125" s="75"/>
      <c r="N125" s="75"/>
      <c r="O125" s="75"/>
      <c r="P125" s="75"/>
      <c r="Q125" s="288"/>
      <c r="R125" s="867"/>
      <c r="S125" s="885"/>
      <c r="T125" s="637"/>
      <c r="U125" s="75"/>
      <c r="V125" s="692"/>
      <c r="W125" s="693"/>
      <c r="X125" s="75"/>
      <c r="Y125" s="75"/>
      <c r="Z125" s="75"/>
      <c r="AA125" s="639" t="str">
        <f>CONCATENATE(Camp_List[[#This Row],[Ethnicity]],"-",Camp_List[[#This Row],[Religion]])</f>
        <v>-</v>
      </c>
      <c r="AB125" s="639"/>
      <c r="AC125" s="641"/>
      <c r="AD125" s="641"/>
      <c r="AE125" s="693"/>
      <c r="AF125" s="75"/>
      <c r="AG125" s="694"/>
      <c r="AH125" s="639"/>
      <c r="AI125" s="695" t="str">
        <f>IFERROR(VLOOKUP(Camp_List[[#This Row],[Responsible Agency]],Organization_t[],3,0),"")</f>
        <v/>
      </c>
      <c r="AJ125" s="646">
        <f>IF((SUMIFS(Data_Shelter_t[Coverage],Data_Shelter_t[Pcode],Camp_List[[#This Row],[P_Code]]))&gt;1,1,SUMIFS(Data_Shelter_t[Coverage],Data_Shelter_t[Pcode],Camp_List[[#This Row],[P_Code]]))</f>
        <v>0</v>
      </c>
    </row>
    <row r="126" spans="1:69" hidden="1" x14ac:dyDescent="0.25">
      <c r="A126" s="75"/>
      <c r="B126" s="75"/>
      <c r="C126" s="75"/>
      <c r="D126" s="696"/>
      <c r="E126" s="75"/>
      <c r="F126" s="698"/>
      <c r="G126" s="75"/>
      <c r="H126" s="75"/>
      <c r="I126" s="75"/>
      <c r="J126" s="75"/>
      <c r="K126" s="555"/>
      <c r="L126" s="358"/>
      <c r="M126" s="75"/>
      <c r="N126" s="75"/>
      <c r="O126" s="75"/>
      <c r="P126" s="75"/>
      <c r="Q126" s="288"/>
      <c r="R126" s="867"/>
      <c r="S126" s="885"/>
      <c r="T126" s="637"/>
      <c r="U126" s="75"/>
      <c r="V126" s="692"/>
      <c r="W126" s="693"/>
      <c r="X126" s="75"/>
      <c r="Y126" s="75"/>
      <c r="Z126" s="75"/>
      <c r="AA126" s="639" t="str">
        <f>CONCATENATE(Camp_List[[#This Row],[Ethnicity]],"-",Camp_List[[#This Row],[Religion]])</f>
        <v>-</v>
      </c>
      <c r="AB126" s="639"/>
      <c r="AC126" s="641"/>
      <c r="AD126" s="641"/>
      <c r="AE126" s="693"/>
      <c r="AF126" s="75"/>
      <c r="AG126" s="694"/>
      <c r="AH126" s="639"/>
      <c r="AI126" s="695" t="str">
        <f>IFERROR(VLOOKUP(Camp_List[[#This Row],[Responsible Agency]],Organization_t[],3,0),"")</f>
        <v/>
      </c>
      <c r="AJ126" s="646">
        <f>IF((SUMIFS(Data_Shelter_t[Coverage],Data_Shelter_t[Pcode],Camp_List[[#This Row],[P_Code]]))&gt;1,1,SUMIFS(Data_Shelter_t[Coverage],Data_Shelter_t[Pcode],Camp_List[[#This Row],[P_Code]]))</f>
        <v>0</v>
      </c>
    </row>
    <row r="127" spans="1:69" hidden="1" x14ac:dyDescent="0.25">
      <c r="A127" s="75"/>
      <c r="B127" s="75"/>
      <c r="C127" s="75"/>
      <c r="D127" s="696"/>
      <c r="E127" s="75"/>
      <c r="F127" s="698"/>
      <c r="G127" s="75"/>
      <c r="H127" s="75"/>
      <c r="I127" s="75"/>
      <c r="J127" s="75"/>
      <c r="K127" s="555"/>
      <c r="L127" s="358"/>
      <c r="M127" s="75"/>
      <c r="N127" s="75"/>
      <c r="O127" s="75"/>
      <c r="P127" s="75"/>
      <c r="Q127" s="288"/>
      <c r="R127" s="867"/>
      <c r="S127" s="885"/>
      <c r="T127" s="637"/>
      <c r="U127" s="75"/>
      <c r="V127" s="637"/>
      <c r="W127" s="693"/>
      <c r="X127" s="75"/>
      <c r="Y127" s="75"/>
      <c r="Z127" s="75"/>
      <c r="AA127" s="639" t="str">
        <f>CONCATENATE(Camp_List[[#This Row],[Ethnicity]],"-",Camp_List[[#This Row],[Religion]])</f>
        <v>-</v>
      </c>
      <c r="AB127" s="639"/>
      <c r="AC127" s="641"/>
      <c r="AD127" s="641"/>
      <c r="AE127" s="693"/>
      <c r="AF127" s="75"/>
      <c r="AG127" s="694"/>
      <c r="AH127" s="639"/>
      <c r="AI127" s="695" t="str">
        <f>IFERROR(VLOOKUP(Camp_List[[#This Row],[Responsible Agency]],Organization_t[],3,0),"")</f>
        <v/>
      </c>
      <c r="AJ127" s="646">
        <f>IF((SUMIFS(Data_Shelter_t[Coverage],Data_Shelter_t[Pcode],Camp_List[[#This Row],[P_Code]]))&gt;1,1,SUMIFS(Data_Shelter_t[Coverage],Data_Shelter_t[Pcode],Camp_List[[#This Row],[P_Code]]))</f>
        <v>0</v>
      </c>
    </row>
    <row r="128" spans="1:69" hidden="1" x14ac:dyDescent="0.25">
      <c r="A128" s="75"/>
      <c r="B128" s="75"/>
      <c r="C128" s="75"/>
      <c r="D128" s="696"/>
      <c r="E128" s="75"/>
      <c r="F128" s="698"/>
      <c r="G128" s="75"/>
      <c r="H128" s="75"/>
      <c r="I128" s="75"/>
      <c r="J128" s="75"/>
      <c r="K128" s="555"/>
      <c r="L128" s="358"/>
      <c r="M128" s="75"/>
      <c r="N128" s="75"/>
      <c r="O128" s="75"/>
      <c r="P128" s="75"/>
      <c r="Q128" s="288"/>
      <c r="R128" s="867"/>
      <c r="S128" s="885"/>
      <c r="T128" s="637"/>
      <c r="U128" s="75"/>
      <c r="V128" s="637"/>
      <c r="W128" s="693"/>
      <c r="X128" s="75"/>
      <c r="Y128" s="75"/>
      <c r="Z128" s="75"/>
      <c r="AA128" s="639" t="str">
        <f>CONCATENATE(Camp_List[[#This Row],[Ethnicity]],"-",Camp_List[[#This Row],[Religion]])</f>
        <v>-</v>
      </c>
      <c r="AB128" s="639"/>
      <c r="AC128" s="641"/>
      <c r="AD128" s="641"/>
      <c r="AE128" s="693"/>
      <c r="AF128" s="75"/>
      <c r="AG128" s="694"/>
      <c r="AH128" s="639"/>
      <c r="AI128" s="695" t="str">
        <f>IFERROR(VLOOKUP(Camp_List[[#This Row],[Responsible Agency]],Organization_t[],3,0),"")</f>
        <v/>
      </c>
      <c r="AJ128" s="646">
        <f>IF((SUMIFS(Data_Shelter_t[Coverage],Data_Shelter_t[Pcode],Camp_List[[#This Row],[P_Code]]))&gt;1,1,SUMIFS(Data_Shelter_t[Coverage],Data_Shelter_t[Pcode],Camp_List[[#This Row],[P_Code]]))</f>
        <v>0</v>
      </c>
    </row>
    <row r="129" spans="1:36" hidden="1" x14ac:dyDescent="0.25">
      <c r="A129" s="75"/>
      <c r="B129" s="75"/>
      <c r="C129" s="75"/>
      <c r="D129" s="696"/>
      <c r="E129" s="75"/>
      <c r="F129" s="698"/>
      <c r="G129" s="75"/>
      <c r="H129" s="75"/>
      <c r="I129" s="75"/>
      <c r="J129" s="75"/>
      <c r="K129" s="555"/>
      <c r="L129" s="358"/>
      <c r="M129" s="75"/>
      <c r="N129" s="75"/>
      <c r="O129" s="75"/>
      <c r="P129" s="75"/>
      <c r="Q129" s="288"/>
      <c r="R129" s="867"/>
      <c r="S129" s="885"/>
      <c r="T129" s="637"/>
      <c r="U129" s="75"/>
      <c r="V129" s="637"/>
      <c r="W129" s="693"/>
      <c r="X129" s="75"/>
      <c r="Y129" s="75"/>
      <c r="Z129" s="75"/>
      <c r="AA129" s="639" t="str">
        <f>CONCATENATE(Camp_List[[#This Row],[Ethnicity]],"-",Camp_List[[#This Row],[Religion]])</f>
        <v>-</v>
      </c>
      <c r="AB129" s="639"/>
      <c r="AC129" s="641"/>
      <c r="AD129" s="641"/>
      <c r="AE129" s="693"/>
      <c r="AF129" s="75"/>
      <c r="AG129" s="694"/>
      <c r="AH129" s="639"/>
      <c r="AI129" s="695" t="str">
        <f>IFERROR(VLOOKUP(Camp_List[[#This Row],[Responsible Agency]],Organization_t[],3,0),"")</f>
        <v/>
      </c>
      <c r="AJ129" s="646">
        <f>IF((SUMIFS(Data_Shelter_t[Coverage],Data_Shelter_t[Pcode],Camp_List[[#This Row],[P_Code]]))&gt;1,1,SUMIFS(Data_Shelter_t[Coverage],Data_Shelter_t[Pcode],Camp_List[[#This Row],[P_Code]]))</f>
        <v>0</v>
      </c>
    </row>
    <row r="130" spans="1:36" hidden="1" x14ac:dyDescent="0.25">
      <c r="A130" s="75"/>
      <c r="B130" s="75"/>
      <c r="C130" s="75"/>
      <c r="D130" s="697"/>
      <c r="E130" s="75"/>
      <c r="F130" s="698"/>
      <c r="G130" s="75"/>
      <c r="H130" s="75"/>
      <c r="I130" s="75"/>
      <c r="J130" s="75"/>
      <c r="K130" s="555"/>
      <c r="L130" s="358"/>
      <c r="M130" s="75"/>
      <c r="N130" s="75"/>
      <c r="O130" s="75"/>
      <c r="P130" s="75"/>
      <c r="Q130" s="288"/>
      <c r="R130" s="867"/>
      <c r="S130" s="885"/>
      <c r="T130" s="637"/>
      <c r="U130" s="75"/>
      <c r="V130" s="637"/>
      <c r="W130" s="693"/>
      <c r="X130" s="75"/>
      <c r="Y130" s="75"/>
      <c r="Z130" s="75"/>
      <c r="AA130" s="639" t="str">
        <f>CONCATENATE(Camp_List[[#This Row],[Ethnicity]],"-",Camp_List[[#This Row],[Religion]])</f>
        <v>-</v>
      </c>
      <c r="AB130" s="639"/>
      <c r="AC130" s="641"/>
      <c r="AD130" s="641"/>
      <c r="AE130" s="693"/>
      <c r="AF130" s="75"/>
      <c r="AG130" s="694"/>
      <c r="AH130" s="639"/>
      <c r="AI130" s="695" t="str">
        <f>IFERROR(VLOOKUP(Camp_List[[#This Row],[Responsible Agency]],Organization_t[],3,0),"")</f>
        <v/>
      </c>
      <c r="AJ130" s="646">
        <f>IF((SUMIFS(Data_Shelter_t[Coverage],Data_Shelter_t[Pcode],Camp_List[[#This Row],[P_Code]]))&gt;1,1,SUMIFS(Data_Shelter_t[Coverage],Data_Shelter_t[Pcode],Camp_List[[#This Row],[P_Code]]))</f>
        <v>0</v>
      </c>
    </row>
    <row r="131" spans="1:36" hidden="1" x14ac:dyDescent="0.25">
      <c r="A131" s="75"/>
      <c r="B131" s="75"/>
      <c r="C131" s="75"/>
      <c r="D131" s="696"/>
      <c r="E131" s="75"/>
      <c r="F131" s="698"/>
      <c r="G131" s="75"/>
      <c r="H131" s="75"/>
      <c r="I131" s="75"/>
      <c r="J131" s="75"/>
      <c r="K131" s="555"/>
      <c r="L131" s="358"/>
      <c r="M131" s="75"/>
      <c r="N131" s="75"/>
      <c r="O131" s="75"/>
      <c r="P131" s="75"/>
      <c r="Q131" s="288"/>
      <c r="R131" s="867"/>
      <c r="S131" s="885"/>
      <c r="T131" s="637"/>
      <c r="U131" s="75"/>
      <c r="V131" s="637"/>
      <c r="W131" s="693"/>
      <c r="X131" s="75"/>
      <c r="Y131" s="75"/>
      <c r="Z131" s="75"/>
      <c r="AA131" s="639" t="str">
        <f>CONCATENATE(Camp_List[[#This Row],[Ethnicity]],"-",Camp_List[[#This Row],[Religion]])</f>
        <v>-</v>
      </c>
      <c r="AB131" s="639"/>
      <c r="AC131" s="641"/>
      <c r="AD131" s="641"/>
      <c r="AE131" s="693"/>
      <c r="AF131" s="75"/>
      <c r="AG131" s="694"/>
      <c r="AH131" s="639"/>
      <c r="AI131" s="695" t="str">
        <f>IFERROR(VLOOKUP(Camp_List[[#This Row],[Responsible Agency]],Organization_t[],3,0),"")</f>
        <v/>
      </c>
      <c r="AJ131" s="646">
        <f>IF((SUMIFS(Data_Shelter_t[Coverage],Data_Shelter_t[Pcode],Camp_List[[#This Row],[P_Code]]))&gt;1,1,SUMIFS(Data_Shelter_t[Coverage],Data_Shelter_t[Pcode],Camp_List[[#This Row],[P_Code]]))</f>
        <v>0</v>
      </c>
    </row>
    <row r="132" spans="1:36" hidden="1" x14ac:dyDescent="0.25">
      <c r="A132" s="75"/>
      <c r="B132" s="75"/>
      <c r="C132" s="75"/>
      <c r="D132" s="696"/>
      <c r="E132" s="75"/>
      <c r="F132" s="698"/>
      <c r="G132" s="75"/>
      <c r="H132" s="75"/>
      <c r="I132" s="75"/>
      <c r="J132" s="75"/>
      <c r="K132" s="555"/>
      <c r="L132" s="358"/>
      <c r="M132" s="75"/>
      <c r="N132" s="75"/>
      <c r="O132" s="75"/>
      <c r="P132" s="75"/>
      <c r="Q132" s="288"/>
      <c r="R132" s="867"/>
      <c r="S132" s="885"/>
      <c r="T132" s="637"/>
      <c r="U132" s="75"/>
      <c r="V132" s="637"/>
      <c r="W132" s="693"/>
      <c r="X132" s="75"/>
      <c r="Y132" s="75"/>
      <c r="Z132" s="75"/>
      <c r="AA132" s="639" t="str">
        <f>CONCATENATE(Camp_List[[#This Row],[Ethnicity]],"-",Camp_List[[#This Row],[Religion]])</f>
        <v>-</v>
      </c>
      <c r="AB132" s="639"/>
      <c r="AC132" s="641"/>
      <c r="AD132" s="641"/>
      <c r="AE132" s="693"/>
      <c r="AF132" s="75"/>
      <c r="AG132" s="694"/>
      <c r="AH132" s="639"/>
      <c r="AI132" s="695" t="str">
        <f>IFERROR(VLOOKUP(Camp_List[[#This Row],[Responsible Agency]],Organization_t[],3,0),"")</f>
        <v/>
      </c>
      <c r="AJ132" s="646">
        <f>IF((SUMIFS(Data_Shelter_t[Coverage],Data_Shelter_t[Pcode],Camp_List[[#This Row],[P_Code]]))&gt;1,1,SUMIFS(Data_Shelter_t[Coverage],Data_Shelter_t[Pcode],Camp_List[[#This Row],[P_Code]]))</f>
        <v>0</v>
      </c>
    </row>
    <row r="133" spans="1:36" hidden="1" x14ac:dyDescent="0.25">
      <c r="A133" s="75"/>
      <c r="B133" s="75"/>
      <c r="C133" s="75"/>
      <c r="D133" s="697"/>
      <c r="E133" s="75"/>
      <c r="F133" s="698"/>
      <c r="G133" s="75"/>
      <c r="H133" s="75"/>
      <c r="I133" s="75"/>
      <c r="J133" s="75"/>
      <c r="K133" s="556"/>
      <c r="L133" s="358"/>
      <c r="M133" s="75"/>
      <c r="N133" s="75"/>
      <c r="O133" s="75"/>
      <c r="P133" s="75"/>
      <c r="Q133" s="288"/>
      <c r="R133" s="867"/>
      <c r="S133" s="885"/>
      <c r="T133" s="637"/>
      <c r="U133" s="75"/>
      <c r="V133" s="637"/>
      <c r="W133" s="693"/>
      <c r="X133" s="75"/>
      <c r="Y133" s="75"/>
      <c r="Z133" s="75"/>
      <c r="AA133" s="639" t="str">
        <f>CONCATENATE(Camp_List[[#This Row],[Ethnicity]],"-",Camp_List[[#This Row],[Religion]])</f>
        <v>-</v>
      </c>
      <c r="AB133" s="639"/>
      <c r="AC133" s="641"/>
      <c r="AD133" s="641"/>
      <c r="AE133" s="693"/>
      <c r="AF133" s="75"/>
      <c r="AG133" s="694"/>
      <c r="AH133" s="639"/>
      <c r="AI133" s="695" t="str">
        <f>IFERROR(VLOOKUP(Camp_List[[#This Row],[Responsible Agency]],Organization_t[],3,0),"")</f>
        <v/>
      </c>
      <c r="AJ133" s="646">
        <f>IF((SUMIFS(Data_Shelter_t[Coverage],Data_Shelter_t[Pcode],Camp_List[[#This Row],[P_Code]]))&gt;1,1,SUMIFS(Data_Shelter_t[Coverage],Data_Shelter_t[Pcode],Camp_List[[#This Row],[P_Code]]))</f>
        <v>0</v>
      </c>
    </row>
    <row r="134" spans="1:36" hidden="1" x14ac:dyDescent="0.25">
      <c r="A134" s="75"/>
      <c r="B134" s="75"/>
      <c r="C134" s="75"/>
      <c r="D134" s="75"/>
      <c r="E134" s="75"/>
      <c r="F134" s="75"/>
      <c r="G134" s="75"/>
      <c r="H134" s="75"/>
      <c r="I134" s="75"/>
      <c r="J134" s="75"/>
      <c r="K134" s="555"/>
      <c r="L134" s="358"/>
      <c r="M134" s="75"/>
      <c r="N134" s="75"/>
      <c r="O134" s="75"/>
      <c r="P134" s="75"/>
      <c r="Q134" s="288"/>
      <c r="R134" s="867"/>
      <c r="S134" s="885"/>
      <c r="T134" s="637"/>
      <c r="U134" s="75"/>
      <c r="V134" s="637"/>
      <c r="W134" s="693"/>
      <c r="X134" s="75"/>
      <c r="Y134" s="75"/>
      <c r="Z134" s="75"/>
      <c r="AA134" s="639" t="str">
        <f>CONCATENATE(Camp_List[[#This Row],[Ethnicity]],"-",Camp_List[[#This Row],[Religion]])</f>
        <v>-</v>
      </c>
      <c r="AB134" s="639"/>
      <c r="AC134" s="641"/>
      <c r="AD134" s="641"/>
      <c r="AE134" s="693"/>
      <c r="AF134" s="75"/>
      <c r="AG134" s="694"/>
      <c r="AH134" s="639"/>
      <c r="AI134" s="695" t="str">
        <f>IFERROR(VLOOKUP(Camp_List[[#This Row],[Responsible Agency]],Organization_t[],3,0),"")</f>
        <v/>
      </c>
      <c r="AJ134" s="646">
        <f>IF((SUMIFS(Data_Shelter_t[Coverage],Data_Shelter_t[Pcode],Camp_List[[#This Row],[P_Code]]))&gt;1,1,SUMIFS(Data_Shelter_t[Coverage],Data_Shelter_t[Pcode],Camp_List[[#This Row],[P_Code]]))</f>
        <v>0</v>
      </c>
    </row>
    <row r="135" spans="1:36" hidden="1" x14ac:dyDescent="0.25">
      <c r="A135" s="75"/>
      <c r="B135" s="75"/>
      <c r="C135" s="75"/>
      <c r="D135" s="75"/>
      <c r="E135" s="75"/>
      <c r="F135" s="75"/>
      <c r="G135" s="75"/>
      <c r="H135" s="75"/>
      <c r="I135" s="75"/>
      <c r="J135" s="75"/>
      <c r="K135" s="555"/>
      <c r="L135" s="358"/>
      <c r="M135" s="75"/>
      <c r="N135" s="75"/>
      <c r="O135" s="75"/>
      <c r="P135" s="75"/>
      <c r="Q135" s="288"/>
      <c r="R135" s="867"/>
      <c r="S135" s="885"/>
      <c r="T135" s="637"/>
      <c r="U135" s="75"/>
      <c r="V135" s="637"/>
      <c r="W135" s="693"/>
      <c r="X135" s="75"/>
      <c r="Y135" s="75"/>
      <c r="Z135" s="75"/>
      <c r="AA135" s="639" t="str">
        <f>CONCATENATE(Camp_List[[#This Row],[Ethnicity]],"-",Camp_List[[#This Row],[Religion]])</f>
        <v>-</v>
      </c>
      <c r="AB135" s="639"/>
      <c r="AC135" s="641"/>
      <c r="AD135" s="641"/>
      <c r="AE135" s="693"/>
      <c r="AF135" s="75"/>
      <c r="AG135" s="694"/>
      <c r="AH135" s="639"/>
      <c r="AI135" s="695" t="str">
        <f>IFERROR(VLOOKUP(Camp_List[[#This Row],[Responsible Agency]],Organization_t[],3,0),"")</f>
        <v/>
      </c>
      <c r="AJ135" s="646">
        <f>IF((SUMIFS(Data_Shelter_t[Coverage],Data_Shelter_t[Pcode],Camp_List[[#This Row],[P_Code]]))&gt;1,1,SUMIFS(Data_Shelter_t[Coverage],Data_Shelter_t[Pcode],Camp_List[[#This Row],[P_Code]]))</f>
        <v>0</v>
      </c>
    </row>
    <row r="136" spans="1:36" hidden="1" x14ac:dyDescent="0.25">
      <c r="A136" s="75"/>
      <c r="B136" s="75"/>
      <c r="C136" s="75"/>
      <c r="D136" s="75"/>
      <c r="E136" s="75"/>
      <c r="F136" s="75"/>
      <c r="G136" s="75"/>
      <c r="H136" s="75"/>
      <c r="I136" s="75"/>
      <c r="J136" s="75"/>
      <c r="K136" s="555"/>
      <c r="L136" s="358"/>
      <c r="M136" s="75"/>
      <c r="N136" s="75"/>
      <c r="O136" s="75"/>
      <c r="P136" s="75"/>
      <c r="Q136" s="288"/>
      <c r="R136" s="867"/>
      <c r="S136" s="885"/>
      <c r="T136" s="637"/>
      <c r="U136" s="75"/>
      <c r="V136" s="637"/>
      <c r="W136" s="693"/>
      <c r="X136" s="75"/>
      <c r="Y136" s="75"/>
      <c r="Z136" s="75"/>
      <c r="AA136" s="639" t="str">
        <f>CONCATENATE(Camp_List[[#This Row],[Ethnicity]],"-",Camp_List[[#This Row],[Religion]])</f>
        <v>-</v>
      </c>
      <c r="AB136" s="639"/>
      <c r="AC136" s="641"/>
      <c r="AD136" s="641"/>
      <c r="AE136" s="693"/>
      <c r="AF136" s="75"/>
      <c r="AG136" s="694"/>
      <c r="AH136" s="639"/>
      <c r="AI136" s="695" t="str">
        <f>IFERROR(VLOOKUP(Camp_List[[#This Row],[Responsible Agency]],Organization_t[],3,0),"")</f>
        <v/>
      </c>
      <c r="AJ136" s="646">
        <f>IF((SUMIFS(Data_Shelter_t[Coverage],Data_Shelter_t[Pcode],Camp_List[[#This Row],[P_Code]]))&gt;1,1,SUMIFS(Data_Shelter_t[Coverage],Data_Shelter_t[Pcode],Camp_List[[#This Row],[P_Code]]))</f>
        <v>0</v>
      </c>
    </row>
    <row r="137" spans="1:36" hidden="1" x14ac:dyDescent="0.25">
      <c r="A137" s="75"/>
      <c r="B137" s="75"/>
      <c r="C137" s="75"/>
      <c r="D137" s="75"/>
      <c r="E137" s="75"/>
      <c r="F137" s="75"/>
      <c r="G137" s="75"/>
      <c r="H137" s="75"/>
      <c r="I137" s="75"/>
      <c r="J137" s="75"/>
      <c r="K137" s="75"/>
      <c r="L137" s="358"/>
      <c r="M137" s="75"/>
      <c r="N137" s="75"/>
      <c r="O137" s="75"/>
      <c r="P137" s="75"/>
      <c r="Q137" s="288"/>
      <c r="R137" s="867"/>
      <c r="S137" s="885"/>
      <c r="T137" s="637"/>
      <c r="U137" s="75"/>
      <c r="V137" s="637"/>
      <c r="W137" s="693"/>
      <c r="X137" s="75"/>
      <c r="Y137" s="75"/>
      <c r="Z137" s="75"/>
      <c r="AA137" s="639" t="str">
        <f>CONCATENATE(Camp_List[[#This Row],[Ethnicity]],"-",Camp_List[[#This Row],[Religion]])</f>
        <v>-</v>
      </c>
      <c r="AB137" s="639"/>
      <c r="AC137" s="641"/>
      <c r="AD137" s="641"/>
      <c r="AE137" s="693"/>
      <c r="AF137" s="75"/>
      <c r="AG137" s="694"/>
      <c r="AH137" s="639"/>
      <c r="AI137" s="695" t="str">
        <f>IFERROR(VLOOKUP(Camp_List[[#This Row],[Responsible Agency]],Organization_t[],3,0),"")</f>
        <v/>
      </c>
      <c r="AJ137" s="646">
        <f>IF((SUMIFS(Data_Shelter_t[Coverage],Data_Shelter_t[Pcode],Camp_List[[#This Row],[P_Code]]))&gt;1,1,SUMIFS(Data_Shelter_t[Coverage],Data_Shelter_t[Pcode],Camp_List[[#This Row],[P_Code]]))</f>
        <v>0</v>
      </c>
    </row>
    <row r="138" spans="1:36" hidden="1" x14ac:dyDescent="0.25">
      <c r="A138" s="75"/>
      <c r="B138" s="75"/>
      <c r="C138" s="75"/>
      <c r="D138" s="75"/>
      <c r="E138" s="75"/>
      <c r="F138" s="75"/>
      <c r="G138" s="75"/>
      <c r="H138" s="75"/>
      <c r="I138" s="75"/>
      <c r="J138" s="75"/>
      <c r="K138" s="75"/>
      <c r="L138" s="358"/>
      <c r="M138" s="75"/>
      <c r="N138" s="75"/>
      <c r="O138" s="75"/>
      <c r="P138" s="75"/>
      <c r="Q138" s="288"/>
      <c r="R138" s="867"/>
      <c r="S138" s="885"/>
      <c r="T138" s="637"/>
      <c r="U138" s="75"/>
      <c r="V138" s="637"/>
      <c r="W138" s="693"/>
      <c r="X138" s="75"/>
      <c r="Y138" s="75"/>
      <c r="Z138" s="75"/>
      <c r="AA138" s="639" t="str">
        <f>CONCATENATE(Camp_List[[#This Row],[Ethnicity]],"-",Camp_List[[#This Row],[Religion]])</f>
        <v>-</v>
      </c>
      <c r="AB138" s="639"/>
      <c r="AC138" s="641"/>
      <c r="AD138" s="641"/>
      <c r="AE138" s="693"/>
      <c r="AF138" s="75"/>
      <c r="AG138" s="694"/>
      <c r="AH138" s="639"/>
      <c r="AI138" s="695" t="str">
        <f>IFERROR(VLOOKUP(Camp_List[[#This Row],[Responsible Agency]],Organization_t[],3,0),"")</f>
        <v/>
      </c>
      <c r="AJ138" s="646">
        <f>IF((SUMIFS(Data_Shelter_t[Coverage],Data_Shelter_t[Pcode],Camp_List[[#This Row],[P_Code]]))&gt;1,1,SUMIFS(Data_Shelter_t[Coverage],Data_Shelter_t[Pcode],Camp_List[[#This Row],[P_Code]]))</f>
        <v>0</v>
      </c>
    </row>
    <row r="139" spans="1:36" hidden="1" x14ac:dyDescent="0.25">
      <c r="A139" s="75"/>
      <c r="B139" s="75"/>
      <c r="C139" s="75"/>
      <c r="D139" s="75"/>
      <c r="E139" s="75"/>
      <c r="F139" s="75"/>
      <c r="G139" s="75"/>
      <c r="H139" s="75"/>
      <c r="I139" s="75"/>
      <c r="J139" s="75"/>
      <c r="K139" s="75"/>
      <c r="L139" s="358"/>
      <c r="M139" s="75"/>
      <c r="N139" s="75"/>
      <c r="O139" s="75"/>
      <c r="P139" s="75"/>
      <c r="Q139" s="288"/>
      <c r="R139" s="867"/>
      <c r="S139" s="885"/>
      <c r="T139" s="637"/>
      <c r="U139" s="75"/>
      <c r="V139" s="637"/>
      <c r="W139" s="693"/>
      <c r="X139" s="75"/>
      <c r="Y139" s="75"/>
      <c r="Z139" s="75"/>
      <c r="AA139" s="639" t="str">
        <f>CONCATENATE(Camp_List[[#This Row],[Ethnicity]],"-",Camp_List[[#This Row],[Religion]])</f>
        <v>-</v>
      </c>
      <c r="AB139" s="639"/>
      <c r="AC139" s="641"/>
      <c r="AD139" s="641"/>
      <c r="AE139" s="693"/>
      <c r="AF139" s="75"/>
      <c r="AG139" s="694"/>
      <c r="AH139" s="639"/>
      <c r="AI139" s="695" t="str">
        <f>IFERROR(VLOOKUP(Camp_List[[#This Row],[Responsible Agency]],Organization_t[],3,0),"")</f>
        <v/>
      </c>
      <c r="AJ139" s="646">
        <f>IF((SUMIFS(Data_Shelter_t[Coverage],Data_Shelter_t[Pcode],Camp_List[[#This Row],[P_Code]]))&gt;1,1,SUMIFS(Data_Shelter_t[Coverage],Data_Shelter_t[Pcode],Camp_List[[#This Row],[P_Code]]))</f>
        <v>0</v>
      </c>
    </row>
    <row r="140" spans="1:36" hidden="1" x14ac:dyDescent="0.25">
      <c r="A140" s="75"/>
      <c r="B140" s="75"/>
      <c r="C140" s="75"/>
      <c r="D140" s="75"/>
      <c r="E140" s="75"/>
      <c r="F140" s="75"/>
      <c r="G140" s="75"/>
      <c r="H140" s="75"/>
      <c r="I140" s="75"/>
      <c r="J140" s="75"/>
      <c r="K140" s="75"/>
      <c r="L140" s="358"/>
      <c r="M140" s="75"/>
      <c r="N140" s="75"/>
      <c r="O140" s="75"/>
      <c r="P140" s="75"/>
      <c r="Q140" s="288"/>
      <c r="R140" s="867"/>
      <c r="S140" s="885"/>
      <c r="T140" s="637"/>
      <c r="U140" s="75"/>
      <c r="V140" s="637"/>
      <c r="W140" s="693"/>
      <c r="X140" s="75"/>
      <c r="Y140" s="75"/>
      <c r="Z140" s="75"/>
      <c r="AA140" s="639" t="str">
        <f>CONCATENATE(Camp_List[[#This Row],[Ethnicity]],"-",Camp_List[[#This Row],[Religion]])</f>
        <v>-</v>
      </c>
      <c r="AB140" s="639"/>
      <c r="AC140" s="641"/>
      <c r="AD140" s="641"/>
      <c r="AE140" s="693"/>
      <c r="AF140" s="75"/>
      <c r="AG140" s="694"/>
      <c r="AH140" s="639"/>
      <c r="AI140" s="695" t="str">
        <f>IFERROR(VLOOKUP(Camp_List[[#This Row],[Responsible Agency]],Organization_t[],3,0),"")</f>
        <v/>
      </c>
      <c r="AJ140" s="646">
        <f>IF((SUMIFS(Data_Shelter_t[Coverage],Data_Shelter_t[Pcode],Camp_List[[#This Row],[P_Code]]))&gt;1,1,SUMIFS(Data_Shelter_t[Coverage],Data_Shelter_t[Pcode],Camp_List[[#This Row],[P_Code]]))</f>
        <v>0</v>
      </c>
    </row>
    <row r="141" spans="1:36" hidden="1" x14ac:dyDescent="0.25">
      <c r="A141" s="75"/>
      <c r="B141" s="75"/>
      <c r="C141" s="75"/>
      <c r="D141" s="75"/>
      <c r="E141" s="75"/>
      <c r="F141" s="75"/>
      <c r="G141" s="75"/>
      <c r="H141" s="75"/>
      <c r="I141" s="75"/>
      <c r="J141" s="75"/>
      <c r="K141" s="75"/>
      <c r="L141" s="358"/>
      <c r="M141" s="75"/>
      <c r="N141" s="75"/>
      <c r="O141" s="75"/>
      <c r="P141" s="75"/>
      <c r="Q141" s="288"/>
      <c r="R141" s="867"/>
      <c r="S141" s="885"/>
      <c r="T141" s="637"/>
      <c r="U141" s="75"/>
      <c r="V141" s="637"/>
      <c r="W141" s="693"/>
      <c r="X141" s="75"/>
      <c r="Y141" s="75"/>
      <c r="Z141" s="75"/>
      <c r="AA141" s="639" t="str">
        <f>CONCATENATE(Camp_List[[#This Row],[Ethnicity]],"-",Camp_List[[#This Row],[Religion]])</f>
        <v>-</v>
      </c>
      <c r="AB141" s="639"/>
      <c r="AC141" s="641"/>
      <c r="AD141" s="641"/>
      <c r="AE141" s="693"/>
      <c r="AF141" s="75"/>
      <c r="AG141" s="694"/>
      <c r="AH141" s="639"/>
      <c r="AI141" s="695" t="str">
        <f>IFERROR(VLOOKUP(Camp_List[[#This Row],[Responsible Agency]],Organization_t[],3,0),"")</f>
        <v/>
      </c>
      <c r="AJ141" s="646">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1428" priority="10" operator="equal">
      <formula>"close"</formula>
    </cfRule>
  </conditionalFormatting>
  <conditionalFormatting sqref="A72:A121">
    <cfRule type="cellIs" dxfId="1427" priority="5" operator="equal">
      <formula>"close"</formula>
    </cfRule>
  </conditionalFormatting>
  <conditionalFormatting sqref="A53:A55 A57:A71">
    <cfRule type="cellIs" dxfId="1426" priority="3" operator="equal">
      <formula>"close"</formula>
    </cfRule>
  </conditionalFormatting>
  <conditionalFormatting sqref="A56">
    <cfRule type="cellIs" dxfId="1425"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 zoomScale="86" zoomScaleNormal="86" workbookViewId="0">
      <selection activeCell="S20" sqref="S20"/>
    </sheetView>
  </sheetViews>
  <sheetFormatPr defaultRowHeight="15" x14ac:dyDescent="0.2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x14ac:dyDescent="0.25">
      <c r="A3" s="528" t="s">
        <v>346</v>
      </c>
      <c r="B3" s="523" t="s">
        <v>10</v>
      </c>
      <c r="C3" s="523" t="s">
        <v>532</v>
      </c>
      <c r="D3" s="524" t="s">
        <v>0</v>
      </c>
      <c r="E3" s="524" t="s">
        <v>9</v>
      </c>
      <c r="F3" s="524" t="s">
        <v>8</v>
      </c>
      <c r="G3" s="523" t="s">
        <v>2</v>
      </c>
      <c r="H3" s="523" t="s">
        <v>3</v>
      </c>
      <c r="I3" s="524" t="s">
        <v>649</v>
      </c>
      <c r="J3" s="525" t="s">
        <v>4</v>
      </c>
      <c r="K3" s="525" t="s">
        <v>5</v>
      </c>
      <c r="L3" s="526" t="s">
        <v>337</v>
      </c>
      <c r="M3" s="524" t="s">
        <v>807</v>
      </c>
      <c r="N3" s="524" t="s">
        <v>754</v>
      </c>
      <c r="O3" s="524" t="s">
        <v>24</v>
      </c>
      <c r="P3" s="524" t="s">
        <v>861</v>
      </c>
      <c r="Q3" s="524" t="s">
        <v>650</v>
      </c>
      <c r="R3" s="524" t="s">
        <v>756</v>
      </c>
      <c r="S3" s="527" t="s">
        <v>757</v>
      </c>
      <c r="T3" s="527" t="s">
        <v>762</v>
      </c>
      <c r="U3" s="524" t="s">
        <v>663</v>
      </c>
      <c r="V3" s="524" t="s">
        <v>662</v>
      </c>
      <c r="W3" s="524" t="s">
        <v>340</v>
      </c>
      <c r="X3" s="524" t="s">
        <v>341</v>
      </c>
      <c r="Y3" s="524" t="s">
        <v>350</v>
      </c>
      <c r="Z3" s="524" t="s">
        <v>345</v>
      </c>
      <c r="AA3" s="524" t="s">
        <v>799</v>
      </c>
    </row>
    <row r="4" spans="1:27" x14ac:dyDescent="0.25">
      <c r="A4" s="529" t="s">
        <v>349</v>
      </c>
      <c r="B4" s="541" t="s">
        <v>7</v>
      </c>
      <c r="C4" s="541" t="s">
        <v>19</v>
      </c>
      <c r="D4" s="541" t="s">
        <v>15</v>
      </c>
      <c r="E4" s="541" t="s">
        <v>46</v>
      </c>
      <c r="F4" s="541" t="s">
        <v>132</v>
      </c>
      <c r="G4" s="542">
        <v>93.003204999999994</v>
      </c>
      <c r="H4" s="542">
        <v>20.921424999999999</v>
      </c>
      <c r="I4" s="541"/>
      <c r="J4" s="533">
        <v>24</v>
      </c>
      <c r="K4" s="533">
        <v>140</v>
      </c>
      <c r="L4" s="534">
        <v>6.0869565217391308</v>
      </c>
      <c r="M4" s="535" t="s">
        <v>343</v>
      </c>
      <c r="N4" s="535" t="s">
        <v>755</v>
      </c>
      <c r="O4" s="535" t="s">
        <v>808</v>
      </c>
      <c r="P4" s="536" t="s">
        <v>862</v>
      </c>
      <c r="Q4" s="535"/>
      <c r="R4" s="535" t="s">
        <v>773</v>
      </c>
      <c r="S4" s="535" t="s">
        <v>656</v>
      </c>
      <c r="T4" s="535" t="s">
        <v>774</v>
      </c>
      <c r="U4" s="535" t="s">
        <v>661</v>
      </c>
      <c r="V4" s="535" t="s">
        <v>285</v>
      </c>
      <c r="W4" s="535" t="s">
        <v>504</v>
      </c>
      <c r="X4" s="535" t="s">
        <v>519</v>
      </c>
      <c r="Y4" s="538">
        <v>42415</v>
      </c>
      <c r="Z4" s="535" t="s">
        <v>943</v>
      </c>
      <c r="AA4" s="542" t="s">
        <v>972</v>
      </c>
    </row>
    <row r="5" spans="1:27" x14ac:dyDescent="0.25">
      <c r="A5" s="529" t="s">
        <v>349</v>
      </c>
      <c r="B5" s="541" t="s">
        <v>7</v>
      </c>
      <c r="C5" s="541" t="s">
        <v>19</v>
      </c>
      <c r="D5" s="541" t="s">
        <v>15</v>
      </c>
      <c r="E5" s="541" t="s">
        <v>49</v>
      </c>
      <c r="F5" s="541" t="s">
        <v>135</v>
      </c>
      <c r="G5" s="542">
        <v>93.014349999999993</v>
      </c>
      <c r="H5" s="542">
        <v>20.896740000000001</v>
      </c>
      <c r="I5" s="541"/>
      <c r="J5" s="533">
        <v>14</v>
      </c>
      <c r="K5" s="533">
        <v>84</v>
      </c>
      <c r="L5" s="534">
        <v>6</v>
      </c>
      <c r="M5" s="535" t="s">
        <v>343</v>
      </c>
      <c r="N5" s="535" t="s">
        <v>755</v>
      </c>
      <c r="O5" s="535" t="s">
        <v>808</v>
      </c>
      <c r="P5" s="536" t="s">
        <v>862</v>
      </c>
      <c r="Q5" s="535"/>
      <c r="R5" s="535" t="s">
        <v>773</v>
      </c>
      <c r="S5" s="535" t="s">
        <v>656</v>
      </c>
      <c r="T5" s="535" t="s">
        <v>774</v>
      </c>
      <c r="U5" s="535" t="s">
        <v>661</v>
      </c>
      <c r="V5" s="535" t="s">
        <v>285</v>
      </c>
      <c r="W5" s="535" t="s">
        <v>504</v>
      </c>
      <c r="X5" s="535" t="s">
        <v>519</v>
      </c>
      <c r="Y5" s="538">
        <v>42415</v>
      </c>
      <c r="Z5" s="535" t="s">
        <v>944</v>
      </c>
      <c r="AA5" s="542" t="s">
        <v>972</v>
      </c>
    </row>
    <row r="6" spans="1:27" x14ac:dyDescent="0.25">
      <c r="A6" s="529" t="s">
        <v>349</v>
      </c>
      <c r="B6" s="541" t="s">
        <v>7</v>
      </c>
      <c r="C6" s="541" t="s">
        <v>19</v>
      </c>
      <c r="D6" s="541" t="s">
        <v>15</v>
      </c>
      <c r="E6" s="541" t="s">
        <v>48</v>
      </c>
      <c r="F6" s="541" t="s">
        <v>134</v>
      </c>
      <c r="G6" s="542">
        <v>92.961841000000007</v>
      </c>
      <c r="H6" s="542">
        <v>20.720213000000001</v>
      </c>
      <c r="I6" s="541"/>
      <c r="J6" s="533">
        <v>92</v>
      </c>
      <c r="K6" s="533">
        <v>559</v>
      </c>
      <c r="L6" s="534">
        <v>6.0760869565217392</v>
      </c>
      <c r="M6" s="535" t="s">
        <v>343</v>
      </c>
      <c r="N6" s="535" t="s">
        <v>755</v>
      </c>
      <c r="O6" s="535" t="s">
        <v>808</v>
      </c>
      <c r="P6" s="536" t="s">
        <v>862</v>
      </c>
      <c r="Q6" s="535"/>
      <c r="R6" s="535" t="s">
        <v>773</v>
      </c>
      <c r="S6" s="535" t="s">
        <v>656</v>
      </c>
      <c r="T6" s="535" t="s">
        <v>774</v>
      </c>
      <c r="U6" s="535" t="s">
        <v>661</v>
      </c>
      <c r="V6" s="535" t="s">
        <v>285</v>
      </c>
      <c r="W6" s="535" t="s">
        <v>504</v>
      </c>
      <c r="X6" s="535" t="s">
        <v>926</v>
      </c>
      <c r="Y6" s="538">
        <v>42415</v>
      </c>
      <c r="Z6" s="535" t="s">
        <v>945</v>
      </c>
      <c r="AA6" s="542" t="s">
        <v>972</v>
      </c>
    </row>
    <row r="7" spans="1:27" x14ac:dyDescent="0.25">
      <c r="A7" s="529" t="s">
        <v>654</v>
      </c>
      <c r="B7" s="541" t="s">
        <v>7</v>
      </c>
      <c r="C7" s="541" t="s">
        <v>19</v>
      </c>
      <c r="D7" s="541" t="s">
        <v>15</v>
      </c>
      <c r="E7" s="541" t="s">
        <v>51</v>
      </c>
      <c r="F7" s="541" t="s">
        <v>137</v>
      </c>
      <c r="G7" s="542">
        <v>93.014089999999996</v>
      </c>
      <c r="H7" s="542">
        <v>20.713259999999998</v>
      </c>
      <c r="I7" s="541"/>
      <c r="J7" s="533">
        <v>116</v>
      </c>
      <c r="K7" s="533">
        <v>802</v>
      </c>
      <c r="L7" s="534">
        <v>6.8879310344827589</v>
      </c>
      <c r="M7" s="535" t="s">
        <v>343</v>
      </c>
      <c r="N7" s="535" t="s">
        <v>755</v>
      </c>
      <c r="O7" s="535" t="s">
        <v>808</v>
      </c>
      <c r="P7" s="536" t="s">
        <v>862</v>
      </c>
      <c r="Q7" s="535"/>
      <c r="R7" s="535" t="s">
        <v>773</v>
      </c>
      <c r="S7" s="535" t="s">
        <v>656</v>
      </c>
      <c r="T7" s="535" t="s">
        <v>774</v>
      </c>
      <c r="U7" s="535" t="s">
        <v>661</v>
      </c>
      <c r="V7" s="535" t="s">
        <v>285</v>
      </c>
      <c r="W7" s="535" t="s">
        <v>504</v>
      </c>
      <c r="X7" s="535" t="s">
        <v>926</v>
      </c>
      <c r="Y7" s="538">
        <v>42415</v>
      </c>
      <c r="Z7" s="535" t="s">
        <v>946</v>
      </c>
      <c r="AA7" s="542" t="s">
        <v>972</v>
      </c>
    </row>
    <row r="8" spans="1:27" x14ac:dyDescent="0.25">
      <c r="A8" s="529" t="s">
        <v>349</v>
      </c>
      <c r="B8" s="541" t="s">
        <v>7</v>
      </c>
      <c r="C8" s="541" t="s">
        <v>19</v>
      </c>
      <c r="D8" s="541" t="s">
        <v>15</v>
      </c>
      <c r="E8" s="541" t="s">
        <v>50</v>
      </c>
      <c r="F8" s="541" t="s">
        <v>136</v>
      </c>
      <c r="G8" s="542">
        <v>93.009900000000002</v>
      </c>
      <c r="H8" s="542">
        <v>20.696819999999999</v>
      </c>
      <c r="I8" s="541"/>
      <c r="J8" s="533">
        <v>236</v>
      </c>
      <c r="K8" s="533">
        <v>1524</v>
      </c>
      <c r="L8" s="534">
        <v>6.4576271186440675</v>
      </c>
      <c r="M8" s="535" t="s">
        <v>343</v>
      </c>
      <c r="N8" s="535" t="s">
        <v>755</v>
      </c>
      <c r="O8" s="535" t="s">
        <v>808</v>
      </c>
      <c r="P8" s="536" t="s">
        <v>862</v>
      </c>
      <c r="Q8" s="535"/>
      <c r="R8" s="535" t="s">
        <v>773</v>
      </c>
      <c r="S8" s="535" t="s">
        <v>656</v>
      </c>
      <c r="T8" s="535" t="s">
        <v>774</v>
      </c>
      <c r="U8" s="535" t="s">
        <v>661</v>
      </c>
      <c r="V8" s="535" t="s">
        <v>285</v>
      </c>
      <c r="W8" s="535" t="s">
        <v>504</v>
      </c>
      <c r="X8" s="535" t="s">
        <v>926</v>
      </c>
      <c r="Y8" s="538">
        <v>42415</v>
      </c>
      <c r="Z8" s="535" t="s">
        <v>947</v>
      </c>
      <c r="AA8" s="542" t="s">
        <v>972</v>
      </c>
    </row>
    <row r="9" spans="1:27" x14ac:dyDescent="0.25">
      <c r="A9" s="529" t="s">
        <v>349</v>
      </c>
      <c r="B9" s="541" t="s">
        <v>7</v>
      </c>
      <c r="C9" s="541" t="s">
        <v>19</v>
      </c>
      <c r="D9" s="541" t="s">
        <v>15</v>
      </c>
      <c r="E9" s="541" t="s">
        <v>54</v>
      </c>
      <c r="F9" s="541" t="s">
        <v>140</v>
      </c>
      <c r="G9" s="542">
        <v>93.006497999999993</v>
      </c>
      <c r="H9" s="542">
        <v>20.886997999999998</v>
      </c>
      <c r="I9" s="541"/>
      <c r="J9" s="533">
        <v>97</v>
      </c>
      <c r="K9" s="533">
        <v>557</v>
      </c>
      <c r="L9" s="534">
        <v>5.9381443298969074</v>
      </c>
      <c r="M9" s="535" t="s">
        <v>343</v>
      </c>
      <c r="N9" s="535" t="s">
        <v>755</v>
      </c>
      <c r="O9" s="535" t="s">
        <v>23</v>
      </c>
      <c r="P9" s="536" t="s">
        <v>862</v>
      </c>
      <c r="Q9" s="535"/>
      <c r="R9" s="535" t="s">
        <v>773</v>
      </c>
      <c r="S9" s="535" t="s">
        <v>656</v>
      </c>
      <c r="T9" s="535" t="s">
        <v>774</v>
      </c>
      <c r="U9" s="535" t="s">
        <v>661</v>
      </c>
      <c r="V9" s="535" t="s">
        <v>285</v>
      </c>
      <c r="W9" s="535" t="s">
        <v>504</v>
      </c>
      <c r="X9" s="535" t="s">
        <v>926</v>
      </c>
      <c r="Y9" s="538">
        <v>42415</v>
      </c>
      <c r="Z9" s="535" t="s">
        <v>948</v>
      </c>
      <c r="AA9" s="542" t="s">
        <v>972</v>
      </c>
    </row>
    <row r="10" spans="1:27" x14ac:dyDescent="0.25">
      <c r="A10" s="529" t="s">
        <v>349</v>
      </c>
      <c r="B10" s="541" t="s">
        <v>7</v>
      </c>
      <c r="C10" s="541" t="s">
        <v>19</v>
      </c>
      <c r="D10" s="541" t="s">
        <v>15</v>
      </c>
      <c r="E10" s="541" t="s">
        <v>44</v>
      </c>
      <c r="F10" s="541" t="s">
        <v>130</v>
      </c>
      <c r="G10" s="542">
        <v>92.982675999999998</v>
      </c>
      <c r="H10" s="542">
        <v>20.805734000000001</v>
      </c>
      <c r="I10" s="541"/>
      <c r="J10" s="533">
        <v>18</v>
      </c>
      <c r="K10" s="533">
        <v>157</v>
      </c>
      <c r="L10" s="534">
        <v>8.7222222222222214</v>
      </c>
      <c r="M10" s="535" t="s">
        <v>343</v>
      </c>
      <c r="N10" s="535" t="s">
        <v>755</v>
      </c>
      <c r="O10" s="535" t="s">
        <v>808</v>
      </c>
      <c r="P10" s="536" t="s">
        <v>862</v>
      </c>
      <c r="Q10" s="535"/>
      <c r="R10" s="535" t="s">
        <v>773</v>
      </c>
      <c r="S10" s="535" t="s">
        <v>656</v>
      </c>
      <c r="T10" s="535" t="s">
        <v>774</v>
      </c>
      <c r="U10" s="535" t="s">
        <v>661</v>
      </c>
      <c r="V10" s="535" t="s">
        <v>285</v>
      </c>
      <c r="W10" s="535" t="s">
        <v>504</v>
      </c>
      <c r="X10" s="535" t="s">
        <v>519</v>
      </c>
      <c r="Y10" s="538">
        <v>42415</v>
      </c>
      <c r="Z10" s="535" t="s">
        <v>949</v>
      </c>
      <c r="AA10" s="542" t="s">
        <v>972</v>
      </c>
    </row>
    <row r="11" spans="1:27" x14ac:dyDescent="0.25">
      <c r="A11" s="529" t="s">
        <v>349</v>
      </c>
      <c r="B11" s="541" t="s">
        <v>7</v>
      </c>
      <c r="C11" s="541" t="s">
        <v>19</v>
      </c>
      <c r="D11" s="541" t="s">
        <v>15</v>
      </c>
      <c r="E11" s="541" t="s">
        <v>53</v>
      </c>
      <c r="F11" s="541" t="s">
        <v>139</v>
      </c>
      <c r="G11" s="542">
        <v>92.987399999999994</v>
      </c>
      <c r="H11" s="542">
        <v>20.78332</v>
      </c>
      <c r="I11" s="541"/>
      <c r="J11" s="533">
        <v>144</v>
      </c>
      <c r="K11" s="533">
        <v>1006</v>
      </c>
      <c r="L11" s="534">
        <v>7.1388888888888893</v>
      </c>
      <c r="M11" s="535" t="s">
        <v>343</v>
      </c>
      <c r="N11" s="535" t="s">
        <v>755</v>
      </c>
      <c r="O11" s="535" t="s">
        <v>808</v>
      </c>
      <c r="P11" s="536" t="s">
        <v>862</v>
      </c>
      <c r="Q11" s="535"/>
      <c r="R11" s="535" t="s">
        <v>773</v>
      </c>
      <c r="S11" s="535" t="s">
        <v>656</v>
      </c>
      <c r="T11" s="535" t="s">
        <v>774</v>
      </c>
      <c r="U11" s="535" t="s">
        <v>661</v>
      </c>
      <c r="V11" s="535" t="s">
        <v>285</v>
      </c>
      <c r="W11" s="535" t="s">
        <v>504</v>
      </c>
      <c r="X11" s="535" t="s">
        <v>926</v>
      </c>
      <c r="Y11" s="538">
        <v>42415</v>
      </c>
      <c r="Z11" s="535" t="s">
        <v>950</v>
      </c>
      <c r="AA11" s="542" t="s">
        <v>972</v>
      </c>
    </row>
    <row r="12" spans="1:27" x14ac:dyDescent="0.25">
      <c r="A12" s="529" t="s">
        <v>349</v>
      </c>
      <c r="B12" s="541" t="s">
        <v>7</v>
      </c>
      <c r="C12" s="541" t="s">
        <v>19</v>
      </c>
      <c r="D12" s="541" t="s">
        <v>15</v>
      </c>
      <c r="E12" s="541" t="s">
        <v>45</v>
      </c>
      <c r="F12" s="541" t="s">
        <v>131</v>
      </c>
      <c r="G12" s="542">
        <v>93.000815000000003</v>
      </c>
      <c r="H12" s="542">
        <v>20.929649000000001</v>
      </c>
      <c r="I12" s="541"/>
      <c r="J12" s="533">
        <v>63</v>
      </c>
      <c r="K12" s="533">
        <v>414</v>
      </c>
      <c r="L12" s="534">
        <v>6.67741935483871</v>
      </c>
      <c r="M12" s="535" t="s">
        <v>343</v>
      </c>
      <c r="N12" s="535" t="s">
        <v>755</v>
      </c>
      <c r="O12" s="535" t="s">
        <v>808</v>
      </c>
      <c r="P12" s="536" t="s">
        <v>862</v>
      </c>
      <c r="Q12" s="535"/>
      <c r="R12" s="535" t="s">
        <v>773</v>
      </c>
      <c r="S12" s="535" t="s">
        <v>656</v>
      </c>
      <c r="T12" s="535" t="s">
        <v>774</v>
      </c>
      <c r="U12" s="535" t="s">
        <v>661</v>
      </c>
      <c r="V12" s="535" t="s">
        <v>285</v>
      </c>
      <c r="W12" s="535" t="s">
        <v>504</v>
      </c>
      <c r="X12" s="535" t="s">
        <v>519</v>
      </c>
      <c r="Y12" s="538">
        <v>42415</v>
      </c>
      <c r="Z12" s="535" t="s">
        <v>951</v>
      </c>
      <c r="AA12" s="542" t="s">
        <v>972</v>
      </c>
    </row>
    <row r="13" spans="1:27" x14ac:dyDescent="0.25">
      <c r="A13" s="529" t="s">
        <v>349</v>
      </c>
      <c r="B13" s="541" t="s">
        <v>7</v>
      </c>
      <c r="C13" s="541" t="s">
        <v>19</v>
      </c>
      <c r="D13" s="541" t="s">
        <v>15</v>
      </c>
      <c r="E13" s="541" t="s">
        <v>52</v>
      </c>
      <c r="F13" s="541" t="s">
        <v>138</v>
      </c>
      <c r="G13" s="542">
        <v>92.969350000000006</v>
      </c>
      <c r="H13" s="542">
        <v>20.727589999999999</v>
      </c>
      <c r="I13" s="541"/>
      <c r="J13" s="533">
        <v>112</v>
      </c>
      <c r="K13" s="533">
        <v>738</v>
      </c>
      <c r="L13" s="534">
        <v>6.5625</v>
      </c>
      <c r="M13" s="535" t="s">
        <v>343</v>
      </c>
      <c r="N13" s="535" t="s">
        <v>755</v>
      </c>
      <c r="O13" s="535" t="s">
        <v>808</v>
      </c>
      <c r="P13" s="536" t="s">
        <v>862</v>
      </c>
      <c r="Q13" s="535"/>
      <c r="R13" s="535" t="s">
        <v>773</v>
      </c>
      <c r="S13" s="535" t="s">
        <v>656</v>
      </c>
      <c r="T13" s="535" t="s">
        <v>774</v>
      </c>
      <c r="U13" s="535" t="s">
        <v>661</v>
      </c>
      <c r="V13" s="535" t="s">
        <v>285</v>
      </c>
      <c r="W13" s="535" t="s">
        <v>504</v>
      </c>
      <c r="X13" s="535" t="s">
        <v>926</v>
      </c>
      <c r="Y13" s="538">
        <v>42415</v>
      </c>
      <c r="Z13" s="535" t="s">
        <v>952</v>
      </c>
      <c r="AA13" s="542" t="s">
        <v>972</v>
      </c>
    </row>
    <row r="14" spans="1:27" x14ac:dyDescent="0.25">
      <c r="A14" s="529" t="s">
        <v>349</v>
      </c>
      <c r="B14" s="541" t="s">
        <v>7</v>
      </c>
      <c r="C14" s="541" t="s">
        <v>19</v>
      </c>
      <c r="D14" s="541" t="s">
        <v>11</v>
      </c>
      <c r="E14" s="541" t="s">
        <v>30</v>
      </c>
      <c r="F14" s="541" t="s">
        <v>116</v>
      </c>
      <c r="G14" s="542">
        <v>93.299485000000004</v>
      </c>
      <c r="H14" s="542">
        <v>20.480898</v>
      </c>
      <c r="I14" s="541"/>
      <c r="J14" s="533">
        <v>86</v>
      </c>
      <c r="K14" s="533">
        <v>444</v>
      </c>
      <c r="L14" s="534">
        <v>5.7674418604651159</v>
      </c>
      <c r="M14" s="535" t="s">
        <v>343</v>
      </c>
      <c r="N14" s="535" t="s">
        <v>755</v>
      </c>
      <c r="O14" s="535" t="s">
        <v>808</v>
      </c>
      <c r="P14" s="536" t="s">
        <v>862</v>
      </c>
      <c r="Q14" s="535"/>
      <c r="R14" s="535" t="s">
        <v>773</v>
      </c>
      <c r="S14" s="535" t="s">
        <v>656</v>
      </c>
      <c r="T14" s="535" t="s">
        <v>774</v>
      </c>
      <c r="U14" s="535" t="s">
        <v>661</v>
      </c>
      <c r="V14" s="535" t="s">
        <v>285</v>
      </c>
      <c r="W14" s="535" t="s">
        <v>504</v>
      </c>
      <c r="X14" s="535" t="s">
        <v>926</v>
      </c>
      <c r="Y14" s="538">
        <v>42415</v>
      </c>
      <c r="Z14" s="535" t="s">
        <v>953</v>
      </c>
      <c r="AA14" s="542" t="s">
        <v>972</v>
      </c>
    </row>
    <row r="15" spans="1:27" x14ac:dyDescent="0.25">
      <c r="A15" s="529" t="s">
        <v>349</v>
      </c>
      <c r="B15" s="541" t="s">
        <v>7</v>
      </c>
      <c r="C15" s="541" t="s">
        <v>19</v>
      </c>
      <c r="D15" s="541" t="s">
        <v>11</v>
      </c>
      <c r="E15" s="541" t="s">
        <v>25</v>
      </c>
      <c r="F15" s="541" t="s">
        <v>111</v>
      </c>
      <c r="G15" s="542">
        <v>93.271642</v>
      </c>
      <c r="H15" s="542">
        <v>20.377523</v>
      </c>
      <c r="I15" s="541"/>
      <c r="J15" s="533">
        <v>19</v>
      </c>
      <c r="K15" s="533">
        <v>142</v>
      </c>
      <c r="L15" s="534">
        <v>7.4736842105263159</v>
      </c>
      <c r="M15" s="535" t="s">
        <v>343</v>
      </c>
      <c r="N15" s="535" t="s">
        <v>755</v>
      </c>
      <c r="O15" s="535" t="s">
        <v>808</v>
      </c>
      <c r="P15" s="536" t="s">
        <v>862</v>
      </c>
      <c r="Q15" s="535"/>
      <c r="R15" s="535" t="s">
        <v>773</v>
      </c>
      <c r="S15" s="535" t="s">
        <v>656</v>
      </c>
      <c r="T15" s="535" t="s">
        <v>774</v>
      </c>
      <c r="U15" s="535" t="s">
        <v>661</v>
      </c>
      <c r="V15" s="535" t="s">
        <v>285</v>
      </c>
      <c r="W15" s="535" t="s">
        <v>504</v>
      </c>
      <c r="X15" s="535" t="s">
        <v>519</v>
      </c>
      <c r="Y15" s="538">
        <v>42415</v>
      </c>
      <c r="Z15" s="535" t="s">
        <v>954</v>
      </c>
      <c r="AA15" s="542" t="s">
        <v>972</v>
      </c>
    </row>
    <row r="16" spans="1:27" x14ac:dyDescent="0.25">
      <c r="A16" s="529" t="s">
        <v>349</v>
      </c>
      <c r="B16" s="541" t="s">
        <v>7</v>
      </c>
      <c r="C16" s="541" t="s">
        <v>19</v>
      </c>
      <c r="D16" s="541" t="s">
        <v>11</v>
      </c>
      <c r="E16" s="541" t="s">
        <v>32</v>
      </c>
      <c r="F16" s="541" t="s">
        <v>118</v>
      </c>
      <c r="G16" s="542">
        <v>93.313627999999994</v>
      </c>
      <c r="H16" s="542">
        <v>20.407971</v>
      </c>
      <c r="I16" s="541"/>
      <c r="J16" s="533">
        <v>225</v>
      </c>
      <c r="K16" s="533">
        <v>1377</v>
      </c>
      <c r="L16" s="534">
        <v>5.8577777777777778</v>
      </c>
      <c r="M16" s="535" t="s">
        <v>343</v>
      </c>
      <c r="N16" s="535" t="s">
        <v>755</v>
      </c>
      <c r="O16" s="535" t="s">
        <v>808</v>
      </c>
      <c r="P16" s="536" t="s">
        <v>862</v>
      </c>
      <c r="Q16" s="535"/>
      <c r="R16" s="535" t="s">
        <v>773</v>
      </c>
      <c r="S16" s="535" t="s">
        <v>656</v>
      </c>
      <c r="T16" s="535" t="s">
        <v>774</v>
      </c>
      <c r="U16" s="535" t="s">
        <v>661</v>
      </c>
      <c r="V16" s="535" t="s">
        <v>285</v>
      </c>
      <c r="W16" s="535" t="s">
        <v>504</v>
      </c>
      <c r="X16" s="535" t="s">
        <v>926</v>
      </c>
      <c r="Y16" s="538">
        <v>42415</v>
      </c>
      <c r="Z16" s="535" t="s">
        <v>955</v>
      </c>
      <c r="AA16" s="542" t="s">
        <v>972</v>
      </c>
    </row>
    <row r="17" spans="1:27" x14ac:dyDescent="0.25">
      <c r="A17" s="529" t="s">
        <v>349</v>
      </c>
      <c r="B17" s="541" t="s">
        <v>7</v>
      </c>
      <c r="C17" s="541" t="s">
        <v>19</v>
      </c>
      <c r="D17" s="541" t="s">
        <v>11</v>
      </c>
      <c r="E17" s="541" t="s">
        <v>27</v>
      </c>
      <c r="F17" s="541" t="s">
        <v>113</v>
      </c>
      <c r="G17" s="542">
        <v>93.249669999999995</v>
      </c>
      <c r="H17" s="542">
        <v>20.39902</v>
      </c>
      <c r="I17" s="541"/>
      <c r="J17" s="533">
        <v>86</v>
      </c>
      <c r="K17" s="533">
        <v>476</v>
      </c>
      <c r="L17" s="534">
        <v>6.058139534883721</v>
      </c>
      <c r="M17" s="535" t="s">
        <v>343</v>
      </c>
      <c r="N17" s="535" t="s">
        <v>755</v>
      </c>
      <c r="O17" s="535" t="s">
        <v>808</v>
      </c>
      <c r="P17" s="536" t="s">
        <v>862</v>
      </c>
      <c r="Q17" s="535"/>
      <c r="R17" s="535" t="s">
        <v>773</v>
      </c>
      <c r="S17" s="535" t="s">
        <v>656</v>
      </c>
      <c r="T17" s="535" t="s">
        <v>774</v>
      </c>
      <c r="U17" s="535" t="s">
        <v>661</v>
      </c>
      <c r="V17" s="535" t="s">
        <v>285</v>
      </c>
      <c r="W17" s="535" t="s">
        <v>504</v>
      </c>
      <c r="X17" s="535" t="s">
        <v>926</v>
      </c>
      <c r="Y17" s="538">
        <v>42415</v>
      </c>
      <c r="Z17" s="535" t="s">
        <v>956</v>
      </c>
      <c r="AA17" s="542" t="s">
        <v>972</v>
      </c>
    </row>
    <row r="18" spans="1:27" x14ac:dyDescent="0.25">
      <c r="A18" s="529" t="s">
        <v>349</v>
      </c>
      <c r="B18" s="541" t="s">
        <v>7</v>
      </c>
      <c r="C18" s="541" t="s">
        <v>19</v>
      </c>
      <c r="D18" s="541" t="s">
        <v>11</v>
      </c>
      <c r="E18" s="541" t="s">
        <v>557</v>
      </c>
      <c r="F18" s="541" t="s">
        <v>558</v>
      </c>
      <c r="G18" s="542">
        <v>93.314695</v>
      </c>
      <c r="H18" s="542">
        <v>20.409645000000001</v>
      </c>
      <c r="I18" s="541"/>
      <c r="J18" s="533">
        <v>17</v>
      </c>
      <c r="K18" s="533">
        <v>72</v>
      </c>
      <c r="L18" s="534">
        <v>4</v>
      </c>
      <c r="M18" s="535" t="s">
        <v>343</v>
      </c>
      <c r="N18" s="535" t="s">
        <v>755</v>
      </c>
      <c r="O18" s="535" t="s">
        <v>23</v>
      </c>
      <c r="P18" s="536" t="s">
        <v>863</v>
      </c>
      <c r="Q18" s="535"/>
      <c r="R18" s="537" t="s">
        <v>7</v>
      </c>
      <c r="S18" s="537" t="s">
        <v>758</v>
      </c>
      <c r="T18" s="537" t="s">
        <v>759</v>
      </c>
      <c r="U18" s="535" t="s">
        <v>661</v>
      </c>
      <c r="V18" s="535" t="s">
        <v>285</v>
      </c>
      <c r="W18" s="535" t="s">
        <v>504</v>
      </c>
      <c r="X18" s="535" t="s">
        <v>519</v>
      </c>
      <c r="Y18" s="538">
        <v>42415</v>
      </c>
      <c r="Z18" s="535" t="s">
        <v>957</v>
      </c>
      <c r="AA18" s="542" t="s">
        <v>972</v>
      </c>
    </row>
    <row r="19" spans="1:27" x14ac:dyDescent="0.25">
      <c r="A19" s="529" t="s">
        <v>349</v>
      </c>
      <c r="B19" s="541" t="s">
        <v>7</v>
      </c>
      <c r="C19" s="541" t="s">
        <v>19</v>
      </c>
      <c r="D19" s="541" t="s">
        <v>11</v>
      </c>
      <c r="E19" s="541" t="s">
        <v>26</v>
      </c>
      <c r="F19" s="541" t="s">
        <v>112</v>
      </c>
      <c r="G19" s="542">
        <v>93.257272</v>
      </c>
      <c r="H19" s="542">
        <v>20.392137999999999</v>
      </c>
      <c r="I19" s="541"/>
      <c r="J19" s="533">
        <v>203</v>
      </c>
      <c r="K19" s="533">
        <v>1420</v>
      </c>
      <c r="L19" s="534">
        <v>5.3529411764705879</v>
      </c>
      <c r="M19" s="535" t="s">
        <v>343</v>
      </c>
      <c r="N19" s="535" t="s">
        <v>755</v>
      </c>
      <c r="O19" s="535" t="s">
        <v>808</v>
      </c>
      <c r="P19" s="536" t="s">
        <v>862</v>
      </c>
      <c r="Q19" s="535"/>
      <c r="R19" s="535" t="s">
        <v>773</v>
      </c>
      <c r="S19" s="535" t="s">
        <v>656</v>
      </c>
      <c r="T19" s="535" t="s">
        <v>774</v>
      </c>
      <c r="U19" s="535" t="s">
        <v>661</v>
      </c>
      <c r="V19" s="535" t="s">
        <v>285</v>
      </c>
      <c r="W19" s="535" t="s">
        <v>504</v>
      </c>
      <c r="X19" s="535" t="s">
        <v>926</v>
      </c>
      <c r="Y19" s="538">
        <v>42415</v>
      </c>
      <c r="Z19" s="535" t="s">
        <v>958</v>
      </c>
      <c r="AA19" s="542" t="s">
        <v>972</v>
      </c>
    </row>
    <row r="20" spans="1:27" x14ac:dyDescent="0.25">
      <c r="A20" s="529" t="s">
        <v>349</v>
      </c>
      <c r="B20" s="541" t="s">
        <v>7</v>
      </c>
      <c r="C20" s="541" t="s">
        <v>19</v>
      </c>
      <c r="D20" s="541" t="s">
        <v>11</v>
      </c>
      <c r="E20" s="541" t="s">
        <v>29</v>
      </c>
      <c r="F20" s="541" t="s">
        <v>115</v>
      </c>
      <c r="G20" s="542">
        <v>93.258573999999996</v>
      </c>
      <c r="H20" s="542">
        <v>20.587142</v>
      </c>
      <c r="I20" s="541"/>
      <c r="J20" s="533">
        <v>275</v>
      </c>
      <c r="K20" s="533">
        <v>1707</v>
      </c>
      <c r="L20" s="534">
        <v>5.9527272727272731</v>
      </c>
      <c r="M20" s="535" t="s">
        <v>343</v>
      </c>
      <c r="N20" s="535" t="s">
        <v>755</v>
      </c>
      <c r="O20" s="535" t="s">
        <v>808</v>
      </c>
      <c r="P20" s="536" t="s">
        <v>862</v>
      </c>
      <c r="Q20" s="535"/>
      <c r="R20" s="535" t="s">
        <v>773</v>
      </c>
      <c r="S20" s="535" t="s">
        <v>656</v>
      </c>
      <c r="T20" s="535" t="s">
        <v>774</v>
      </c>
      <c r="U20" s="535" t="s">
        <v>661</v>
      </c>
      <c r="V20" s="535" t="s">
        <v>285</v>
      </c>
      <c r="W20" s="535" t="s">
        <v>504</v>
      </c>
      <c r="X20" s="535" t="s">
        <v>926</v>
      </c>
      <c r="Y20" s="538">
        <v>42415</v>
      </c>
      <c r="Z20" s="535" t="s">
        <v>959</v>
      </c>
      <c r="AA20" s="542" t="s">
        <v>972</v>
      </c>
    </row>
    <row r="21" spans="1:27" x14ac:dyDescent="0.25">
      <c r="A21" s="529" t="s">
        <v>349</v>
      </c>
      <c r="B21" s="541" t="s">
        <v>7</v>
      </c>
      <c r="C21" s="541" t="s">
        <v>19</v>
      </c>
      <c r="D21" s="541" t="s">
        <v>12</v>
      </c>
      <c r="E21" s="541" t="s">
        <v>33</v>
      </c>
      <c r="F21" s="541" t="s">
        <v>119</v>
      </c>
      <c r="G21" s="542">
        <v>93.245551000000006</v>
      </c>
      <c r="H21" s="542">
        <v>20.576577</v>
      </c>
      <c r="I21" s="541"/>
      <c r="J21" s="533">
        <v>204</v>
      </c>
      <c r="K21" s="533">
        <v>1265</v>
      </c>
      <c r="L21" s="534">
        <v>5.5245098039215685</v>
      </c>
      <c r="M21" s="535" t="s">
        <v>343</v>
      </c>
      <c r="N21" s="535" t="s">
        <v>755</v>
      </c>
      <c r="O21" s="535" t="s">
        <v>808</v>
      </c>
      <c r="P21" s="536" t="s">
        <v>862</v>
      </c>
      <c r="Q21" s="535"/>
      <c r="R21" s="535" t="s">
        <v>773</v>
      </c>
      <c r="S21" s="535" t="s">
        <v>656</v>
      </c>
      <c r="T21" s="535" t="s">
        <v>774</v>
      </c>
      <c r="U21" s="535" t="s">
        <v>661</v>
      </c>
      <c r="V21" s="535" t="s">
        <v>285</v>
      </c>
      <c r="W21" s="535" t="s">
        <v>504</v>
      </c>
      <c r="X21" s="535" t="s">
        <v>926</v>
      </c>
      <c r="Y21" s="538">
        <v>42415</v>
      </c>
      <c r="Z21" s="535" t="s">
        <v>960</v>
      </c>
      <c r="AA21" s="542" t="s">
        <v>972</v>
      </c>
    </row>
    <row r="22" spans="1:27" x14ac:dyDescent="0.25">
      <c r="A22" s="529" t="s">
        <v>349</v>
      </c>
      <c r="B22" s="541" t="s">
        <v>7</v>
      </c>
      <c r="C22" s="541" t="s">
        <v>19</v>
      </c>
      <c r="D22" s="541" t="s">
        <v>12</v>
      </c>
      <c r="E22" s="541" t="s">
        <v>36</v>
      </c>
      <c r="F22" s="541" t="s">
        <v>122</v>
      </c>
      <c r="G22" s="542">
        <v>93.239519999999999</v>
      </c>
      <c r="H22" s="542">
        <v>20.61692</v>
      </c>
      <c r="I22" s="541"/>
      <c r="J22" s="533">
        <v>10</v>
      </c>
      <c r="K22" s="533">
        <v>64</v>
      </c>
      <c r="L22" s="534">
        <v>6.4</v>
      </c>
      <c r="M22" s="535" t="s">
        <v>343</v>
      </c>
      <c r="N22" s="535" t="s">
        <v>755</v>
      </c>
      <c r="O22" s="535" t="s">
        <v>23</v>
      </c>
      <c r="P22" s="536" t="s">
        <v>863</v>
      </c>
      <c r="Q22" s="535"/>
      <c r="R22" s="535" t="s">
        <v>657</v>
      </c>
      <c r="S22" s="537" t="s">
        <v>758</v>
      </c>
      <c r="T22" s="537" t="s">
        <v>942</v>
      </c>
      <c r="U22" s="535" t="s">
        <v>661</v>
      </c>
      <c r="V22" s="535" t="s">
        <v>285</v>
      </c>
      <c r="W22" s="535" t="s">
        <v>504</v>
      </c>
      <c r="X22" s="535" t="s">
        <v>519</v>
      </c>
      <c r="Y22" s="538">
        <v>42415</v>
      </c>
      <c r="Z22" s="535" t="s">
        <v>961</v>
      </c>
      <c r="AA22" s="542" t="s">
        <v>972</v>
      </c>
    </row>
    <row r="23" spans="1:27" x14ac:dyDescent="0.25">
      <c r="A23" s="529" t="s">
        <v>349</v>
      </c>
      <c r="B23" s="541" t="s">
        <v>7</v>
      </c>
      <c r="C23" s="541" t="s">
        <v>19</v>
      </c>
      <c r="D23" s="541" t="s">
        <v>12</v>
      </c>
      <c r="E23" s="541" t="s">
        <v>626</v>
      </c>
      <c r="F23" s="541" t="s">
        <v>627</v>
      </c>
      <c r="G23" s="542">
        <v>93.246863000000005</v>
      </c>
      <c r="H23" s="542">
        <v>20.495086000000001</v>
      </c>
      <c r="I23" s="541"/>
      <c r="J23" s="533">
        <v>31</v>
      </c>
      <c r="K23" s="533">
        <v>131</v>
      </c>
      <c r="L23" s="534">
        <v>4.225806451612903</v>
      </c>
      <c r="M23" s="535" t="s">
        <v>343</v>
      </c>
      <c r="N23" s="535" t="s">
        <v>755</v>
      </c>
      <c r="O23" s="535" t="s">
        <v>23</v>
      </c>
      <c r="P23" s="536" t="s">
        <v>863</v>
      </c>
      <c r="Q23" s="535"/>
      <c r="R23" s="535" t="s">
        <v>7</v>
      </c>
      <c r="S23" s="535" t="s">
        <v>758</v>
      </c>
      <c r="T23" s="535" t="s">
        <v>759</v>
      </c>
      <c r="U23" s="535" t="s">
        <v>661</v>
      </c>
      <c r="V23" s="535" t="s">
        <v>285</v>
      </c>
      <c r="W23" s="535" t="s">
        <v>504</v>
      </c>
      <c r="X23" s="535" t="s">
        <v>519</v>
      </c>
      <c r="Y23" s="538">
        <v>42415</v>
      </c>
      <c r="Z23" s="535" t="s">
        <v>962</v>
      </c>
      <c r="AA23" s="542" t="s">
        <v>972</v>
      </c>
    </row>
    <row r="24" spans="1:27" x14ac:dyDescent="0.25">
      <c r="A24" s="529" t="s">
        <v>349</v>
      </c>
      <c r="B24" s="541" t="s">
        <v>7</v>
      </c>
      <c r="C24" s="541" t="s">
        <v>19</v>
      </c>
      <c r="D24" s="541" t="s">
        <v>12</v>
      </c>
      <c r="E24" s="541" t="s">
        <v>34</v>
      </c>
      <c r="F24" s="541" t="s">
        <v>120</v>
      </c>
      <c r="G24" s="542">
        <v>93.217039999999997</v>
      </c>
      <c r="H24" s="542">
        <v>20.501757999999999</v>
      </c>
      <c r="I24" s="541"/>
      <c r="J24" s="533">
        <v>365</v>
      </c>
      <c r="K24" s="533">
        <v>2366</v>
      </c>
      <c r="L24" s="534">
        <v>6.4821917808219176</v>
      </c>
      <c r="M24" s="535" t="s">
        <v>343</v>
      </c>
      <c r="N24" s="535" t="s">
        <v>755</v>
      </c>
      <c r="O24" s="535" t="s">
        <v>808</v>
      </c>
      <c r="P24" s="536" t="s">
        <v>862</v>
      </c>
      <c r="Q24" s="535"/>
      <c r="R24" s="535" t="s">
        <v>773</v>
      </c>
      <c r="S24" s="535" t="s">
        <v>656</v>
      </c>
      <c r="T24" s="535" t="s">
        <v>774</v>
      </c>
      <c r="U24" s="535" t="s">
        <v>661</v>
      </c>
      <c r="V24" s="535" t="s">
        <v>285</v>
      </c>
      <c r="W24" s="535" t="s">
        <v>504</v>
      </c>
      <c r="X24" s="535" t="s">
        <v>926</v>
      </c>
      <c r="Y24" s="538">
        <v>42415</v>
      </c>
      <c r="Z24" s="535" t="s">
        <v>963</v>
      </c>
      <c r="AA24" s="542" t="s">
        <v>972</v>
      </c>
    </row>
    <row r="25" spans="1:27" ht="45" x14ac:dyDescent="0.25">
      <c r="A25" s="529" t="s">
        <v>349</v>
      </c>
      <c r="B25" s="541" t="s">
        <v>7</v>
      </c>
      <c r="C25" s="541" t="s">
        <v>19</v>
      </c>
      <c r="D25" s="541" t="s">
        <v>14</v>
      </c>
      <c r="E25" s="541" t="s">
        <v>39</v>
      </c>
      <c r="F25" s="541" t="s">
        <v>125</v>
      </c>
      <c r="G25" s="542">
        <v>93.067891000000003</v>
      </c>
      <c r="H25" s="542">
        <v>20.173468</v>
      </c>
      <c r="I25" s="541"/>
      <c r="J25" s="533">
        <v>21</v>
      </c>
      <c r="K25" s="533">
        <v>122</v>
      </c>
      <c r="L25" s="534">
        <v>5.8095238095238093</v>
      </c>
      <c r="M25" s="535" t="s">
        <v>343</v>
      </c>
      <c r="N25" s="535" t="s">
        <v>755</v>
      </c>
      <c r="O25" s="535" t="s">
        <v>22</v>
      </c>
      <c r="P25" s="536"/>
      <c r="Q25" s="535"/>
      <c r="R25" s="535" t="s">
        <v>7</v>
      </c>
      <c r="S25" s="535" t="s">
        <v>758</v>
      </c>
      <c r="T25" s="535" t="s">
        <v>759</v>
      </c>
      <c r="U25" s="535" t="s">
        <v>660</v>
      </c>
      <c r="V25" s="535" t="s">
        <v>623</v>
      </c>
      <c r="W25" s="535" t="s">
        <v>878</v>
      </c>
      <c r="X25" s="535" t="s">
        <v>879</v>
      </c>
      <c r="Y25" s="538">
        <v>42415</v>
      </c>
      <c r="Z25" s="535" t="s">
        <v>964</v>
      </c>
      <c r="AA25" s="553" t="s">
        <v>864</v>
      </c>
    </row>
    <row r="26" spans="1:27" x14ac:dyDescent="0.25">
      <c r="A26" s="530" t="s">
        <v>348</v>
      </c>
      <c r="B26" s="543" t="s">
        <v>7</v>
      </c>
      <c r="C26" s="543" t="s">
        <v>19</v>
      </c>
      <c r="D26" s="543" t="s">
        <v>14</v>
      </c>
      <c r="E26" s="543" t="s">
        <v>42</v>
      </c>
      <c r="F26" s="543" t="s">
        <v>128</v>
      </c>
      <c r="G26" s="544">
        <v>93.010368999999997</v>
      </c>
      <c r="H26" s="544">
        <v>20.090183</v>
      </c>
      <c r="I26" s="543"/>
      <c r="J26" s="546">
        <v>112</v>
      </c>
      <c r="K26" s="546">
        <v>616</v>
      </c>
      <c r="L26" s="547">
        <v>4.8249227600411944</v>
      </c>
      <c r="M26" s="548" t="s">
        <v>343</v>
      </c>
      <c r="N26" s="548" t="s">
        <v>755</v>
      </c>
      <c r="O26" s="548" t="s">
        <v>22</v>
      </c>
      <c r="P26" s="549"/>
      <c r="Q26" s="548"/>
      <c r="R26" s="548" t="s">
        <v>773</v>
      </c>
      <c r="S26" s="548" t="s">
        <v>656</v>
      </c>
      <c r="T26" s="548" t="s">
        <v>774</v>
      </c>
      <c r="U26" s="548" t="s">
        <v>661</v>
      </c>
      <c r="V26" s="548" t="s">
        <v>285</v>
      </c>
      <c r="W26" s="548" t="s">
        <v>878</v>
      </c>
      <c r="X26" s="548" t="s">
        <v>879</v>
      </c>
      <c r="Y26" s="538">
        <v>42415</v>
      </c>
      <c r="Z26" s="548" t="s">
        <v>941</v>
      </c>
      <c r="AA26" s="544" t="s">
        <v>973</v>
      </c>
    </row>
    <row r="27" spans="1:27" ht="45" x14ac:dyDescent="0.25">
      <c r="A27" s="530" t="s">
        <v>348</v>
      </c>
      <c r="B27" s="543" t="s">
        <v>7</v>
      </c>
      <c r="C27" s="543" t="s">
        <v>19</v>
      </c>
      <c r="D27" s="543" t="s">
        <v>14</v>
      </c>
      <c r="E27" s="543" t="s">
        <v>41</v>
      </c>
      <c r="F27" s="543" t="s">
        <v>127</v>
      </c>
      <c r="G27" s="544">
        <v>93.154551999999995</v>
      </c>
      <c r="H27" s="544">
        <v>20.073437999999999</v>
      </c>
      <c r="I27" s="543"/>
      <c r="J27" s="546">
        <v>775</v>
      </c>
      <c r="K27" s="546">
        <v>4262</v>
      </c>
      <c r="L27" s="547">
        <v>4.7418321588725174</v>
      </c>
      <c r="M27" s="548" t="s">
        <v>343</v>
      </c>
      <c r="N27" s="548" t="s">
        <v>755</v>
      </c>
      <c r="O27" s="548" t="s">
        <v>22</v>
      </c>
      <c r="P27" s="549"/>
      <c r="Q27" s="548"/>
      <c r="R27" s="548" t="s">
        <v>773</v>
      </c>
      <c r="S27" s="548" t="s">
        <v>656</v>
      </c>
      <c r="T27" s="548" t="s">
        <v>774</v>
      </c>
      <c r="U27" s="548" t="s">
        <v>660</v>
      </c>
      <c r="V27" s="548" t="s">
        <v>623</v>
      </c>
      <c r="W27" s="548" t="s">
        <v>878</v>
      </c>
      <c r="X27" s="548" t="s">
        <v>879</v>
      </c>
      <c r="Y27" s="538">
        <v>42415</v>
      </c>
      <c r="Z27" s="548" t="s">
        <v>940</v>
      </c>
      <c r="AA27" s="554" t="s">
        <v>864</v>
      </c>
    </row>
    <row r="28" spans="1:27" x14ac:dyDescent="0.25">
      <c r="A28" s="529" t="s">
        <v>349</v>
      </c>
      <c r="B28" s="541" t="s">
        <v>7</v>
      </c>
      <c r="C28" s="541" t="s">
        <v>19</v>
      </c>
      <c r="D28" s="541" t="s">
        <v>19</v>
      </c>
      <c r="E28" s="541" t="s">
        <v>638</v>
      </c>
      <c r="F28" s="541" t="s">
        <v>640</v>
      </c>
      <c r="G28" s="542">
        <v>92.887277999999995</v>
      </c>
      <c r="H28" s="542">
        <v>20.151471999999998</v>
      </c>
      <c r="I28" s="541"/>
      <c r="J28" s="533">
        <v>249</v>
      </c>
      <c r="K28" s="533">
        <v>1282</v>
      </c>
      <c r="L28" s="534">
        <v>5.1485943775100402</v>
      </c>
      <c r="M28" s="535" t="s">
        <v>343</v>
      </c>
      <c r="N28" s="535" t="s">
        <v>811</v>
      </c>
      <c r="O28" s="535" t="s">
        <v>22</v>
      </c>
      <c r="P28" s="536"/>
      <c r="Q28" s="535"/>
      <c r="R28" s="535" t="s">
        <v>7</v>
      </c>
      <c r="S28" s="535" t="s">
        <v>758</v>
      </c>
      <c r="T28" s="535" t="s">
        <v>759</v>
      </c>
      <c r="U28" s="535" t="s">
        <v>661</v>
      </c>
      <c r="V28" s="535" t="s">
        <v>285</v>
      </c>
      <c r="W28" s="535" t="s">
        <v>878</v>
      </c>
      <c r="X28" s="535" t="s">
        <v>879</v>
      </c>
      <c r="Y28" s="538">
        <v>42415</v>
      </c>
      <c r="Z28" s="535" t="s">
        <v>964</v>
      </c>
      <c r="AA28" s="545" t="s">
        <v>874</v>
      </c>
    </row>
    <row r="29" spans="1:27" x14ac:dyDescent="0.25">
      <c r="A29" s="529" t="s">
        <v>349</v>
      </c>
      <c r="B29" s="541" t="s">
        <v>7</v>
      </c>
      <c r="C29" s="541" t="s">
        <v>19</v>
      </c>
      <c r="D29" s="541" t="s">
        <v>19</v>
      </c>
      <c r="E29" s="541" t="s">
        <v>639</v>
      </c>
      <c r="F29" s="541" t="s">
        <v>641</v>
      </c>
      <c r="G29" s="542">
        <v>92.887277999999995</v>
      </c>
      <c r="H29" s="542">
        <v>20.151471999999998</v>
      </c>
      <c r="I29" s="541"/>
      <c r="J29" s="533">
        <v>418</v>
      </c>
      <c r="K29" s="533">
        <v>2200</v>
      </c>
      <c r="L29" s="534">
        <v>5.2631578947368425</v>
      </c>
      <c r="M29" s="535" t="s">
        <v>343</v>
      </c>
      <c r="N29" s="535" t="s">
        <v>811</v>
      </c>
      <c r="O29" s="535" t="s">
        <v>22</v>
      </c>
      <c r="P29" s="536"/>
      <c r="Q29" s="535"/>
      <c r="R29" s="535" t="s">
        <v>7</v>
      </c>
      <c r="S29" s="535" t="s">
        <v>758</v>
      </c>
      <c r="T29" s="535" t="s">
        <v>759</v>
      </c>
      <c r="U29" s="535" t="s">
        <v>661</v>
      </c>
      <c r="V29" s="535" t="s">
        <v>285</v>
      </c>
      <c r="W29" s="535" t="s">
        <v>878</v>
      </c>
      <c r="X29" s="535" t="s">
        <v>879</v>
      </c>
      <c r="Y29" s="538">
        <v>42415</v>
      </c>
      <c r="Z29" s="535" t="s">
        <v>965</v>
      </c>
      <c r="AA29" s="545" t="s">
        <v>874</v>
      </c>
    </row>
    <row r="30" spans="1:27" ht="45" x14ac:dyDescent="0.25">
      <c r="A30" s="529" t="s">
        <v>349</v>
      </c>
      <c r="B30" s="541" t="s">
        <v>7</v>
      </c>
      <c r="C30" s="541" t="s">
        <v>19</v>
      </c>
      <c r="D30" s="541" t="s">
        <v>19</v>
      </c>
      <c r="E30" s="541" t="s">
        <v>78</v>
      </c>
      <c r="F30" s="541" t="s">
        <v>166</v>
      </c>
      <c r="G30" s="542">
        <v>92.880319999999998</v>
      </c>
      <c r="H30" s="542">
        <v>20.148584</v>
      </c>
      <c r="I30" s="541"/>
      <c r="J30" s="533">
        <v>72</v>
      </c>
      <c r="K30" s="533">
        <v>489</v>
      </c>
      <c r="L30" s="534">
        <v>6.416666666666667</v>
      </c>
      <c r="M30" s="535" t="s">
        <v>343</v>
      </c>
      <c r="N30" s="535" t="s">
        <v>755</v>
      </c>
      <c r="O30" s="535" t="s">
        <v>22</v>
      </c>
      <c r="P30" s="536"/>
      <c r="Q30" s="535"/>
      <c r="R30" s="535" t="s">
        <v>657</v>
      </c>
      <c r="S30" s="535" t="s">
        <v>758</v>
      </c>
      <c r="T30" s="535" t="s">
        <v>942</v>
      </c>
      <c r="U30" s="535" t="s">
        <v>660</v>
      </c>
      <c r="V30" s="535" t="s">
        <v>623</v>
      </c>
      <c r="W30" s="535" t="s">
        <v>878</v>
      </c>
      <c r="X30" s="535" t="s">
        <v>879</v>
      </c>
      <c r="Y30" s="538">
        <v>42415</v>
      </c>
      <c r="Z30" s="535" t="s">
        <v>966</v>
      </c>
      <c r="AA30" s="553" t="s">
        <v>864</v>
      </c>
    </row>
    <row r="31" spans="1:27" ht="45" x14ac:dyDescent="0.25">
      <c r="A31" s="529" t="s">
        <v>349</v>
      </c>
      <c r="B31" s="541" t="s">
        <v>7</v>
      </c>
      <c r="C31" s="541" t="s">
        <v>19</v>
      </c>
      <c r="D31" s="541" t="s">
        <v>19</v>
      </c>
      <c r="E31" s="541" t="s">
        <v>245</v>
      </c>
      <c r="F31" s="541" t="s">
        <v>282</v>
      </c>
      <c r="G31" s="542">
        <v>92.879138999999995</v>
      </c>
      <c r="H31" s="542">
        <v>20.155805999999998</v>
      </c>
      <c r="I31" s="541"/>
      <c r="J31" s="533">
        <v>151</v>
      </c>
      <c r="K31" s="533">
        <v>652</v>
      </c>
      <c r="L31" s="534">
        <v>4.2384105960264904</v>
      </c>
      <c r="M31" s="535" t="s">
        <v>343</v>
      </c>
      <c r="N31" s="535" t="s">
        <v>755</v>
      </c>
      <c r="O31" s="535" t="s">
        <v>22</v>
      </c>
      <c r="P31" s="536"/>
      <c r="Q31" s="535"/>
      <c r="R31" s="535" t="s">
        <v>7</v>
      </c>
      <c r="S31" s="535" t="s">
        <v>758</v>
      </c>
      <c r="T31" s="535" t="s">
        <v>759</v>
      </c>
      <c r="U31" s="535" t="s">
        <v>660</v>
      </c>
      <c r="V31" s="535" t="s">
        <v>623</v>
      </c>
      <c r="W31" s="535" t="s">
        <v>878</v>
      </c>
      <c r="X31" s="535" t="s">
        <v>879</v>
      </c>
      <c r="Y31" s="538">
        <v>42415</v>
      </c>
      <c r="Z31" s="535" t="s">
        <v>967</v>
      </c>
      <c r="AA31" s="553" t="s">
        <v>864</v>
      </c>
    </row>
    <row r="32" spans="1:27" s="264" customFormat="1" x14ac:dyDescent="0.25">
      <c r="A32" s="551" t="s">
        <v>349</v>
      </c>
      <c r="B32" s="541" t="s">
        <v>7</v>
      </c>
      <c r="C32" s="541" t="s">
        <v>19</v>
      </c>
      <c r="D32" s="541" t="s">
        <v>16</v>
      </c>
      <c r="E32" s="541" t="s">
        <v>56</v>
      </c>
      <c r="F32" s="541" t="s">
        <v>142</v>
      </c>
      <c r="G32" s="542">
        <v>92.781294000000003</v>
      </c>
      <c r="H32" s="542">
        <v>20.399269</v>
      </c>
      <c r="I32" s="541"/>
      <c r="J32" s="533">
        <v>32</v>
      </c>
      <c r="K32" s="533">
        <v>162</v>
      </c>
      <c r="L32" s="534">
        <v>5.21875</v>
      </c>
      <c r="M32" s="535" t="s">
        <v>343</v>
      </c>
      <c r="N32" s="535" t="s">
        <v>755</v>
      </c>
      <c r="O32" s="535" t="s">
        <v>22</v>
      </c>
      <c r="P32" s="552"/>
      <c r="Q32" s="535"/>
      <c r="R32" s="535" t="s">
        <v>773</v>
      </c>
      <c r="S32" s="535" t="s">
        <v>656</v>
      </c>
      <c r="T32" s="535" t="s">
        <v>774</v>
      </c>
      <c r="U32" s="535" t="s">
        <v>661</v>
      </c>
      <c r="V32" s="535" t="s">
        <v>285</v>
      </c>
      <c r="W32" s="535" t="s">
        <v>504</v>
      </c>
      <c r="X32" s="535" t="s">
        <v>519</v>
      </c>
      <c r="Y32" s="538">
        <v>42415</v>
      </c>
      <c r="Z32" s="535" t="s">
        <v>968</v>
      </c>
      <c r="AA32" s="542" t="s">
        <v>874</v>
      </c>
    </row>
    <row r="33" spans="1:16376" s="264" customFormat="1" x14ac:dyDescent="0.25">
      <c r="A33" s="539" t="s">
        <v>349</v>
      </c>
      <c r="B33" s="539" t="s">
        <v>7</v>
      </c>
      <c r="C33" s="539" t="s">
        <v>19</v>
      </c>
      <c r="D33" s="539" t="s">
        <v>16</v>
      </c>
      <c r="E33" s="539" t="s">
        <v>55</v>
      </c>
      <c r="F33" s="539" t="s">
        <v>141</v>
      </c>
      <c r="G33" s="540">
        <v>92.785706000000005</v>
      </c>
      <c r="H33" s="540">
        <v>20.335864000000001</v>
      </c>
      <c r="I33" s="539"/>
      <c r="J33" s="531">
        <v>54</v>
      </c>
      <c r="K33" s="531">
        <v>324</v>
      </c>
      <c r="L33" s="532">
        <v>6.2857142857142856</v>
      </c>
      <c r="M33" s="550" t="s">
        <v>343</v>
      </c>
      <c r="N33" s="550" t="s">
        <v>755</v>
      </c>
      <c r="O33" s="550" t="s">
        <v>22</v>
      </c>
      <c r="P33" s="550"/>
      <c r="Q33" s="550"/>
      <c r="R33" s="550" t="s">
        <v>773</v>
      </c>
      <c r="S33" s="550" t="s">
        <v>656</v>
      </c>
      <c r="T33" s="550" t="s">
        <v>774</v>
      </c>
      <c r="U33" s="550" t="s">
        <v>661</v>
      </c>
      <c r="V33" s="550" t="s">
        <v>285</v>
      </c>
      <c r="W33" s="550" t="s">
        <v>504</v>
      </c>
      <c r="X33" s="550" t="s">
        <v>519</v>
      </c>
      <c r="Y33" s="538">
        <v>42415</v>
      </c>
      <c r="Z33" s="535" t="s">
        <v>969</v>
      </c>
      <c r="AA33" s="540" t="s">
        <v>874</v>
      </c>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c r="AKS33" s="153"/>
      <c r="AKT33" s="153"/>
      <c r="AKU33" s="153"/>
      <c r="AKV33" s="153"/>
      <c r="AKW33" s="153"/>
      <c r="AKX33" s="153"/>
      <c r="AKY33" s="153"/>
      <c r="AKZ33" s="153"/>
      <c r="ALA33" s="153"/>
      <c r="ALB33" s="153"/>
      <c r="ALC33" s="153"/>
      <c r="ALD33" s="153"/>
      <c r="ALE33" s="153"/>
      <c r="ALF33" s="153"/>
      <c r="ALG33" s="153"/>
      <c r="ALH33" s="153"/>
      <c r="ALI33" s="153"/>
      <c r="ALJ33" s="153"/>
      <c r="ALK33" s="153"/>
      <c r="ALL33" s="153"/>
      <c r="ALM33" s="153"/>
      <c r="ALN33" s="153"/>
      <c r="ALO33" s="153"/>
      <c r="ALP33" s="153"/>
      <c r="ALQ33" s="153"/>
      <c r="ALR33" s="153"/>
      <c r="ALS33" s="153"/>
      <c r="ALT33" s="153"/>
      <c r="ALU33" s="153"/>
      <c r="ALV33" s="153"/>
      <c r="ALW33" s="153"/>
      <c r="ALX33" s="153"/>
      <c r="ALY33" s="153"/>
      <c r="ALZ33" s="153"/>
      <c r="AMA33" s="153"/>
      <c r="AMB33" s="153"/>
      <c r="AMC33" s="153"/>
      <c r="AMD33" s="153"/>
      <c r="AME33" s="153"/>
      <c r="AMF33" s="153"/>
      <c r="AMG33" s="153"/>
      <c r="AMH33" s="153"/>
      <c r="AMI33" s="153"/>
      <c r="AMJ33" s="153"/>
      <c r="AMK33" s="153"/>
      <c r="AML33" s="153"/>
      <c r="AMM33" s="153"/>
      <c r="AMN33" s="153"/>
      <c r="AMO33" s="153"/>
      <c r="AMP33" s="153"/>
      <c r="AMQ33" s="153"/>
      <c r="AMR33" s="153"/>
      <c r="AMS33" s="153"/>
      <c r="AMT33" s="153"/>
      <c r="AMU33" s="153"/>
      <c r="AMV33" s="153"/>
      <c r="AMW33" s="153"/>
      <c r="AMX33" s="153"/>
      <c r="AMY33" s="153"/>
      <c r="AMZ33" s="153"/>
      <c r="ANA33" s="153"/>
      <c r="ANB33" s="153"/>
      <c r="ANC33" s="153"/>
      <c r="AND33" s="153"/>
      <c r="ANE33" s="153"/>
      <c r="ANF33" s="153"/>
      <c r="ANG33" s="153"/>
      <c r="ANH33" s="153"/>
      <c r="ANI33" s="153"/>
      <c r="ANJ33" s="153"/>
      <c r="ANK33" s="153"/>
      <c r="ANL33" s="153"/>
      <c r="ANM33" s="153"/>
      <c r="ANN33" s="153"/>
      <c r="ANO33" s="153"/>
      <c r="ANP33" s="153"/>
      <c r="ANQ33" s="153"/>
      <c r="ANR33" s="153"/>
      <c r="ANS33" s="153"/>
      <c r="ANT33" s="153"/>
      <c r="ANU33" s="153"/>
      <c r="ANV33" s="153"/>
      <c r="ANW33" s="153"/>
      <c r="ANX33" s="153"/>
      <c r="ANY33" s="153"/>
      <c r="ANZ33" s="153"/>
      <c r="AOA33" s="153"/>
      <c r="AOB33" s="153"/>
      <c r="AOC33" s="153"/>
      <c r="AOD33" s="153"/>
      <c r="AOE33" s="153"/>
      <c r="AOF33" s="153"/>
      <c r="AOG33" s="153"/>
      <c r="AOH33" s="153"/>
      <c r="AOI33" s="153"/>
      <c r="AOJ33" s="153"/>
      <c r="AOK33" s="153"/>
      <c r="AOL33" s="153"/>
      <c r="AOM33" s="153"/>
      <c r="AON33" s="153"/>
      <c r="AOO33" s="153"/>
      <c r="AOP33" s="153"/>
      <c r="AOQ33" s="153"/>
      <c r="AOR33" s="153"/>
      <c r="AOS33" s="153"/>
      <c r="AOT33" s="153"/>
      <c r="AOU33" s="153"/>
      <c r="AOV33" s="153"/>
      <c r="AOW33" s="153"/>
      <c r="AOX33" s="153"/>
      <c r="AOY33" s="153"/>
      <c r="AOZ33" s="153"/>
      <c r="APA33" s="153"/>
      <c r="APB33" s="153"/>
      <c r="APC33" s="153"/>
      <c r="APD33" s="153"/>
      <c r="APE33" s="153"/>
      <c r="APF33" s="153"/>
      <c r="APG33" s="153"/>
      <c r="APH33" s="153"/>
      <c r="API33" s="153"/>
      <c r="APJ33" s="153"/>
      <c r="APK33" s="153"/>
      <c r="APL33" s="153"/>
      <c r="APM33" s="153"/>
      <c r="APN33" s="153"/>
      <c r="APO33" s="153"/>
      <c r="APP33" s="153"/>
      <c r="APQ33" s="153"/>
      <c r="APR33" s="153"/>
      <c r="APS33" s="153"/>
      <c r="APT33" s="153"/>
      <c r="APU33" s="153"/>
      <c r="APV33" s="153"/>
      <c r="APW33" s="153"/>
      <c r="APX33" s="153"/>
      <c r="APY33" s="153"/>
      <c r="APZ33" s="153"/>
      <c r="AQA33" s="153"/>
      <c r="AQB33" s="153"/>
      <c r="AQC33" s="153"/>
      <c r="AQD33" s="153"/>
      <c r="AQE33" s="153"/>
      <c r="AQF33" s="153"/>
      <c r="AQG33" s="153"/>
      <c r="AQH33" s="153"/>
      <c r="AQI33" s="153"/>
      <c r="AQJ33" s="153"/>
      <c r="AQK33" s="153"/>
      <c r="AQL33" s="153"/>
      <c r="AQM33" s="153"/>
      <c r="AQN33" s="153"/>
      <c r="AQO33" s="153"/>
      <c r="AQP33" s="153"/>
      <c r="AQQ33" s="153"/>
      <c r="AQR33" s="153"/>
      <c r="AQS33" s="153"/>
      <c r="AQT33" s="153"/>
      <c r="AQU33" s="153"/>
      <c r="AQV33" s="153"/>
      <c r="AQW33" s="153"/>
      <c r="AQX33" s="153"/>
      <c r="AQY33" s="153"/>
      <c r="AQZ33" s="153"/>
      <c r="ARA33" s="153"/>
      <c r="ARB33" s="153"/>
      <c r="ARC33" s="153"/>
      <c r="ARD33" s="153"/>
      <c r="ARE33" s="153"/>
      <c r="ARF33" s="153"/>
      <c r="ARG33" s="153"/>
      <c r="ARH33" s="153"/>
      <c r="ARI33" s="153"/>
      <c r="ARJ33" s="153"/>
      <c r="ARK33" s="153"/>
      <c r="ARL33" s="153"/>
      <c r="ARM33" s="153"/>
      <c r="ARN33" s="153"/>
      <c r="ARO33" s="153"/>
      <c r="ARP33" s="153"/>
      <c r="ARQ33" s="153"/>
      <c r="ARR33" s="153"/>
      <c r="ARS33" s="153"/>
      <c r="ART33" s="153"/>
      <c r="ARU33" s="153"/>
      <c r="ARV33" s="153"/>
      <c r="ARW33" s="153"/>
      <c r="ARX33" s="153"/>
      <c r="ARY33" s="153"/>
      <c r="ARZ33" s="153"/>
      <c r="ASA33" s="153"/>
      <c r="ASB33" s="153"/>
      <c r="ASC33" s="153"/>
      <c r="ASD33" s="153"/>
      <c r="ASE33" s="153"/>
      <c r="ASF33" s="153"/>
      <c r="ASG33" s="153"/>
      <c r="ASH33" s="153"/>
      <c r="ASI33" s="153"/>
      <c r="ASJ33" s="153"/>
      <c r="ASK33" s="153"/>
      <c r="ASL33" s="153"/>
      <c r="ASM33" s="153"/>
      <c r="ASN33" s="153"/>
      <c r="ASO33" s="153"/>
      <c r="ASP33" s="153"/>
      <c r="ASQ33" s="153"/>
      <c r="ASR33" s="153"/>
      <c r="ASS33" s="153"/>
      <c r="AST33" s="153"/>
      <c r="ASU33" s="153"/>
      <c r="ASV33" s="153"/>
      <c r="ASW33" s="153"/>
      <c r="ASX33" s="153"/>
      <c r="ASY33" s="153"/>
      <c r="ASZ33" s="153"/>
      <c r="ATA33" s="153"/>
      <c r="ATB33" s="153"/>
      <c r="ATC33" s="153"/>
      <c r="ATD33" s="153"/>
      <c r="ATE33" s="153"/>
      <c r="ATF33" s="153"/>
      <c r="ATG33" s="153"/>
      <c r="ATH33" s="153"/>
      <c r="ATI33" s="153"/>
      <c r="ATJ33" s="153"/>
      <c r="ATK33" s="153"/>
      <c r="ATL33" s="153"/>
      <c r="ATM33" s="153"/>
      <c r="ATN33" s="153"/>
      <c r="ATO33" s="153"/>
      <c r="ATP33" s="153"/>
      <c r="ATQ33" s="153"/>
      <c r="ATR33" s="153"/>
      <c r="ATS33" s="153"/>
      <c r="ATT33" s="153"/>
      <c r="ATU33" s="153"/>
      <c r="ATV33" s="153"/>
      <c r="ATW33" s="153"/>
      <c r="ATX33" s="153"/>
      <c r="ATY33" s="153"/>
      <c r="ATZ33" s="153"/>
      <c r="AUA33" s="153"/>
      <c r="AUB33" s="153"/>
      <c r="AUC33" s="153"/>
      <c r="AUD33" s="153"/>
      <c r="AUE33" s="153"/>
      <c r="AUF33" s="153"/>
      <c r="AUG33" s="153"/>
      <c r="AUH33" s="153"/>
      <c r="AUI33" s="153"/>
      <c r="AUJ33" s="153"/>
      <c r="AUK33" s="153"/>
      <c r="AUL33" s="153"/>
      <c r="AUM33" s="153"/>
      <c r="AUN33" s="153"/>
      <c r="AUO33" s="153"/>
      <c r="AUP33" s="153"/>
      <c r="AUQ33" s="153"/>
      <c r="AUR33" s="153"/>
      <c r="AUS33" s="153"/>
      <c r="AUT33" s="153"/>
      <c r="AUU33" s="153"/>
      <c r="AUV33" s="153"/>
      <c r="AUW33" s="153"/>
      <c r="AUX33" s="153"/>
      <c r="AUY33" s="153"/>
      <c r="AUZ33" s="153"/>
      <c r="AVA33" s="153"/>
      <c r="AVB33" s="153"/>
      <c r="AVC33" s="153"/>
      <c r="AVD33" s="153"/>
      <c r="AVE33" s="153"/>
      <c r="AVF33" s="153"/>
      <c r="AVG33" s="153"/>
      <c r="AVH33" s="153"/>
      <c r="AVI33" s="153"/>
      <c r="AVJ33" s="153"/>
      <c r="AVK33" s="153"/>
      <c r="AVL33" s="153"/>
      <c r="AVM33" s="153"/>
      <c r="AVN33" s="153"/>
      <c r="AVO33" s="153"/>
      <c r="AVP33" s="153"/>
      <c r="AVQ33" s="153"/>
      <c r="AVR33" s="153"/>
      <c r="AVS33" s="153"/>
      <c r="AVT33" s="153"/>
      <c r="AVU33" s="153"/>
      <c r="AVV33" s="153"/>
      <c r="AVW33" s="153"/>
      <c r="AVX33" s="153"/>
      <c r="AVY33" s="153"/>
      <c r="AVZ33" s="153"/>
      <c r="AWA33" s="153"/>
      <c r="AWB33" s="153"/>
      <c r="AWC33" s="153"/>
      <c r="AWD33" s="153"/>
      <c r="AWE33" s="153"/>
      <c r="AWF33" s="153"/>
      <c r="AWG33" s="153"/>
      <c r="AWH33" s="153"/>
      <c r="AWI33" s="153"/>
      <c r="AWJ33" s="153"/>
      <c r="AWK33" s="153"/>
      <c r="AWL33" s="153"/>
      <c r="AWM33" s="153"/>
      <c r="AWN33" s="153"/>
      <c r="AWO33" s="153"/>
      <c r="AWP33" s="153"/>
      <c r="AWQ33" s="153"/>
      <c r="AWR33" s="153"/>
      <c r="AWS33" s="153"/>
      <c r="AWT33" s="153"/>
      <c r="AWU33" s="153"/>
      <c r="AWV33" s="153"/>
      <c r="AWW33" s="153"/>
      <c r="AWX33" s="153"/>
      <c r="AWY33" s="153"/>
      <c r="AWZ33" s="153"/>
      <c r="AXA33" s="153"/>
      <c r="AXB33" s="153"/>
      <c r="AXC33" s="153"/>
      <c r="AXD33" s="153"/>
      <c r="AXE33" s="153"/>
      <c r="AXF33" s="153"/>
      <c r="AXG33" s="153"/>
      <c r="AXH33" s="153"/>
      <c r="AXI33" s="153"/>
      <c r="AXJ33" s="153"/>
      <c r="AXK33" s="153"/>
      <c r="AXL33" s="153"/>
      <c r="AXM33" s="153"/>
      <c r="AXN33" s="153"/>
      <c r="AXO33" s="153"/>
      <c r="AXP33" s="153"/>
      <c r="AXQ33" s="153"/>
      <c r="AXR33" s="153"/>
      <c r="AXS33" s="153"/>
      <c r="AXT33" s="153"/>
      <c r="AXU33" s="153"/>
      <c r="AXV33" s="153"/>
      <c r="AXW33" s="153"/>
      <c r="AXX33" s="153"/>
      <c r="AXY33" s="153"/>
      <c r="AXZ33" s="153"/>
      <c r="AYA33" s="153"/>
      <c r="AYB33" s="153"/>
      <c r="AYC33" s="153"/>
      <c r="AYD33" s="153"/>
      <c r="AYE33" s="153"/>
      <c r="AYF33" s="153"/>
      <c r="AYG33" s="153"/>
      <c r="AYH33" s="153"/>
      <c r="AYI33" s="153"/>
      <c r="AYJ33" s="153"/>
      <c r="AYK33" s="153"/>
      <c r="AYL33" s="153"/>
      <c r="AYM33" s="153"/>
      <c r="AYN33" s="153"/>
      <c r="AYO33" s="153"/>
      <c r="AYP33" s="153"/>
      <c r="AYQ33" s="153"/>
      <c r="AYR33" s="153"/>
      <c r="AYS33" s="153"/>
      <c r="AYT33" s="153"/>
      <c r="AYU33" s="153"/>
      <c r="AYV33" s="153"/>
      <c r="AYW33" s="153"/>
      <c r="AYX33" s="153"/>
      <c r="AYY33" s="153"/>
      <c r="AYZ33" s="153"/>
      <c r="AZA33" s="153"/>
      <c r="AZB33" s="153"/>
      <c r="AZC33" s="153"/>
      <c r="AZD33" s="153"/>
      <c r="AZE33" s="153"/>
      <c r="AZF33" s="153"/>
      <c r="AZG33" s="153"/>
      <c r="AZH33" s="153"/>
      <c r="AZI33" s="153"/>
      <c r="AZJ33" s="153"/>
      <c r="AZK33" s="153"/>
      <c r="AZL33" s="153"/>
      <c r="AZM33" s="153"/>
      <c r="AZN33" s="153"/>
      <c r="AZO33" s="153"/>
      <c r="AZP33" s="153"/>
      <c r="AZQ33" s="153"/>
      <c r="AZR33" s="153"/>
      <c r="AZS33" s="153"/>
      <c r="AZT33" s="153"/>
      <c r="AZU33" s="153"/>
      <c r="AZV33" s="153"/>
      <c r="AZW33" s="153"/>
      <c r="AZX33" s="153"/>
      <c r="AZY33" s="153"/>
      <c r="AZZ33" s="153"/>
      <c r="BAA33" s="153"/>
      <c r="BAB33" s="153"/>
      <c r="BAC33" s="153"/>
      <c r="BAD33" s="153"/>
      <c r="BAE33" s="153"/>
      <c r="BAF33" s="153"/>
      <c r="BAG33" s="153"/>
      <c r="BAH33" s="153"/>
      <c r="BAI33" s="153"/>
      <c r="BAJ33" s="153"/>
      <c r="BAK33" s="153"/>
      <c r="BAL33" s="153"/>
      <c r="BAM33" s="153"/>
      <c r="BAN33" s="153"/>
      <c r="BAO33" s="153"/>
      <c r="BAP33" s="153"/>
      <c r="BAQ33" s="153"/>
      <c r="BAR33" s="153"/>
      <c r="BAS33" s="153"/>
      <c r="BAT33" s="153"/>
      <c r="BAU33" s="153"/>
      <c r="BAV33" s="153"/>
      <c r="BAW33" s="153"/>
      <c r="BAX33" s="153"/>
      <c r="BAY33" s="153"/>
      <c r="BAZ33" s="153"/>
      <c r="BBA33" s="153"/>
      <c r="BBB33" s="153"/>
      <c r="BBC33" s="153"/>
      <c r="BBD33" s="153"/>
      <c r="BBE33" s="153"/>
      <c r="BBF33" s="153"/>
      <c r="BBG33" s="153"/>
      <c r="BBH33" s="153"/>
      <c r="BBI33" s="153"/>
      <c r="BBJ33" s="153"/>
      <c r="BBK33" s="153"/>
      <c r="BBL33" s="153"/>
      <c r="BBM33" s="153"/>
      <c r="BBN33" s="153"/>
      <c r="BBO33" s="153"/>
      <c r="BBP33" s="153"/>
      <c r="BBQ33" s="153"/>
      <c r="BBR33" s="153"/>
      <c r="BBS33" s="153"/>
      <c r="BBT33" s="153"/>
      <c r="BBU33" s="153"/>
      <c r="BBV33" s="153"/>
      <c r="BBW33" s="153"/>
      <c r="BBX33" s="153"/>
      <c r="BBY33" s="153"/>
      <c r="BBZ33" s="153"/>
      <c r="BCA33" s="153"/>
      <c r="BCB33" s="153"/>
      <c r="BCC33" s="153"/>
      <c r="BCD33" s="153"/>
      <c r="BCE33" s="153"/>
      <c r="BCF33" s="153"/>
      <c r="BCG33" s="153"/>
      <c r="BCH33" s="153"/>
      <c r="BCI33" s="153"/>
      <c r="BCJ33" s="153"/>
      <c r="BCK33" s="153"/>
      <c r="BCL33" s="153"/>
      <c r="BCM33" s="153"/>
      <c r="BCN33" s="153"/>
      <c r="BCO33" s="153"/>
      <c r="BCP33" s="153"/>
      <c r="BCQ33" s="153"/>
      <c r="BCR33" s="153"/>
      <c r="BCS33" s="153"/>
      <c r="BCT33" s="153"/>
      <c r="BCU33" s="153"/>
      <c r="BCV33" s="153"/>
      <c r="BCW33" s="153"/>
      <c r="BCX33" s="153"/>
      <c r="BCY33" s="153"/>
      <c r="BCZ33" s="153"/>
      <c r="BDA33" s="153"/>
      <c r="BDB33" s="153"/>
      <c r="BDC33" s="153"/>
      <c r="BDD33" s="153"/>
      <c r="BDE33" s="153"/>
      <c r="BDF33" s="153"/>
      <c r="BDG33" s="153"/>
      <c r="BDH33" s="153"/>
      <c r="BDI33" s="153"/>
      <c r="BDJ33" s="153"/>
      <c r="BDK33" s="153"/>
      <c r="BDL33" s="153"/>
      <c r="BDM33" s="153"/>
      <c r="BDN33" s="153"/>
      <c r="BDO33" s="153"/>
      <c r="BDP33" s="153"/>
      <c r="BDQ33" s="153"/>
      <c r="BDR33" s="153"/>
      <c r="BDS33" s="153"/>
      <c r="BDT33" s="153"/>
      <c r="BDU33" s="153"/>
      <c r="BDV33" s="153"/>
      <c r="BDW33" s="153"/>
      <c r="BDX33" s="153"/>
      <c r="BDY33" s="153"/>
      <c r="BDZ33" s="153"/>
      <c r="BEA33" s="153"/>
      <c r="BEB33" s="153"/>
      <c r="BEC33" s="153"/>
      <c r="BED33" s="153"/>
      <c r="BEE33" s="153"/>
      <c r="BEF33" s="153"/>
      <c r="BEG33" s="153"/>
      <c r="BEH33" s="153"/>
      <c r="BEI33" s="153"/>
      <c r="BEJ33" s="153"/>
      <c r="BEK33" s="153"/>
      <c r="BEL33" s="153"/>
      <c r="BEM33" s="153"/>
      <c r="BEN33" s="153"/>
      <c r="BEO33" s="153"/>
      <c r="BEP33" s="153"/>
      <c r="BEQ33" s="153"/>
      <c r="BER33" s="153"/>
      <c r="BES33" s="153"/>
      <c r="BET33" s="153"/>
      <c r="BEU33" s="153"/>
      <c r="BEV33" s="153"/>
      <c r="BEW33" s="153"/>
      <c r="BEX33" s="153"/>
      <c r="BEY33" s="153"/>
      <c r="BEZ33" s="153"/>
      <c r="BFA33" s="153"/>
      <c r="BFB33" s="153"/>
      <c r="BFC33" s="153"/>
      <c r="BFD33" s="153"/>
      <c r="BFE33" s="153"/>
      <c r="BFF33" s="153"/>
      <c r="BFG33" s="153"/>
      <c r="BFH33" s="153"/>
      <c r="BFI33" s="153"/>
      <c r="BFJ33" s="153"/>
      <c r="BFK33" s="153"/>
      <c r="BFL33" s="153"/>
      <c r="BFM33" s="153"/>
      <c r="BFN33" s="153"/>
      <c r="BFO33" s="153"/>
      <c r="BFP33" s="153"/>
      <c r="BFQ33" s="153"/>
      <c r="BFR33" s="153"/>
      <c r="BFS33" s="153"/>
      <c r="BFT33" s="153"/>
      <c r="BFU33" s="153"/>
      <c r="BFV33" s="153"/>
      <c r="BFW33" s="153"/>
      <c r="BFX33" s="153"/>
      <c r="BFY33" s="153"/>
      <c r="BFZ33" s="153"/>
      <c r="BGA33" s="153"/>
      <c r="BGB33" s="153"/>
      <c r="BGC33" s="153"/>
      <c r="BGD33" s="153"/>
      <c r="BGE33" s="153"/>
      <c r="BGF33" s="153"/>
      <c r="BGG33" s="153"/>
      <c r="BGH33" s="153"/>
      <c r="BGI33" s="153"/>
      <c r="BGJ33" s="153"/>
      <c r="BGK33" s="153"/>
      <c r="BGL33" s="153"/>
      <c r="BGM33" s="153"/>
      <c r="BGN33" s="153"/>
      <c r="BGO33" s="153"/>
      <c r="BGP33" s="153"/>
      <c r="BGQ33" s="153"/>
      <c r="BGR33" s="153"/>
      <c r="BGS33" s="153"/>
      <c r="BGT33" s="153"/>
      <c r="BGU33" s="153"/>
      <c r="BGV33" s="153"/>
      <c r="BGW33" s="153"/>
      <c r="BGX33" s="153"/>
      <c r="BGY33" s="153"/>
      <c r="BGZ33" s="153"/>
      <c r="BHA33" s="153"/>
      <c r="BHB33" s="153"/>
      <c r="BHC33" s="153"/>
      <c r="BHD33" s="153"/>
      <c r="BHE33" s="153"/>
      <c r="BHF33" s="153"/>
      <c r="BHG33" s="153"/>
      <c r="BHH33" s="153"/>
      <c r="BHI33" s="153"/>
      <c r="BHJ33" s="153"/>
      <c r="BHK33" s="153"/>
      <c r="BHL33" s="153"/>
      <c r="BHM33" s="153"/>
      <c r="BHN33" s="153"/>
      <c r="BHO33" s="153"/>
      <c r="BHP33" s="153"/>
      <c r="BHQ33" s="153"/>
      <c r="BHR33" s="153"/>
      <c r="BHS33" s="153"/>
      <c r="BHT33" s="153"/>
      <c r="BHU33" s="153"/>
      <c r="BHV33" s="153"/>
      <c r="BHW33" s="153"/>
      <c r="BHX33" s="153"/>
      <c r="BHY33" s="153"/>
      <c r="BHZ33" s="153"/>
      <c r="BIA33" s="153"/>
      <c r="BIB33" s="153"/>
      <c r="BIC33" s="153"/>
      <c r="BID33" s="153"/>
      <c r="BIE33" s="153"/>
      <c r="BIF33" s="153"/>
      <c r="BIG33" s="153"/>
      <c r="BIH33" s="153"/>
      <c r="BII33" s="153"/>
      <c r="BIJ33" s="153"/>
      <c r="BIK33" s="153"/>
      <c r="BIL33" s="153"/>
      <c r="BIM33" s="153"/>
      <c r="BIN33" s="153"/>
      <c r="BIO33" s="153"/>
      <c r="BIP33" s="153"/>
      <c r="BIQ33" s="153"/>
      <c r="BIR33" s="153"/>
      <c r="BIS33" s="153"/>
      <c r="BIT33" s="153"/>
      <c r="BIU33" s="153"/>
      <c r="BIV33" s="153"/>
      <c r="BIW33" s="153"/>
      <c r="BIX33" s="153"/>
      <c r="BIY33" s="153"/>
      <c r="BIZ33" s="153"/>
      <c r="BJA33" s="153"/>
      <c r="BJB33" s="153"/>
      <c r="BJC33" s="153"/>
      <c r="BJD33" s="153"/>
      <c r="BJE33" s="153"/>
      <c r="BJF33" s="153"/>
      <c r="BJG33" s="153"/>
      <c r="BJH33" s="153"/>
      <c r="BJI33" s="153"/>
      <c r="BJJ33" s="153"/>
      <c r="BJK33" s="153"/>
      <c r="BJL33" s="153"/>
      <c r="BJM33" s="153"/>
      <c r="BJN33" s="153"/>
      <c r="BJO33" s="153"/>
      <c r="BJP33" s="153"/>
      <c r="BJQ33" s="153"/>
      <c r="BJR33" s="153"/>
      <c r="BJS33" s="153"/>
      <c r="BJT33" s="153"/>
      <c r="BJU33" s="153"/>
      <c r="BJV33" s="153"/>
      <c r="BJW33" s="153"/>
      <c r="BJX33" s="153"/>
      <c r="BJY33" s="153"/>
      <c r="BJZ33" s="153"/>
      <c r="BKA33" s="153"/>
      <c r="BKB33" s="153"/>
      <c r="BKC33" s="153"/>
      <c r="BKD33" s="153"/>
      <c r="BKE33" s="153"/>
      <c r="BKF33" s="153"/>
      <c r="BKG33" s="153"/>
      <c r="BKH33" s="153"/>
      <c r="BKI33" s="153"/>
      <c r="BKJ33" s="153"/>
      <c r="BKK33" s="153"/>
      <c r="BKL33" s="153"/>
      <c r="BKM33" s="153"/>
      <c r="BKN33" s="153"/>
      <c r="BKO33" s="153"/>
      <c r="BKP33" s="153"/>
      <c r="BKQ33" s="153"/>
      <c r="BKR33" s="153"/>
      <c r="BKS33" s="153"/>
      <c r="BKT33" s="153"/>
      <c r="BKU33" s="153"/>
      <c r="BKV33" s="153"/>
      <c r="BKW33" s="153"/>
      <c r="BKX33" s="153"/>
      <c r="BKY33" s="153"/>
      <c r="BKZ33" s="153"/>
      <c r="BLA33" s="153"/>
      <c r="BLB33" s="153"/>
      <c r="BLC33" s="153"/>
      <c r="BLD33" s="153"/>
      <c r="BLE33" s="153"/>
      <c r="BLF33" s="153"/>
      <c r="BLG33" s="153"/>
      <c r="BLH33" s="153"/>
      <c r="BLI33" s="153"/>
      <c r="BLJ33" s="153"/>
      <c r="BLK33" s="153"/>
      <c r="BLL33" s="153"/>
      <c r="BLM33" s="153"/>
      <c r="BLN33" s="153"/>
      <c r="BLO33" s="153"/>
      <c r="BLP33" s="153"/>
      <c r="BLQ33" s="153"/>
      <c r="BLR33" s="153"/>
      <c r="BLS33" s="153"/>
      <c r="BLT33" s="153"/>
      <c r="BLU33" s="153"/>
      <c r="BLV33" s="153"/>
      <c r="BLW33" s="153"/>
      <c r="BLX33" s="153"/>
      <c r="BLY33" s="153"/>
      <c r="BLZ33" s="153"/>
      <c r="BMA33" s="153"/>
      <c r="BMB33" s="153"/>
      <c r="BMC33" s="153"/>
      <c r="BMD33" s="153"/>
      <c r="BME33" s="153"/>
      <c r="BMF33" s="153"/>
      <c r="BMG33" s="153"/>
      <c r="BMH33" s="153"/>
      <c r="BMI33" s="153"/>
      <c r="BMJ33" s="153"/>
      <c r="BMK33" s="153"/>
      <c r="BML33" s="153"/>
      <c r="BMM33" s="153"/>
      <c r="BMN33" s="153"/>
      <c r="BMO33" s="153"/>
      <c r="BMP33" s="153"/>
      <c r="BMQ33" s="153"/>
      <c r="BMR33" s="153"/>
      <c r="BMS33" s="153"/>
      <c r="BMT33" s="153"/>
      <c r="BMU33" s="153"/>
      <c r="BMV33" s="153"/>
      <c r="BMW33" s="153"/>
      <c r="BMX33" s="153"/>
      <c r="BMY33" s="153"/>
      <c r="BMZ33" s="153"/>
      <c r="BNA33" s="153"/>
      <c r="BNB33" s="153"/>
      <c r="BNC33" s="153"/>
      <c r="BND33" s="153"/>
      <c r="BNE33" s="153"/>
      <c r="BNF33" s="153"/>
      <c r="BNG33" s="153"/>
      <c r="BNH33" s="153"/>
      <c r="BNI33" s="153"/>
      <c r="BNJ33" s="153"/>
      <c r="BNK33" s="153"/>
      <c r="BNL33" s="153"/>
      <c r="BNM33" s="153"/>
      <c r="BNN33" s="153"/>
      <c r="BNO33" s="153"/>
      <c r="BNP33" s="153"/>
      <c r="BNQ33" s="153"/>
      <c r="BNR33" s="153"/>
      <c r="BNS33" s="153"/>
      <c r="BNT33" s="153"/>
      <c r="BNU33" s="153"/>
      <c r="BNV33" s="153"/>
      <c r="BNW33" s="153"/>
      <c r="BNX33" s="153"/>
      <c r="BNY33" s="153"/>
      <c r="BNZ33" s="153"/>
      <c r="BOA33" s="153"/>
      <c r="BOB33" s="153"/>
      <c r="BOC33" s="153"/>
      <c r="BOD33" s="153"/>
      <c r="BOE33" s="153"/>
      <c r="BOF33" s="153"/>
      <c r="BOG33" s="153"/>
      <c r="BOH33" s="153"/>
      <c r="BOI33" s="153"/>
      <c r="BOJ33" s="153"/>
      <c r="BOK33" s="153"/>
      <c r="BOL33" s="153"/>
      <c r="BOM33" s="153"/>
      <c r="BON33" s="153"/>
      <c r="BOO33" s="153"/>
      <c r="BOP33" s="153"/>
      <c r="BOQ33" s="153"/>
      <c r="BOR33" s="153"/>
      <c r="BOS33" s="153"/>
      <c r="BOT33" s="153"/>
      <c r="BOU33" s="153"/>
      <c r="BOV33" s="153"/>
      <c r="BOW33" s="153"/>
      <c r="BOX33" s="153"/>
      <c r="BOY33" s="153"/>
      <c r="BOZ33" s="153"/>
      <c r="BPA33" s="153"/>
      <c r="BPB33" s="153"/>
      <c r="BPC33" s="153"/>
      <c r="BPD33" s="153"/>
      <c r="BPE33" s="153"/>
      <c r="BPF33" s="153"/>
      <c r="BPG33" s="153"/>
      <c r="BPH33" s="153"/>
      <c r="BPI33" s="153"/>
      <c r="BPJ33" s="153"/>
      <c r="BPK33" s="153"/>
      <c r="BPL33" s="153"/>
      <c r="BPM33" s="153"/>
      <c r="BPN33" s="153"/>
      <c r="BPO33" s="153"/>
      <c r="BPP33" s="153"/>
      <c r="BPQ33" s="153"/>
      <c r="BPR33" s="153"/>
      <c r="BPS33" s="153"/>
      <c r="BPT33" s="153"/>
      <c r="BPU33" s="153"/>
      <c r="BPV33" s="153"/>
      <c r="BPW33" s="153"/>
      <c r="BPX33" s="153"/>
      <c r="BPY33" s="153"/>
      <c r="BPZ33" s="153"/>
      <c r="BQA33" s="153"/>
      <c r="BQB33" s="153"/>
      <c r="BQC33" s="153"/>
      <c r="BQD33" s="153"/>
      <c r="BQE33" s="153"/>
      <c r="BQF33" s="153"/>
      <c r="BQG33" s="153"/>
      <c r="BQH33" s="153"/>
      <c r="BQI33" s="153"/>
      <c r="BQJ33" s="153"/>
      <c r="BQK33" s="153"/>
      <c r="BQL33" s="153"/>
      <c r="BQM33" s="153"/>
      <c r="BQN33" s="153"/>
      <c r="BQO33" s="153"/>
      <c r="BQP33" s="153"/>
      <c r="BQQ33" s="153"/>
      <c r="BQR33" s="153"/>
      <c r="BQS33" s="153"/>
      <c r="BQT33" s="153"/>
      <c r="BQU33" s="153"/>
      <c r="BQV33" s="153"/>
      <c r="BQW33" s="153"/>
      <c r="BQX33" s="153"/>
      <c r="BQY33" s="153"/>
      <c r="BQZ33" s="153"/>
      <c r="BRA33" s="153"/>
      <c r="BRB33" s="153"/>
      <c r="BRC33" s="153"/>
      <c r="BRD33" s="153"/>
      <c r="BRE33" s="153"/>
      <c r="BRF33" s="153"/>
      <c r="BRG33" s="153"/>
      <c r="BRH33" s="153"/>
      <c r="BRI33" s="153"/>
      <c r="BRJ33" s="153"/>
      <c r="BRK33" s="153"/>
      <c r="BRL33" s="153"/>
      <c r="BRM33" s="153"/>
      <c r="BRN33" s="153"/>
      <c r="BRO33" s="153"/>
      <c r="BRP33" s="153"/>
      <c r="BRQ33" s="153"/>
      <c r="BRR33" s="153"/>
      <c r="BRS33" s="153"/>
      <c r="BRT33" s="153"/>
      <c r="BRU33" s="153"/>
      <c r="BRV33" s="153"/>
      <c r="BRW33" s="153"/>
      <c r="BRX33" s="153"/>
      <c r="BRY33" s="153"/>
      <c r="BRZ33" s="153"/>
      <c r="BSA33" s="153"/>
      <c r="BSB33" s="153"/>
      <c r="BSC33" s="153"/>
      <c r="BSD33" s="153"/>
      <c r="BSE33" s="153"/>
      <c r="BSF33" s="153"/>
      <c r="BSG33" s="153"/>
      <c r="BSH33" s="153"/>
      <c r="BSI33" s="153"/>
      <c r="BSJ33" s="153"/>
      <c r="BSK33" s="153"/>
      <c r="BSL33" s="153"/>
      <c r="BSM33" s="153"/>
      <c r="BSN33" s="153"/>
      <c r="BSO33" s="153"/>
      <c r="BSP33" s="153"/>
      <c r="BSQ33" s="153"/>
      <c r="BSR33" s="153"/>
      <c r="BSS33" s="153"/>
      <c r="BST33" s="153"/>
      <c r="BSU33" s="153"/>
      <c r="BSV33" s="153"/>
      <c r="BSW33" s="153"/>
      <c r="BSX33" s="153"/>
      <c r="BSY33" s="153"/>
      <c r="BSZ33" s="153"/>
      <c r="BTA33" s="153"/>
      <c r="BTB33" s="153"/>
      <c r="BTC33" s="153"/>
      <c r="BTD33" s="153"/>
      <c r="BTE33" s="153"/>
      <c r="BTF33" s="153"/>
      <c r="BTG33" s="153"/>
      <c r="BTH33" s="153"/>
      <c r="BTI33" s="153"/>
      <c r="BTJ33" s="153"/>
      <c r="BTK33" s="153"/>
      <c r="BTL33" s="153"/>
      <c r="BTM33" s="153"/>
      <c r="BTN33" s="153"/>
      <c r="BTO33" s="153"/>
      <c r="BTP33" s="153"/>
      <c r="BTQ33" s="153"/>
      <c r="BTR33" s="153"/>
      <c r="BTS33" s="153"/>
      <c r="BTT33" s="153"/>
      <c r="BTU33" s="153"/>
      <c r="BTV33" s="153"/>
      <c r="BTW33" s="153"/>
      <c r="BTX33" s="153"/>
      <c r="BTY33" s="153"/>
      <c r="BTZ33" s="153"/>
      <c r="BUA33" s="153"/>
      <c r="BUB33" s="153"/>
      <c r="BUC33" s="153"/>
      <c r="BUD33" s="153"/>
      <c r="BUE33" s="153"/>
      <c r="BUF33" s="153"/>
      <c r="BUG33" s="153"/>
      <c r="BUH33" s="153"/>
      <c r="BUI33" s="153"/>
      <c r="BUJ33" s="153"/>
      <c r="BUK33" s="153"/>
      <c r="BUL33" s="153"/>
      <c r="BUM33" s="153"/>
      <c r="BUN33" s="153"/>
      <c r="BUO33" s="153"/>
      <c r="BUP33" s="153"/>
      <c r="BUQ33" s="153"/>
      <c r="BUR33" s="153"/>
      <c r="BUS33" s="153"/>
      <c r="BUT33" s="153"/>
      <c r="BUU33" s="153"/>
      <c r="BUV33" s="153"/>
      <c r="BUW33" s="153"/>
      <c r="BUX33" s="153"/>
      <c r="BUY33" s="153"/>
      <c r="BUZ33" s="153"/>
      <c r="BVA33" s="153"/>
      <c r="BVB33" s="153"/>
      <c r="BVC33" s="153"/>
      <c r="BVD33" s="153"/>
      <c r="BVE33" s="153"/>
      <c r="BVF33" s="153"/>
      <c r="BVG33" s="153"/>
      <c r="BVH33" s="153"/>
      <c r="BVI33" s="153"/>
      <c r="BVJ33" s="153"/>
      <c r="BVK33" s="153"/>
      <c r="BVL33" s="153"/>
      <c r="BVM33" s="153"/>
      <c r="BVN33" s="153"/>
      <c r="BVO33" s="153"/>
      <c r="BVP33" s="153"/>
      <c r="BVQ33" s="153"/>
      <c r="BVR33" s="153"/>
      <c r="BVS33" s="153"/>
      <c r="BVT33" s="153"/>
      <c r="BVU33" s="153"/>
      <c r="BVV33" s="153"/>
      <c r="BVW33" s="153"/>
      <c r="BVX33" s="153"/>
      <c r="BVY33" s="153"/>
      <c r="BVZ33" s="153"/>
      <c r="BWA33" s="153"/>
      <c r="BWB33" s="153"/>
      <c r="BWC33" s="153"/>
      <c r="BWD33" s="153"/>
      <c r="BWE33" s="153"/>
      <c r="BWF33" s="153"/>
      <c r="BWG33" s="153"/>
      <c r="BWH33" s="153"/>
      <c r="BWI33" s="153"/>
      <c r="BWJ33" s="153"/>
      <c r="BWK33" s="153"/>
      <c r="BWL33" s="153"/>
      <c r="BWM33" s="153"/>
      <c r="BWN33" s="153"/>
      <c r="BWO33" s="153"/>
      <c r="BWP33" s="153"/>
      <c r="BWQ33" s="153"/>
      <c r="BWR33" s="153"/>
      <c r="BWS33" s="153"/>
      <c r="BWT33" s="153"/>
      <c r="BWU33" s="153"/>
      <c r="BWV33" s="153"/>
      <c r="BWW33" s="153"/>
      <c r="BWX33" s="153"/>
      <c r="BWY33" s="153"/>
      <c r="BWZ33" s="153"/>
      <c r="BXA33" s="153"/>
      <c r="BXB33" s="153"/>
      <c r="BXC33" s="153"/>
      <c r="BXD33" s="153"/>
      <c r="BXE33" s="153"/>
      <c r="BXF33" s="153"/>
      <c r="BXG33" s="153"/>
      <c r="BXH33" s="153"/>
      <c r="BXI33" s="153"/>
      <c r="BXJ33" s="153"/>
      <c r="BXK33" s="153"/>
      <c r="BXL33" s="153"/>
      <c r="BXM33" s="153"/>
      <c r="BXN33" s="153"/>
      <c r="BXO33" s="153"/>
      <c r="BXP33" s="153"/>
      <c r="BXQ33" s="153"/>
      <c r="BXR33" s="153"/>
      <c r="BXS33" s="153"/>
      <c r="BXT33" s="153"/>
      <c r="BXU33" s="153"/>
      <c r="BXV33" s="153"/>
      <c r="BXW33" s="153"/>
      <c r="BXX33" s="153"/>
      <c r="BXY33" s="153"/>
      <c r="BXZ33" s="153"/>
      <c r="BYA33" s="153"/>
      <c r="BYB33" s="153"/>
      <c r="BYC33" s="153"/>
      <c r="BYD33" s="153"/>
      <c r="BYE33" s="153"/>
      <c r="BYF33" s="153"/>
      <c r="BYG33" s="153"/>
      <c r="BYH33" s="153"/>
      <c r="BYI33" s="153"/>
      <c r="BYJ33" s="153"/>
      <c r="BYK33" s="153"/>
      <c r="BYL33" s="153"/>
      <c r="BYM33" s="153"/>
      <c r="BYN33" s="153"/>
      <c r="BYO33" s="153"/>
      <c r="BYP33" s="153"/>
      <c r="BYQ33" s="153"/>
      <c r="BYR33" s="153"/>
      <c r="BYS33" s="153"/>
      <c r="BYT33" s="153"/>
      <c r="BYU33" s="153"/>
      <c r="BYV33" s="153"/>
      <c r="BYW33" s="153"/>
      <c r="BYX33" s="153"/>
      <c r="BYY33" s="153"/>
      <c r="BYZ33" s="153"/>
      <c r="BZA33" s="153"/>
      <c r="BZB33" s="153"/>
      <c r="BZC33" s="153"/>
      <c r="BZD33" s="153"/>
      <c r="BZE33" s="153"/>
      <c r="BZF33" s="153"/>
      <c r="BZG33" s="153"/>
      <c r="BZH33" s="153"/>
      <c r="BZI33" s="153"/>
      <c r="BZJ33" s="153"/>
      <c r="BZK33" s="153"/>
      <c r="BZL33" s="153"/>
      <c r="BZM33" s="153"/>
      <c r="BZN33" s="153"/>
      <c r="BZO33" s="153"/>
      <c r="BZP33" s="153"/>
      <c r="BZQ33" s="153"/>
      <c r="BZR33" s="153"/>
      <c r="BZS33" s="153"/>
      <c r="BZT33" s="153"/>
      <c r="BZU33" s="153"/>
      <c r="BZV33" s="153"/>
      <c r="BZW33" s="153"/>
      <c r="BZX33" s="153"/>
      <c r="BZY33" s="153"/>
      <c r="BZZ33" s="153"/>
      <c r="CAA33" s="153"/>
      <c r="CAB33" s="153"/>
      <c r="CAC33" s="153"/>
      <c r="CAD33" s="153"/>
      <c r="CAE33" s="153"/>
      <c r="CAF33" s="153"/>
      <c r="CAG33" s="153"/>
      <c r="CAH33" s="153"/>
      <c r="CAI33" s="153"/>
      <c r="CAJ33" s="153"/>
      <c r="CAK33" s="153"/>
      <c r="CAL33" s="153"/>
      <c r="CAM33" s="153"/>
      <c r="CAN33" s="153"/>
      <c r="CAO33" s="153"/>
      <c r="CAP33" s="153"/>
      <c r="CAQ33" s="153"/>
      <c r="CAR33" s="153"/>
      <c r="CAS33" s="153"/>
      <c r="CAT33" s="153"/>
      <c r="CAU33" s="153"/>
      <c r="CAV33" s="153"/>
      <c r="CAW33" s="153"/>
      <c r="CAX33" s="153"/>
      <c r="CAY33" s="153"/>
      <c r="CAZ33" s="153"/>
      <c r="CBA33" s="153"/>
      <c r="CBB33" s="153"/>
      <c r="CBC33" s="153"/>
      <c r="CBD33" s="153"/>
      <c r="CBE33" s="153"/>
      <c r="CBF33" s="153"/>
      <c r="CBG33" s="153"/>
      <c r="CBH33" s="153"/>
      <c r="CBI33" s="153"/>
      <c r="CBJ33" s="153"/>
      <c r="CBK33" s="153"/>
      <c r="CBL33" s="153"/>
      <c r="CBM33" s="153"/>
      <c r="CBN33" s="153"/>
      <c r="CBO33" s="153"/>
      <c r="CBP33" s="153"/>
      <c r="CBQ33" s="153"/>
      <c r="CBR33" s="153"/>
      <c r="CBS33" s="153"/>
      <c r="CBT33" s="153"/>
      <c r="CBU33" s="153"/>
      <c r="CBV33" s="153"/>
      <c r="CBW33" s="153"/>
      <c r="CBX33" s="153"/>
      <c r="CBY33" s="153"/>
      <c r="CBZ33" s="153"/>
      <c r="CCA33" s="153"/>
      <c r="CCB33" s="153"/>
      <c r="CCC33" s="153"/>
      <c r="CCD33" s="153"/>
      <c r="CCE33" s="153"/>
      <c r="CCF33" s="153"/>
      <c r="CCG33" s="153"/>
      <c r="CCH33" s="153"/>
      <c r="CCI33" s="153"/>
      <c r="CCJ33" s="153"/>
      <c r="CCK33" s="153"/>
      <c r="CCL33" s="153"/>
      <c r="CCM33" s="153"/>
      <c r="CCN33" s="153"/>
      <c r="CCO33" s="153"/>
      <c r="CCP33" s="153"/>
      <c r="CCQ33" s="153"/>
      <c r="CCR33" s="153"/>
      <c r="CCS33" s="153"/>
      <c r="CCT33" s="153"/>
      <c r="CCU33" s="153"/>
      <c r="CCV33" s="153"/>
      <c r="CCW33" s="153"/>
      <c r="CCX33" s="153"/>
      <c r="CCY33" s="153"/>
      <c r="CCZ33" s="153"/>
      <c r="CDA33" s="153"/>
      <c r="CDB33" s="153"/>
      <c r="CDC33" s="153"/>
      <c r="CDD33" s="153"/>
      <c r="CDE33" s="153"/>
      <c r="CDF33" s="153"/>
      <c r="CDG33" s="153"/>
      <c r="CDH33" s="153"/>
      <c r="CDI33" s="153"/>
      <c r="CDJ33" s="153"/>
      <c r="CDK33" s="153"/>
      <c r="CDL33" s="153"/>
      <c r="CDM33" s="153"/>
      <c r="CDN33" s="153"/>
      <c r="CDO33" s="153"/>
      <c r="CDP33" s="153"/>
      <c r="CDQ33" s="153"/>
      <c r="CDR33" s="153"/>
      <c r="CDS33" s="153"/>
      <c r="CDT33" s="153"/>
      <c r="CDU33" s="153"/>
      <c r="CDV33" s="153"/>
      <c r="CDW33" s="153"/>
      <c r="CDX33" s="153"/>
      <c r="CDY33" s="153"/>
      <c r="CDZ33" s="153"/>
      <c r="CEA33" s="153"/>
      <c r="CEB33" s="153"/>
      <c r="CEC33" s="153"/>
      <c r="CED33" s="153"/>
      <c r="CEE33" s="153"/>
      <c r="CEF33" s="153"/>
      <c r="CEG33" s="153"/>
      <c r="CEH33" s="153"/>
      <c r="CEI33" s="153"/>
      <c r="CEJ33" s="153"/>
      <c r="CEK33" s="153"/>
      <c r="CEL33" s="153"/>
      <c r="CEM33" s="153"/>
      <c r="CEN33" s="153"/>
      <c r="CEO33" s="153"/>
      <c r="CEP33" s="153"/>
      <c r="CEQ33" s="153"/>
      <c r="CER33" s="153"/>
      <c r="CES33" s="153"/>
      <c r="CET33" s="153"/>
      <c r="CEU33" s="153"/>
      <c r="CEV33" s="153"/>
      <c r="CEW33" s="153"/>
      <c r="CEX33" s="153"/>
      <c r="CEY33" s="153"/>
      <c r="CEZ33" s="153"/>
      <c r="CFA33" s="153"/>
      <c r="CFB33" s="153"/>
      <c r="CFC33" s="153"/>
      <c r="CFD33" s="153"/>
      <c r="CFE33" s="153"/>
      <c r="CFF33" s="153"/>
      <c r="CFG33" s="153"/>
      <c r="CFH33" s="153"/>
      <c r="CFI33" s="153"/>
      <c r="CFJ33" s="153"/>
      <c r="CFK33" s="153"/>
      <c r="CFL33" s="153"/>
      <c r="CFM33" s="153"/>
      <c r="CFN33" s="153"/>
      <c r="CFO33" s="153"/>
      <c r="CFP33" s="153"/>
      <c r="CFQ33" s="153"/>
      <c r="CFR33" s="153"/>
      <c r="CFS33" s="153"/>
      <c r="CFT33" s="153"/>
      <c r="CFU33" s="153"/>
      <c r="CFV33" s="153"/>
      <c r="CFW33" s="153"/>
      <c r="CFX33" s="153"/>
      <c r="CFY33" s="153"/>
      <c r="CFZ33" s="153"/>
      <c r="CGA33" s="153"/>
      <c r="CGB33" s="153"/>
      <c r="CGC33" s="153"/>
      <c r="CGD33" s="153"/>
      <c r="CGE33" s="153"/>
      <c r="CGF33" s="153"/>
      <c r="CGG33" s="153"/>
      <c r="CGH33" s="153"/>
      <c r="CGI33" s="153"/>
      <c r="CGJ33" s="153"/>
      <c r="CGK33" s="153"/>
      <c r="CGL33" s="153"/>
      <c r="CGM33" s="153"/>
      <c r="CGN33" s="153"/>
      <c r="CGO33" s="153"/>
      <c r="CGP33" s="153"/>
      <c r="CGQ33" s="153"/>
      <c r="CGR33" s="153"/>
      <c r="CGS33" s="153"/>
      <c r="CGT33" s="153"/>
      <c r="CGU33" s="153"/>
      <c r="CGV33" s="153"/>
      <c r="CGW33" s="153"/>
      <c r="CGX33" s="153"/>
      <c r="CGY33" s="153"/>
      <c r="CGZ33" s="153"/>
      <c r="CHA33" s="153"/>
      <c r="CHB33" s="153"/>
      <c r="CHC33" s="153"/>
      <c r="CHD33" s="153"/>
      <c r="CHE33" s="153"/>
      <c r="CHF33" s="153"/>
      <c r="CHG33" s="153"/>
      <c r="CHH33" s="153"/>
      <c r="CHI33" s="153"/>
      <c r="CHJ33" s="153"/>
      <c r="CHK33" s="153"/>
      <c r="CHL33" s="153"/>
      <c r="CHM33" s="153"/>
      <c r="CHN33" s="153"/>
      <c r="CHO33" s="153"/>
      <c r="CHP33" s="153"/>
      <c r="CHQ33" s="153"/>
      <c r="CHR33" s="153"/>
      <c r="CHS33" s="153"/>
      <c r="CHT33" s="153"/>
      <c r="CHU33" s="153"/>
      <c r="CHV33" s="153"/>
      <c r="CHW33" s="153"/>
      <c r="CHX33" s="153"/>
      <c r="CHY33" s="153"/>
      <c r="CHZ33" s="153"/>
      <c r="CIA33" s="153"/>
      <c r="CIB33" s="153"/>
      <c r="CIC33" s="153"/>
      <c r="CID33" s="153"/>
      <c r="CIE33" s="153"/>
      <c r="CIF33" s="153"/>
      <c r="CIG33" s="153"/>
      <c r="CIH33" s="153"/>
      <c r="CII33" s="153"/>
      <c r="CIJ33" s="153"/>
      <c r="CIK33" s="153"/>
      <c r="CIL33" s="153"/>
      <c r="CIM33" s="153"/>
      <c r="CIN33" s="153"/>
      <c r="CIO33" s="153"/>
      <c r="CIP33" s="153"/>
      <c r="CIQ33" s="153"/>
      <c r="CIR33" s="153"/>
      <c r="CIS33" s="153"/>
      <c r="CIT33" s="153"/>
      <c r="CIU33" s="153"/>
      <c r="CIV33" s="153"/>
      <c r="CIW33" s="153"/>
      <c r="CIX33" s="153"/>
      <c r="CIY33" s="153"/>
      <c r="CIZ33" s="153"/>
      <c r="CJA33" s="153"/>
      <c r="CJB33" s="153"/>
      <c r="CJC33" s="153"/>
      <c r="CJD33" s="153"/>
      <c r="CJE33" s="153"/>
      <c r="CJF33" s="153"/>
      <c r="CJG33" s="153"/>
      <c r="CJH33" s="153"/>
      <c r="CJI33" s="153"/>
      <c r="CJJ33" s="153"/>
      <c r="CJK33" s="153"/>
      <c r="CJL33" s="153"/>
      <c r="CJM33" s="153"/>
      <c r="CJN33" s="153"/>
      <c r="CJO33" s="153"/>
      <c r="CJP33" s="153"/>
      <c r="CJQ33" s="153"/>
      <c r="CJR33" s="153"/>
      <c r="CJS33" s="153"/>
      <c r="CJT33" s="153"/>
      <c r="CJU33" s="153"/>
      <c r="CJV33" s="153"/>
      <c r="CJW33" s="153"/>
      <c r="CJX33" s="153"/>
      <c r="CJY33" s="153"/>
      <c r="CJZ33" s="153"/>
      <c r="CKA33" s="153"/>
      <c r="CKB33" s="153"/>
      <c r="CKC33" s="153"/>
      <c r="CKD33" s="153"/>
      <c r="CKE33" s="153"/>
      <c r="CKF33" s="153"/>
      <c r="CKG33" s="153"/>
      <c r="CKH33" s="153"/>
      <c r="CKI33" s="153"/>
      <c r="CKJ33" s="153"/>
      <c r="CKK33" s="153"/>
      <c r="CKL33" s="153"/>
      <c r="CKM33" s="153"/>
      <c r="CKN33" s="153"/>
      <c r="CKO33" s="153"/>
      <c r="CKP33" s="153"/>
      <c r="CKQ33" s="153"/>
      <c r="CKR33" s="153"/>
      <c r="CKS33" s="153"/>
      <c r="CKT33" s="153"/>
      <c r="CKU33" s="153"/>
      <c r="CKV33" s="153"/>
      <c r="CKW33" s="153"/>
      <c r="CKX33" s="153"/>
      <c r="CKY33" s="153"/>
      <c r="CKZ33" s="153"/>
      <c r="CLA33" s="153"/>
      <c r="CLB33" s="153"/>
      <c r="CLC33" s="153"/>
      <c r="CLD33" s="153"/>
      <c r="CLE33" s="153"/>
      <c r="CLF33" s="153"/>
      <c r="CLG33" s="153"/>
      <c r="CLH33" s="153"/>
      <c r="CLI33" s="153"/>
      <c r="CLJ33" s="153"/>
      <c r="CLK33" s="153"/>
      <c r="CLL33" s="153"/>
      <c r="CLM33" s="153"/>
      <c r="CLN33" s="153"/>
      <c r="CLO33" s="153"/>
      <c r="CLP33" s="153"/>
      <c r="CLQ33" s="153"/>
      <c r="CLR33" s="153"/>
      <c r="CLS33" s="153"/>
      <c r="CLT33" s="153"/>
      <c r="CLU33" s="153"/>
      <c r="CLV33" s="153"/>
      <c r="CLW33" s="153"/>
      <c r="CLX33" s="153"/>
      <c r="CLY33" s="153"/>
      <c r="CLZ33" s="153"/>
      <c r="CMA33" s="153"/>
      <c r="CMB33" s="153"/>
      <c r="CMC33" s="153"/>
      <c r="CMD33" s="153"/>
      <c r="CME33" s="153"/>
      <c r="CMF33" s="153"/>
      <c r="CMG33" s="153"/>
      <c r="CMH33" s="153"/>
      <c r="CMI33" s="153"/>
      <c r="CMJ33" s="153"/>
      <c r="CMK33" s="153"/>
      <c r="CML33" s="153"/>
      <c r="CMM33" s="153"/>
      <c r="CMN33" s="153"/>
      <c r="CMO33" s="153"/>
      <c r="CMP33" s="153"/>
      <c r="CMQ33" s="153"/>
      <c r="CMR33" s="153"/>
      <c r="CMS33" s="153"/>
      <c r="CMT33" s="153"/>
      <c r="CMU33" s="153"/>
      <c r="CMV33" s="153"/>
      <c r="CMW33" s="153"/>
      <c r="CMX33" s="153"/>
      <c r="CMY33" s="153"/>
      <c r="CMZ33" s="153"/>
      <c r="CNA33" s="153"/>
      <c r="CNB33" s="153"/>
      <c r="CNC33" s="153"/>
      <c r="CND33" s="153"/>
      <c r="CNE33" s="153"/>
      <c r="CNF33" s="153"/>
      <c r="CNG33" s="153"/>
      <c r="CNH33" s="153"/>
      <c r="CNI33" s="153"/>
      <c r="CNJ33" s="153"/>
      <c r="CNK33" s="153"/>
      <c r="CNL33" s="153"/>
      <c r="CNM33" s="153"/>
      <c r="CNN33" s="153"/>
      <c r="CNO33" s="153"/>
      <c r="CNP33" s="153"/>
      <c r="CNQ33" s="153"/>
      <c r="CNR33" s="153"/>
      <c r="CNS33" s="153"/>
      <c r="CNT33" s="153"/>
      <c r="CNU33" s="153"/>
      <c r="CNV33" s="153"/>
      <c r="CNW33" s="153"/>
      <c r="CNX33" s="153"/>
      <c r="CNY33" s="153"/>
      <c r="CNZ33" s="153"/>
      <c r="COA33" s="153"/>
      <c r="COB33" s="153"/>
      <c r="COC33" s="153"/>
      <c r="COD33" s="153"/>
      <c r="COE33" s="153"/>
      <c r="COF33" s="153"/>
      <c r="COG33" s="153"/>
      <c r="COH33" s="153"/>
      <c r="COI33" s="153"/>
      <c r="COJ33" s="153"/>
      <c r="COK33" s="153"/>
      <c r="COL33" s="153"/>
      <c r="COM33" s="153"/>
      <c r="CON33" s="153"/>
      <c r="COO33" s="153"/>
      <c r="COP33" s="153"/>
      <c r="COQ33" s="153"/>
      <c r="COR33" s="153"/>
      <c r="COS33" s="153"/>
      <c r="COT33" s="153"/>
      <c r="COU33" s="153"/>
      <c r="COV33" s="153"/>
      <c r="COW33" s="153"/>
      <c r="COX33" s="153"/>
      <c r="COY33" s="153"/>
      <c r="COZ33" s="153"/>
      <c r="CPA33" s="153"/>
      <c r="CPB33" s="153"/>
      <c r="CPC33" s="153"/>
      <c r="CPD33" s="153"/>
      <c r="CPE33" s="153"/>
      <c r="CPF33" s="153"/>
      <c r="CPG33" s="153"/>
      <c r="CPH33" s="153"/>
      <c r="CPI33" s="153"/>
      <c r="CPJ33" s="153"/>
      <c r="CPK33" s="153"/>
      <c r="CPL33" s="153"/>
      <c r="CPM33" s="153"/>
      <c r="CPN33" s="153"/>
      <c r="CPO33" s="153"/>
      <c r="CPP33" s="153"/>
      <c r="CPQ33" s="153"/>
      <c r="CPR33" s="153"/>
      <c r="CPS33" s="153"/>
      <c r="CPT33" s="153"/>
      <c r="CPU33" s="153"/>
      <c r="CPV33" s="153"/>
      <c r="CPW33" s="153"/>
      <c r="CPX33" s="153"/>
      <c r="CPY33" s="153"/>
      <c r="CPZ33" s="153"/>
      <c r="CQA33" s="153"/>
      <c r="CQB33" s="153"/>
      <c r="CQC33" s="153"/>
      <c r="CQD33" s="153"/>
      <c r="CQE33" s="153"/>
      <c r="CQF33" s="153"/>
      <c r="CQG33" s="153"/>
      <c r="CQH33" s="153"/>
      <c r="CQI33" s="153"/>
      <c r="CQJ33" s="153"/>
      <c r="CQK33" s="153"/>
      <c r="CQL33" s="153"/>
      <c r="CQM33" s="153"/>
      <c r="CQN33" s="153"/>
      <c r="CQO33" s="153"/>
      <c r="CQP33" s="153"/>
      <c r="CQQ33" s="153"/>
      <c r="CQR33" s="153"/>
      <c r="CQS33" s="153"/>
      <c r="CQT33" s="153"/>
      <c r="CQU33" s="153"/>
      <c r="CQV33" s="153"/>
      <c r="CQW33" s="153"/>
      <c r="CQX33" s="153"/>
      <c r="CQY33" s="153"/>
      <c r="CQZ33" s="153"/>
      <c r="CRA33" s="153"/>
      <c r="CRB33" s="153"/>
      <c r="CRC33" s="153"/>
      <c r="CRD33" s="153"/>
      <c r="CRE33" s="153"/>
      <c r="CRF33" s="153"/>
      <c r="CRG33" s="153"/>
      <c r="CRH33" s="153"/>
      <c r="CRI33" s="153"/>
      <c r="CRJ33" s="153"/>
      <c r="CRK33" s="153"/>
      <c r="CRL33" s="153"/>
      <c r="CRM33" s="153"/>
      <c r="CRN33" s="153"/>
      <c r="CRO33" s="153"/>
      <c r="CRP33" s="153"/>
      <c r="CRQ33" s="153"/>
      <c r="CRR33" s="153"/>
      <c r="CRS33" s="153"/>
      <c r="CRT33" s="153"/>
      <c r="CRU33" s="153"/>
      <c r="CRV33" s="153"/>
      <c r="CRW33" s="153"/>
      <c r="CRX33" s="153"/>
      <c r="CRY33" s="153"/>
      <c r="CRZ33" s="153"/>
      <c r="CSA33" s="153"/>
      <c r="CSB33" s="153"/>
      <c r="CSC33" s="153"/>
      <c r="CSD33" s="153"/>
      <c r="CSE33" s="153"/>
      <c r="CSF33" s="153"/>
      <c r="CSG33" s="153"/>
      <c r="CSH33" s="153"/>
      <c r="CSI33" s="153"/>
      <c r="CSJ33" s="153"/>
      <c r="CSK33" s="153"/>
      <c r="CSL33" s="153"/>
      <c r="CSM33" s="153"/>
      <c r="CSN33" s="153"/>
      <c r="CSO33" s="153"/>
      <c r="CSP33" s="153"/>
      <c r="CSQ33" s="153"/>
      <c r="CSR33" s="153"/>
      <c r="CSS33" s="153"/>
      <c r="CST33" s="153"/>
      <c r="CSU33" s="153"/>
      <c r="CSV33" s="153"/>
      <c r="CSW33" s="153"/>
      <c r="CSX33" s="153"/>
      <c r="CSY33" s="153"/>
      <c r="CSZ33" s="153"/>
      <c r="CTA33" s="153"/>
      <c r="CTB33" s="153"/>
      <c r="CTC33" s="153"/>
      <c r="CTD33" s="153"/>
      <c r="CTE33" s="153"/>
      <c r="CTF33" s="153"/>
      <c r="CTG33" s="153"/>
      <c r="CTH33" s="153"/>
      <c r="CTI33" s="153"/>
      <c r="CTJ33" s="153"/>
      <c r="CTK33" s="153"/>
      <c r="CTL33" s="153"/>
      <c r="CTM33" s="153"/>
      <c r="CTN33" s="153"/>
      <c r="CTO33" s="153"/>
      <c r="CTP33" s="153"/>
      <c r="CTQ33" s="153"/>
      <c r="CTR33" s="153"/>
      <c r="CTS33" s="153"/>
      <c r="CTT33" s="153"/>
      <c r="CTU33" s="153"/>
      <c r="CTV33" s="153"/>
      <c r="CTW33" s="153"/>
      <c r="CTX33" s="153"/>
      <c r="CTY33" s="153"/>
      <c r="CTZ33" s="153"/>
      <c r="CUA33" s="153"/>
      <c r="CUB33" s="153"/>
      <c r="CUC33" s="153"/>
      <c r="CUD33" s="153"/>
      <c r="CUE33" s="153"/>
      <c r="CUF33" s="153"/>
      <c r="CUG33" s="153"/>
      <c r="CUH33" s="153"/>
      <c r="CUI33" s="153"/>
      <c r="CUJ33" s="153"/>
      <c r="CUK33" s="153"/>
      <c r="CUL33" s="153"/>
      <c r="CUM33" s="153"/>
      <c r="CUN33" s="153"/>
      <c r="CUO33" s="153"/>
      <c r="CUP33" s="153"/>
      <c r="CUQ33" s="153"/>
      <c r="CUR33" s="153"/>
      <c r="CUS33" s="153"/>
      <c r="CUT33" s="153"/>
      <c r="CUU33" s="153"/>
      <c r="CUV33" s="153"/>
      <c r="CUW33" s="153"/>
      <c r="CUX33" s="153"/>
      <c r="CUY33" s="153"/>
      <c r="CUZ33" s="153"/>
      <c r="CVA33" s="153"/>
      <c r="CVB33" s="153"/>
      <c r="CVC33" s="153"/>
      <c r="CVD33" s="153"/>
      <c r="CVE33" s="153"/>
      <c r="CVF33" s="153"/>
      <c r="CVG33" s="153"/>
      <c r="CVH33" s="153"/>
      <c r="CVI33" s="153"/>
      <c r="CVJ33" s="153"/>
      <c r="CVK33" s="153"/>
      <c r="CVL33" s="153"/>
      <c r="CVM33" s="153"/>
      <c r="CVN33" s="153"/>
      <c r="CVO33" s="153"/>
      <c r="CVP33" s="153"/>
      <c r="CVQ33" s="153"/>
      <c r="CVR33" s="153"/>
      <c r="CVS33" s="153"/>
      <c r="CVT33" s="153"/>
      <c r="CVU33" s="153"/>
      <c r="CVV33" s="153"/>
      <c r="CVW33" s="153"/>
      <c r="CVX33" s="153"/>
      <c r="CVY33" s="153"/>
      <c r="CVZ33" s="153"/>
      <c r="CWA33" s="153"/>
      <c r="CWB33" s="153"/>
      <c r="CWC33" s="153"/>
      <c r="CWD33" s="153"/>
      <c r="CWE33" s="153"/>
      <c r="CWF33" s="153"/>
      <c r="CWG33" s="153"/>
      <c r="CWH33" s="153"/>
      <c r="CWI33" s="153"/>
      <c r="CWJ33" s="153"/>
      <c r="CWK33" s="153"/>
      <c r="CWL33" s="153"/>
      <c r="CWM33" s="153"/>
      <c r="CWN33" s="153"/>
      <c r="CWO33" s="153"/>
      <c r="CWP33" s="153"/>
      <c r="CWQ33" s="153"/>
      <c r="CWR33" s="153"/>
      <c r="CWS33" s="153"/>
      <c r="CWT33" s="153"/>
      <c r="CWU33" s="153"/>
      <c r="CWV33" s="153"/>
      <c r="CWW33" s="153"/>
      <c r="CWX33" s="153"/>
      <c r="CWY33" s="153"/>
      <c r="CWZ33" s="153"/>
      <c r="CXA33" s="153"/>
      <c r="CXB33" s="153"/>
      <c r="CXC33" s="153"/>
      <c r="CXD33" s="153"/>
      <c r="CXE33" s="153"/>
      <c r="CXF33" s="153"/>
      <c r="CXG33" s="153"/>
      <c r="CXH33" s="153"/>
      <c r="CXI33" s="153"/>
      <c r="CXJ33" s="153"/>
      <c r="CXK33" s="153"/>
      <c r="CXL33" s="153"/>
      <c r="CXM33" s="153"/>
      <c r="CXN33" s="153"/>
      <c r="CXO33" s="153"/>
      <c r="CXP33" s="153"/>
      <c r="CXQ33" s="153"/>
      <c r="CXR33" s="153"/>
      <c r="CXS33" s="153"/>
      <c r="CXT33" s="153"/>
      <c r="CXU33" s="153"/>
      <c r="CXV33" s="153"/>
      <c r="CXW33" s="153"/>
      <c r="CXX33" s="153"/>
      <c r="CXY33" s="153"/>
      <c r="CXZ33" s="153"/>
      <c r="CYA33" s="153"/>
      <c r="CYB33" s="153"/>
      <c r="CYC33" s="153"/>
      <c r="CYD33" s="153"/>
      <c r="CYE33" s="153"/>
      <c r="CYF33" s="153"/>
      <c r="CYG33" s="153"/>
      <c r="CYH33" s="153"/>
      <c r="CYI33" s="153"/>
      <c r="CYJ33" s="153"/>
      <c r="CYK33" s="153"/>
      <c r="CYL33" s="153"/>
      <c r="CYM33" s="153"/>
      <c r="CYN33" s="153"/>
      <c r="CYO33" s="153"/>
      <c r="CYP33" s="153"/>
      <c r="CYQ33" s="153"/>
      <c r="CYR33" s="153"/>
      <c r="CYS33" s="153"/>
      <c r="CYT33" s="153"/>
      <c r="CYU33" s="153"/>
      <c r="CYV33" s="153"/>
      <c r="CYW33" s="153"/>
      <c r="CYX33" s="153"/>
      <c r="CYY33" s="153"/>
      <c r="CYZ33" s="153"/>
      <c r="CZA33" s="153"/>
      <c r="CZB33" s="153"/>
      <c r="CZC33" s="153"/>
      <c r="CZD33" s="153"/>
      <c r="CZE33" s="153"/>
      <c r="CZF33" s="153"/>
      <c r="CZG33" s="153"/>
      <c r="CZH33" s="153"/>
      <c r="CZI33" s="153"/>
      <c r="CZJ33" s="153"/>
      <c r="CZK33" s="153"/>
      <c r="CZL33" s="153"/>
      <c r="CZM33" s="153"/>
      <c r="CZN33" s="153"/>
      <c r="CZO33" s="153"/>
      <c r="CZP33" s="153"/>
      <c r="CZQ33" s="153"/>
      <c r="CZR33" s="153"/>
      <c r="CZS33" s="153"/>
      <c r="CZT33" s="153"/>
      <c r="CZU33" s="153"/>
      <c r="CZV33" s="153"/>
      <c r="CZW33" s="153"/>
      <c r="CZX33" s="153"/>
      <c r="CZY33" s="153"/>
      <c r="CZZ33" s="153"/>
      <c r="DAA33" s="153"/>
      <c r="DAB33" s="153"/>
      <c r="DAC33" s="153"/>
      <c r="DAD33" s="153"/>
      <c r="DAE33" s="153"/>
      <c r="DAF33" s="153"/>
      <c r="DAG33" s="153"/>
      <c r="DAH33" s="153"/>
      <c r="DAI33" s="153"/>
      <c r="DAJ33" s="153"/>
      <c r="DAK33" s="153"/>
      <c r="DAL33" s="153"/>
      <c r="DAM33" s="153"/>
      <c r="DAN33" s="153"/>
      <c r="DAO33" s="153"/>
      <c r="DAP33" s="153"/>
      <c r="DAQ33" s="153"/>
      <c r="DAR33" s="153"/>
      <c r="DAS33" s="153"/>
      <c r="DAT33" s="153"/>
      <c r="DAU33" s="153"/>
      <c r="DAV33" s="153"/>
      <c r="DAW33" s="153"/>
      <c r="DAX33" s="153"/>
      <c r="DAY33" s="153"/>
      <c r="DAZ33" s="153"/>
      <c r="DBA33" s="153"/>
      <c r="DBB33" s="153"/>
      <c r="DBC33" s="153"/>
      <c r="DBD33" s="153"/>
      <c r="DBE33" s="153"/>
      <c r="DBF33" s="153"/>
      <c r="DBG33" s="153"/>
      <c r="DBH33" s="153"/>
      <c r="DBI33" s="153"/>
      <c r="DBJ33" s="153"/>
      <c r="DBK33" s="153"/>
      <c r="DBL33" s="153"/>
      <c r="DBM33" s="153"/>
      <c r="DBN33" s="153"/>
      <c r="DBO33" s="153"/>
      <c r="DBP33" s="153"/>
      <c r="DBQ33" s="153"/>
      <c r="DBR33" s="153"/>
      <c r="DBS33" s="153"/>
      <c r="DBT33" s="153"/>
      <c r="DBU33" s="153"/>
      <c r="DBV33" s="153"/>
      <c r="DBW33" s="153"/>
      <c r="DBX33" s="153"/>
      <c r="DBY33" s="153"/>
      <c r="DBZ33" s="153"/>
      <c r="DCA33" s="153"/>
      <c r="DCB33" s="153"/>
      <c r="DCC33" s="153"/>
      <c r="DCD33" s="153"/>
      <c r="DCE33" s="153"/>
      <c r="DCF33" s="153"/>
      <c r="DCG33" s="153"/>
      <c r="DCH33" s="153"/>
      <c r="DCI33" s="153"/>
      <c r="DCJ33" s="153"/>
      <c r="DCK33" s="153"/>
      <c r="DCL33" s="153"/>
      <c r="DCM33" s="153"/>
      <c r="DCN33" s="153"/>
      <c r="DCO33" s="153"/>
      <c r="DCP33" s="153"/>
      <c r="DCQ33" s="153"/>
      <c r="DCR33" s="153"/>
      <c r="DCS33" s="153"/>
      <c r="DCT33" s="153"/>
      <c r="DCU33" s="153"/>
      <c r="DCV33" s="153"/>
      <c r="DCW33" s="153"/>
      <c r="DCX33" s="153"/>
      <c r="DCY33" s="153"/>
      <c r="DCZ33" s="153"/>
      <c r="DDA33" s="153"/>
      <c r="DDB33" s="153"/>
      <c r="DDC33" s="153"/>
      <c r="DDD33" s="153"/>
      <c r="DDE33" s="153"/>
      <c r="DDF33" s="153"/>
      <c r="DDG33" s="153"/>
      <c r="DDH33" s="153"/>
      <c r="DDI33" s="153"/>
      <c r="DDJ33" s="153"/>
      <c r="DDK33" s="153"/>
      <c r="DDL33" s="153"/>
      <c r="DDM33" s="153"/>
      <c r="DDN33" s="153"/>
      <c r="DDO33" s="153"/>
      <c r="DDP33" s="153"/>
      <c r="DDQ33" s="153"/>
      <c r="DDR33" s="153"/>
      <c r="DDS33" s="153"/>
      <c r="DDT33" s="153"/>
      <c r="DDU33" s="153"/>
      <c r="DDV33" s="153"/>
      <c r="DDW33" s="153"/>
      <c r="DDX33" s="153"/>
      <c r="DDY33" s="153"/>
      <c r="DDZ33" s="153"/>
      <c r="DEA33" s="153"/>
      <c r="DEB33" s="153"/>
      <c r="DEC33" s="153"/>
      <c r="DED33" s="153"/>
      <c r="DEE33" s="153"/>
      <c r="DEF33" s="153"/>
      <c r="DEG33" s="153"/>
      <c r="DEH33" s="153"/>
      <c r="DEI33" s="153"/>
      <c r="DEJ33" s="153"/>
      <c r="DEK33" s="153"/>
      <c r="DEL33" s="153"/>
      <c r="DEM33" s="153"/>
      <c r="DEN33" s="153"/>
      <c r="DEO33" s="153"/>
      <c r="DEP33" s="153"/>
      <c r="DEQ33" s="153"/>
      <c r="DER33" s="153"/>
      <c r="DES33" s="153"/>
      <c r="DET33" s="153"/>
      <c r="DEU33" s="153"/>
      <c r="DEV33" s="153"/>
      <c r="DEW33" s="153"/>
      <c r="DEX33" s="153"/>
      <c r="DEY33" s="153"/>
      <c r="DEZ33" s="153"/>
      <c r="DFA33" s="153"/>
      <c r="DFB33" s="153"/>
      <c r="DFC33" s="153"/>
      <c r="DFD33" s="153"/>
      <c r="DFE33" s="153"/>
      <c r="DFF33" s="153"/>
      <c r="DFG33" s="153"/>
      <c r="DFH33" s="153"/>
      <c r="DFI33" s="153"/>
      <c r="DFJ33" s="153"/>
      <c r="DFK33" s="153"/>
      <c r="DFL33" s="153"/>
      <c r="DFM33" s="153"/>
      <c r="DFN33" s="153"/>
      <c r="DFO33" s="153"/>
      <c r="DFP33" s="153"/>
      <c r="DFQ33" s="153"/>
      <c r="DFR33" s="153"/>
      <c r="DFS33" s="153"/>
      <c r="DFT33" s="153"/>
      <c r="DFU33" s="153"/>
      <c r="DFV33" s="153"/>
      <c r="DFW33" s="153"/>
      <c r="DFX33" s="153"/>
      <c r="DFY33" s="153"/>
      <c r="DFZ33" s="153"/>
      <c r="DGA33" s="153"/>
      <c r="DGB33" s="153"/>
      <c r="DGC33" s="153"/>
      <c r="DGD33" s="153"/>
      <c r="DGE33" s="153"/>
      <c r="DGF33" s="153"/>
      <c r="DGG33" s="153"/>
      <c r="DGH33" s="153"/>
      <c r="DGI33" s="153"/>
      <c r="DGJ33" s="153"/>
      <c r="DGK33" s="153"/>
      <c r="DGL33" s="153"/>
      <c r="DGM33" s="153"/>
      <c r="DGN33" s="153"/>
      <c r="DGO33" s="153"/>
      <c r="DGP33" s="153"/>
      <c r="DGQ33" s="153"/>
      <c r="DGR33" s="153"/>
      <c r="DGS33" s="153"/>
      <c r="DGT33" s="153"/>
      <c r="DGU33" s="153"/>
      <c r="DGV33" s="153"/>
      <c r="DGW33" s="153"/>
      <c r="DGX33" s="153"/>
      <c r="DGY33" s="153"/>
      <c r="DGZ33" s="153"/>
      <c r="DHA33" s="153"/>
      <c r="DHB33" s="153"/>
      <c r="DHC33" s="153"/>
      <c r="DHD33" s="153"/>
      <c r="DHE33" s="153"/>
      <c r="DHF33" s="153"/>
      <c r="DHG33" s="153"/>
      <c r="DHH33" s="153"/>
      <c r="DHI33" s="153"/>
      <c r="DHJ33" s="153"/>
      <c r="DHK33" s="153"/>
      <c r="DHL33" s="153"/>
      <c r="DHM33" s="153"/>
      <c r="DHN33" s="153"/>
      <c r="DHO33" s="153"/>
      <c r="DHP33" s="153"/>
      <c r="DHQ33" s="153"/>
      <c r="DHR33" s="153"/>
      <c r="DHS33" s="153"/>
      <c r="DHT33" s="153"/>
      <c r="DHU33" s="153"/>
      <c r="DHV33" s="153"/>
      <c r="DHW33" s="153"/>
      <c r="DHX33" s="153"/>
      <c r="DHY33" s="153"/>
      <c r="DHZ33" s="153"/>
      <c r="DIA33" s="153"/>
      <c r="DIB33" s="153"/>
      <c r="DIC33" s="153"/>
      <c r="DID33" s="153"/>
      <c r="DIE33" s="153"/>
      <c r="DIF33" s="153"/>
      <c r="DIG33" s="153"/>
      <c r="DIH33" s="153"/>
      <c r="DII33" s="153"/>
      <c r="DIJ33" s="153"/>
      <c r="DIK33" s="153"/>
      <c r="DIL33" s="153"/>
      <c r="DIM33" s="153"/>
      <c r="DIN33" s="153"/>
      <c r="DIO33" s="153"/>
      <c r="DIP33" s="153"/>
      <c r="DIQ33" s="153"/>
      <c r="DIR33" s="153"/>
      <c r="DIS33" s="153"/>
      <c r="DIT33" s="153"/>
      <c r="DIU33" s="153"/>
      <c r="DIV33" s="153"/>
      <c r="DIW33" s="153"/>
      <c r="DIX33" s="153"/>
      <c r="DIY33" s="153"/>
      <c r="DIZ33" s="153"/>
      <c r="DJA33" s="153"/>
      <c r="DJB33" s="153"/>
      <c r="DJC33" s="153"/>
      <c r="DJD33" s="153"/>
      <c r="DJE33" s="153"/>
      <c r="DJF33" s="153"/>
      <c r="DJG33" s="153"/>
      <c r="DJH33" s="153"/>
      <c r="DJI33" s="153"/>
      <c r="DJJ33" s="153"/>
      <c r="DJK33" s="153"/>
      <c r="DJL33" s="153"/>
      <c r="DJM33" s="153"/>
      <c r="DJN33" s="153"/>
      <c r="DJO33" s="153"/>
      <c r="DJP33" s="153"/>
      <c r="DJQ33" s="153"/>
      <c r="DJR33" s="153"/>
      <c r="DJS33" s="153"/>
      <c r="DJT33" s="153"/>
      <c r="DJU33" s="153"/>
      <c r="DJV33" s="153"/>
      <c r="DJW33" s="153"/>
      <c r="DJX33" s="153"/>
      <c r="DJY33" s="153"/>
      <c r="DJZ33" s="153"/>
      <c r="DKA33" s="153"/>
      <c r="DKB33" s="153"/>
      <c r="DKC33" s="153"/>
      <c r="DKD33" s="153"/>
      <c r="DKE33" s="153"/>
      <c r="DKF33" s="153"/>
      <c r="DKG33" s="153"/>
      <c r="DKH33" s="153"/>
      <c r="DKI33" s="153"/>
      <c r="DKJ33" s="153"/>
      <c r="DKK33" s="153"/>
      <c r="DKL33" s="153"/>
      <c r="DKM33" s="153"/>
      <c r="DKN33" s="153"/>
      <c r="DKO33" s="153"/>
      <c r="DKP33" s="153"/>
      <c r="DKQ33" s="153"/>
      <c r="DKR33" s="153"/>
      <c r="DKS33" s="153"/>
      <c r="DKT33" s="153"/>
      <c r="DKU33" s="153"/>
      <c r="DKV33" s="153"/>
      <c r="DKW33" s="153"/>
      <c r="DKX33" s="153"/>
      <c r="DKY33" s="153"/>
      <c r="DKZ33" s="153"/>
      <c r="DLA33" s="153"/>
      <c r="DLB33" s="153"/>
      <c r="DLC33" s="153"/>
      <c r="DLD33" s="153"/>
      <c r="DLE33" s="153"/>
      <c r="DLF33" s="153"/>
      <c r="DLG33" s="153"/>
      <c r="DLH33" s="153"/>
      <c r="DLI33" s="153"/>
      <c r="DLJ33" s="153"/>
      <c r="DLK33" s="153"/>
      <c r="DLL33" s="153"/>
      <c r="DLM33" s="153"/>
      <c r="DLN33" s="153"/>
      <c r="DLO33" s="153"/>
      <c r="DLP33" s="153"/>
      <c r="DLQ33" s="153"/>
      <c r="DLR33" s="153"/>
      <c r="DLS33" s="153"/>
      <c r="DLT33" s="153"/>
      <c r="DLU33" s="153"/>
      <c r="DLV33" s="153"/>
      <c r="DLW33" s="153"/>
      <c r="DLX33" s="153"/>
      <c r="DLY33" s="153"/>
      <c r="DLZ33" s="153"/>
      <c r="DMA33" s="153"/>
      <c r="DMB33" s="153"/>
      <c r="DMC33" s="153"/>
      <c r="DMD33" s="153"/>
      <c r="DME33" s="153"/>
      <c r="DMF33" s="153"/>
      <c r="DMG33" s="153"/>
      <c r="DMH33" s="153"/>
      <c r="DMI33" s="153"/>
      <c r="DMJ33" s="153"/>
      <c r="DMK33" s="153"/>
      <c r="DML33" s="153"/>
      <c r="DMM33" s="153"/>
      <c r="DMN33" s="153"/>
      <c r="DMO33" s="153"/>
      <c r="DMP33" s="153"/>
      <c r="DMQ33" s="153"/>
      <c r="DMR33" s="153"/>
      <c r="DMS33" s="153"/>
      <c r="DMT33" s="153"/>
      <c r="DMU33" s="153"/>
      <c r="DMV33" s="153"/>
      <c r="DMW33" s="153"/>
      <c r="DMX33" s="153"/>
      <c r="DMY33" s="153"/>
      <c r="DMZ33" s="153"/>
      <c r="DNA33" s="153"/>
      <c r="DNB33" s="153"/>
      <c r="DNC33" s="153"/>
      <c r="DND33" s="153"/>
      <c r="DNE33" s="153"/>
      <c r="DNF33" s="153"/>
      <c r="DNG33" s="153"/>
      <c r="DNH33" s="153"/>
      <c r="DNI33" s="153"/>
      <c r="DNJ33" s="153"/>
      <c r="DNK33" s="153"/>
      <c r="DNL33" s="153"/>
      <c r="DNM33" s="153"/>
      <c r="DNN33" s="153"/>
      <c r="DNO33" s="153"/>
      <c r="DNP33" s="153"/>
      <c r="DNQ33" s="153"/>
      <c r="DNR33" s="153"/>
      <c r="DNS33" s="153"/>
      <c r="DNT33" s="153"/>
      <c r="DNU33" s="153"/>
      <c r="DNV33" s="153"/>
      <c r="DNW33" s="153"/>
      <c r="DNX33" s="153"/>
      <c r="DNY33" s="153"/>
      <c r="DNZ33" s="153"/>
      <c r="DOA33" s="153"/>
      <c r="DOB33" s="153"/>
      <c r="DOC33" s="153"/>
      <c r="DOD33" s="153"/>
      <c r="DOE33" s="153"/>
      <c r="DOF33" s="153"/>
      <c r="DOG33" s="153"/>
      <c r="DOH33" s="153"/>
      <c r="DOI33" s="153"/>
      <c r="DOJ33" s="153"/>
      <c r="DOK33" s="153"/>
      <c r="DOL33" s="153"/>
      <c r="DOM33" s="153"/>
      <c r="DON33" s="153"/>
      <c r="DOO33" s="153"/>
      <c r="DOP33" s="153"/>
      <c r="DOQ33" s="153"/>
      <c r="DOR33" s="153"/>
      <c r="DOS33" s="153"/>
      <c r="DOT33" s="153"/>
      <c r="DOU33" s="153"/>
      <c r="DOV33" s="153"/>
      <c r="DOW33" s="153"/>
      <c r="DOX33" s="153"/>
      <c r="DOY33" s="153"/>
      <c r="DOZ33" s="153"/>
      <c r="DPA33" s="153"/>
      <c r="DPB33" s="153"/>
      <c r="DPC33" s="153"/>
      <c r="DPD33" s="153"/>
      <c r="DPE33" s="153"/>
      <c r="DPF33" s="153"/>
      <c r="DPG33" s="153"/>
      <c r="DPH33" s="153"/>
      <c r="DPI33" s="153"/>
      <c r="DPJ33" s="153"/>
      <c r="DPK33" s="153"/>
      <c r="DPL33" s="153"/>
      <c r="DPM33" s="153"/>
      <c r="DPN33" s="153"/>
      <c r="DPO33" s="153"/>
      <c r="DPP33" s="153"/>
      <c r="DPQ33" s="153"/>
      <c r="DPR33" s="153"/>
      <c r="DPS33" s="153"/>
      <c r="DPT33" s="153"/>
      <c r="DPU33" s="153"/>
      <c r="DPV33" s="153"/>
      <c r="DPW33" s="153"/>
      <c r="DPX33" s="153"/>
      <c r="DPY33" s="153"/>
      <c r="DPZ33" s="153"/>
      <c r="DQA33" s="153"/>
      <c r="DQB33" s="153"/>
      <c r="DQC33" s="153"/>
      <c r="DQD33" s="153"/>
      <c r="DQE33" s="153"/>
      <c r="DQF33" s="153"/>
      <c r="DQG33" s="153"/>
      <c r="DQH33" s="153"/>
      <c r="DQI33" s="153"/>
      <c r="DQJ33" s="153"/>
      <c r="DQK33" s="153"/>
      <c r="DQL33" s="153"/>
      <c r="DQM33" s="153"/>
      <c r="DQN33" s="153"/>
      <c r="DQO33" s="153"/>
      <c r="DQP33" s="153"/>
      <c r="DQQ33" s="153"/>
      <c r="DQR33" s="153"/>
      <c r="DQS33" s="153"/>
      <c r="DQT33" s="153"/>
      <c r="DQU33" s="153"/>
      <c r="DQV33" s="153"/>
      <c r="DQW33" s="153"/>
      <c r="DQX33" s="153"/>
      <c r="DQY33" s="153"/>
      <c r="DQZ33" s="153"/>
      <c r="DRA33" s="153"/>
      <c r="DRB33" s="153"/>
      <c r="DRC33" s="153"/>
      <c r="DRD33" s="153"/>
      <c r="DRE33" s="153"/>
      <c r="DRF33" s="153"/>
      <c r="DRG33" s="153"/>
      <c r="DRH33" s="153"/>
      <c r="DRI33" s="153"/>
      <c r="DRJ33" s="153"/>
      <c r="DRK33" s="153"/>
      <c r="DRL33" s="153"/>
      <c r="DRM33" s="153"/>
      <c r="DRN33" s="153"/>
      <c r="DRO33" s="153"/>
      <c r="DRP33" s="153"/>
      <c r="DRQ33" s="153"/>
      <c r="DRR33" s="153"/>
      <c r="DRS33" s="153"/>
      <c r="DRT33" s="153"/>
      <c r="DRU33" s="153"/>
      <c r="DRV33" s="153"/>
      <c r="DRW33" s="153"/>
      <c r="DRX33" s="153"/>
      <c r="DRY33" s="153"/>
      <c r="DRZ33" s="153"/>
      <c r="DSA33" s="153"/>
      <c r="DSB33" s="153"/>
      <c r="DSC33" s="153"/>
      <c r="DSD33" s="153"/>
      <c r="DSE33" s="153"/>
      <c r="DSF33" s="153"/>
      <c r="DSG33" s="153"/>
      <c r="DSH33" s="153"/>
      <c r="DSI33" s="153"/>
      <c r="DSJ33" s="153"/>
      <c r="DSK33" s="153"/>
      <c r="DSL33" s="153"/>
      <c r="DSM33" s="153"/>
      <c r="DSN33" s="153"/>
      <c r="DSO33" s="153"/>
      <c r="DSP33" s="153"/>
      <c r="DSQ33" s="153"/>
      <c r="DSR33" s="153"/>
      <c r="DSS33" s="153"/>
      <c r="DST33" s="153"/>
      <c r="DSU33" s="153"/>
      <c r="DSV33" s="153"/>
      <c r="DSW33" s="153"/>
      <c r="DSX33" s="153"/>
      <c r="DSY33" s="153"/>
      <c r="DSZ33" s="153"/>
      <c r="DTA33" s="153"/>
      <c r="DTB33" s="153"/>
      <c r="DTC33" s="153"/>
      <c r="DTD33" s="153"/>
      <c r="DTE33" s="153"/>
      <c r="DTF33" s="153"/>
      <c r="DTG33" s="153"/>
      <c r="DTH33" s="153"/>
      <c r="DTI33" s="153"/>
      <c r="DTJ33" s="153"/>
      <c r="DTK33" s="153"/>
      <c r="DTL33" s="153"/>
      <c r="DTM33" s="153"/>
      <c r="DTN33" s="153"/>
      <c r="DTO33" s="153"/>
      <c r="DTP33" s="153"/>
      <c r="DTQ33" s="153"/>
      <c r="DTR33" s="153"/>
      <c r="DTS33" s="153"/>
      <c r="DTT33" s="153"/>
      <c r="DTU33" s="153"/>
      <c r="DTV33" s="153"/>
      <c r="DTW33" s="153"/>
      <c r="DTX33" s="153"/>
      <c r="DTY33" s="153"/>
      <c r="DTZ33" s="153"/>
      <c r="DUA33" s="153"/>
      <c r="DUB33" s="153"/>
      <c r="DUC33" s="153"/>
      <c r="DUD33" s="153"/>
      <c r="DUE33" s="153"/>
      <c r="DUF33" s="153"/>
      <c r="DUG33" s="153"/>
      <c r="DUH33" s="153"/>
      <c r="DUI33" s="153"/>
      <c r="DUJ33" s="153"/>
      <c r="DUK33" s="153"/>
      <c r="DUL33" s="153"/>
      <c r="DUM33" s="153"/>
      <c r="DUN33" s="153"/>
      <c r="DUO33" s="153"/>
      <c r="DUP33" s="153"/>
      <c r="DUQ33" s="153"/>
      <c r="DUR33" s="153"/>
      <c r="DUS33" s="153"/>
      <c r="DUT33" s="153"/>
      <c r="DUU33" s="153"/>
      <c r="DUV33" s="153"/>
      <c r="DUW33" s="153"/>
      <c r="DUX33" s="153"/>
      <c r="DUY33" s="153"/>
      <c r="DUZ33" s="153"/>
      <c r="DVA33" s="153"/>
      <c r="DVB33" s="153"/>
      <c r="DVC33" s="153"/>
      <c r="DVD33" s="153"/>
      <c r="DVE33" s="153"/>
      <c r="DVF33" s="153"/>
      <c r="DVG33" s="153"/>
      <c r="DVH33" s="153"/>
      <c r="DVI33" s="153"/>
      <c r="DVJ33" s="153"/>
      <c r="DVK33" s="153"/>
      <c r="DVL33" s="153"/>
      <c r="DVM33" s="153"/>
      <c r="DVN33" s="153"/>
      <c r="DVO33" s="153"/>
      <c r="DVP33" s="153"/>
      <c r="DVQ33" s="153"/>
      <c r="DVR33" s="153"/>
      <c r="DVS33" s="153"/>
      <c r="DVT33" s="153"/>
      <c r="DVU33" s="153"/>
      <c r="DVV33" s="153"/>
      <c r="DVW33" s="153"/>
      <c r="DVX33" s="153"/>
      <c r="DVY33" s="153"/>
      <c r="DVZ33" s="153"/>
      <c r="DWA33" s="153"/>
      <c r="DWB33" s="153"/>
      <c r="DWC33" s="153"/>
      <c r="DWD33" s="153"/>
      <c r="DWE33" s="153"/>
      <c r="DWF33" s="153"/>
      <c r="DWG33" s="153"/>
      <c r="DWH33" s="153"/>
      <c r="DWI33" s="153"/>
      <c r="DWJ33" s="153"/>
      <c r="DWK33" s="153"/>
      <c r="DWL33" s="153"/>
      <c r="DWM33" s="153"/>
      <c r="DWN33" s="153"/>
      <c r="DWO33" s="153"/>
      <c r="DWP33" s="153"/>
      <c r="DWQ33" s="153"/>
      <c r="DWR33" s="153"/>
      <c r="DWS33" s="153"/>
      <c r="DWT33" s="153"/>
      <c r="DWU33" s="153"/>
      <c r="DWV33" s="153"/>
      <c r="DWW33" s="153"/>
      <c r="DWX33" s="153"/>
      <c r="DWY33" s="153"/>
      <c r="DWZ33" s="153"/>
      <c r="DXA33" s="153"/>
      <c r="DXB33" s="153"/>
      <c r="DXC33" s="153"/>
      <c r="DXD33" s="153"/>
      <c r="DXE33" s="153"/>
      <c r="DXF33" s="153"/>
      <c r="DXG33" s="153"/>
      <c r="DXH33" s="153"/>
      <c r="DXI33" s="153"/>
      <c r="DXJ33" s="153"/>
      <c r="DXK33" s="153"/>
      <c r="DXL33" s="153"/>
      <c r="DXM33" s="153"/>
      <c r="DXN33" s="153"/>
      <c r="DXO33" s="153"/>
      <c r="DXP33" s="153"/>
      <c r="DXQ33" s="153"/>
      <c r="DXR33" s="153"/>
      <c r="DXS33" s="153"/>
      <c r="DXT33" s="153"/>
      <c r="DXU33" s="153"/>
      <c r="DXV33" s="153"/>
      <c r="DXW33" s="153"/>
      <c r="DXX33" s="153"/>
      <c r="DXY33" s="153"/>
      <c r="DXZ33" s="153"/>
      <c r="DYA33" s="153"/>
      <c r="DYB33" s="153"/>
      <c r="DYC33" s="153"/>
      <c r="DYD33" s="153"/>
      <c r="DYE33" s="153"/>
      <c r="DYF33" s="153"/>
      <c r="DYG33" s="153"/>
      <c r="DYH33" s="153"/>
      <c r="DYI33" s="153"/>
      <c r="DYJ33" s="153"/>
      <c r="DYK33" s="153"/>
      <c r="DYL33" s="153"/>
      <c r="DYM33" s="153"/>
      <c r="DYN33" s="153"/>
      <c r="DYO33" s="153"/>
      <c r="DYP33" s="153"/>
      <c r="DYQ33" s="153"/>
      <c r="DYR33" s="153"/>
      <c r="DYS33" s="153"/>
      <c r="DYT33" s="153"/>
      <c r="DYU33" s="153"/>
      <c r="DYV33" s="153"/>
      <c r="DYW33" s="153"/>
      <c r="DYX33" s="153"/>
      <c r="DYY33" s="153"/>
      <c r="DYZ33" s="153"/>
      <c r="DZA33" s="153"/>
      <c r="DZB33" s="153"/>
      <c r="DZC33" s="153"/>
      <c r="DZD33" s="153"/>
      <c r="DZE33" s="153"/>
      <c r="DZF33" s="153"/>
      <c r="DZG33" s="153"/>
      <c r="DZH33" s="153"/>
      <c r="DZI33" s="153"/>
      <c r="DZJ33" s="153"/>
      <c r="DZK33" s="153"/>
      <c r="DZL33" s="153"/>
      <c r="DZM33" s="153"/>
      <c r="DZN33" s="153"/>
      <c r="DZO33" s="153"/>
      <c r="DZP33" s="153"/>
      <c r="DZQ33" s="153"/>
      <c r="DZR33" s="153"/>
      <c r="DZS33" s="153"/>
      <c r="DZT33" s="153"/>
      <c r="DZU33" s="153"/>
      <c r="DZV33" s="153"/>
      <c r="DZW33" s="153"/>
      <c r="DZX33" s="153"/>
      <c r="DZY33" s="153"/>
      <c r="DZZ33" s="153"/>
      <c r="EAA33" s="153"/>
      <c r="EAB33" s="153"/>
      <c r="EAC33" s="153"/>
      <c r="EAD33" s="153"/>
      <c r="EAE33" s="153"/>
      <c r="EAF33" s="153"/>
      <c r="EAG33" s="153"/>
      <c r="EAH33" s="153"/>
      <c r="EAI33" s="153"/>
      <c r="EAJ33" s="153"/>
      <c r="EAK33" s="153"/>
      <c r="EAL33" s="153"/>
      <c r="EAM33" s="153"/>
      <c r="EAN33" s="153"/>
      <c r="EAO33" s="153"/>
      <c r="EAP33" s="153"/>
      <c r="EAQ33" s="153"/>
      <c r="EAR33" s="153"/>
      <c r="EAS33" s="153"/>
      <c r="EAT33" s="153"/>
      <c r="EAU33" s="153"/>
      <c r="EAV33" s="153"/>
      <c r="EAW33" s="153"/>
      <c r="EAX33" s="153"/>
      <c r="EAY33" s="153"/>
      <c r="EAZ33" s="153"/>
      <c r="EBA33" s="153"/>
      <c r="EBB33" s="153"/>
      <c r="EBC33" s="153"/>
      <c r="EBD33" s="153"/>
      <c r="EBE33" s="153"/>
      <c r="EBF33" s="153"/>
      <c r="EBG33" s="153"/>
      <c r="EBH33" s="153"/>
      <c r="EBI33" s="153"/>
      <c r="EBJ33" s="153"/>
      <c r="EBK33" s="153"/>
      <c r="EBL33" s="153"/>
      <c r="EBM33" s="153"/>
      <c r="EBN33" s="153"/>
      <c r="EBO33" s="153"/>
      <c r="EBP33" s="153"/>
      <c r="EBQ33" s="153"/>
      <c r="EBR33" s="153"/>
      <c r="EBS33" s="153"/>
      <c r="EBT33" s="153"/>
      <c r="EBU33" s="153"/>
      <c r="EBV33" s="153"/>
      <c r="EBW33" s="153"/>
      <c r="EBX33" s="153"/>
      <c r="EBY33" s="153"/>
      <c r="EBZ33" s="153"/>
      <c r="ECA33" s="153"/>
      <c r="ECB33" s="153"/>
      <c r="ECC33" s="153"/>
      <c r="ECD33" s="153"/>
      <c r="ECE33" s="153"/>
      <c r="ECF33" s="153"/>
      <c r="ECG33" s="153"/>
      <c r="ECH33" s="153"/>
      <c r="ECI33" s="153"/>
      <c r="ECJ33" s="153"/>
      <c r="ECK33" s="153"/>
      <c r="ECL33" s="153"/>
      <c r="ECM33" s="153"/>
      <c r="ECN33" s="153"/>
      <c r="ECO33" s="153"/>
      <c r="ECP33" s="153"/>
      <c r="ECQ33" s="153"/>
      <c r="ECR33" s="153"/>
      <c r="ECS33" s="153"/>
      <c r="ECT33" s="153"/>
      <c r="ECU33" s="153"/>
      <c r="ECV33" s="153"/>
      <c r="ECW33" s="153"/>
      <c r="ECX33" s="153"/>
      <c r="ECY33" s="153"/>
      <c r="ECZ33" s="153"/>
      <c r="EDA33" s="153"/>
      <c r="EDB33" s="153"/>
      <c r="EDC33" s="153"/>
      <c r="EDD33" s="153"/>
      <c r="EDE33" s="153"/>
      <c r="EDF33" s="153"/>
      <c r="EDG33" s="153"/>
      <c r="EDH33" s="153"/>
      <c r="EDI33" s="153"/>
      <c r="EDJ33" s="153"/>
      <c r="EDK33" s="153"/>
      <c r="EDL33" s="153"/>
      <c r="EDM33" s="153"/>
      <c r="EDN33" s="153"/>
      <c r="EDO33" s="153"/>
      <c r="EDP33" s="153"/>
      <c r="EDQ33" s="153"/>
      <c r="EDR33" s="153"/>
      <c r="EDS33" s="153"/>
      <c r="EDT33" s="153"/>
      <c r="EDU33" s="153"/>
      <c r="EDV33" s="153"/>
      <c r="EDW33" s="153"/>
      <c r="EDX33" s="153"/>
      <c r="EDY33" s="153"/>
      <c r="EDZ33" s="153"/>
      <c r="EEA33" s="153"/>
      <c r="EEB33" s="153"/>
      <c r="EEC33" s="153"/>
      <c r="EED33" s="153"/>
      <c r="EEE33" s="153"/>
      <c r="EEF33" s="153"/>
      <c r="EEG33" s="153"/>
      <c r="EEH33" s="153"/>
      <c r="EEI33" s="153"/>
      <c r="EEJ33" s="153"/>
      <c r="EEK33" s="153"/>
      <c r="EEL33" s="153"/>
      <c r="EEM33" s="153"/>
      <c r="EEN33" s="153"/>
      <c r="EEO33" s="153"/>
      <c r="EEP33" s="153"/>
      <c r="EEQ33" s="153"/>
      <c r="EER33" s="153"/>
      <c r="EES33" s="153"/>
      <c r="EET33" s="153"/>
      <c r="EEU33" s="153"/>
      <c r="EEV33" s="153"/>
      <c r="EEW33" s="153"/>
      <c r="EEX33" s="153"/>
      <c r="EEY33" s="153"/>
      <c r="EEZ33" s="153"/>
      <c r="EFA33" s="153"/>
      <c r="EFB33" s="153"/>
      <c r="EFC33" s="153"/>
      <c r="EFD33" s="153"/>
      <c r="EFE33" s="153"/>
      <c r="EFF33" s="153"/>
      <c r="EFG33" s="153"/>
      <c r="EFH33" s="153"/>
      <c r="EFI33" s="153"/>
      <c r="EFJ33" s="153"/>
      <c r="EFK33" s="153"/>
      <c r="EFL33" s="153"/>
      <c r="EFM33" s="153"/>
      <c r="EFN33" s="153"/>
      <c r="EFO33" s="153"/>
      <c r="EFP33" s="153"/>
      <c r="EFQ33" s="153"/>
      <c r="EFR33" s="153"/>
      <c r="EFS33" s="153"/>
      <c r="EFT33" s="153"/>
      <c r="EFU33" s="153"/>
      <c r="EFV33" s="153"/>
      <c r="EFW33" s="153"/>
      <c r="EFX33" s="153"/>
      <c r="EFY33" s="153"/>
      <c r="EFZ33" s="153"/>
      <c r="EGA33" s="153"/>
      <c r="EGB33" s="153"/>
      <c r="EGC33" s="153"/>
      <c r="EGD33" s="153"/>
      <c r="EGE33" s="153"/>
      <c r="EGF33" s="153"/>
      <c r="EGG33" s="153"/>
      <c r="EGH33" s="153"/>
      <c r="EGI33" s="153"/>
      <c r="EGJ33" s="153"/>
      <c r="EGK33" s="153"/>
      <c r="EGL33" s="153"/>
      <c r="EGM33" s="153"/>
      <c r="EGN33" s="153"/>
      <c r="EGO33" s="153"/>
      <c r="EGP33" s="153"/>
      <c r="EGQ33" s="153"/>
      <c r="EGR33" s="153"/>
      <c r="EGS33" s="153"/>
      <c r="EGT33" s="153"/>
      <c r="EGU33" s="153"/>
      <c r="EGV33" s="153"/>
      <c r="EGW33" s="153"/>
      <c r="EGX33" s="153"/>
      <c r="EGY33" s="153"/>
      <c r="EGZ33" s="153"/>
      <c r="EHA33" s="153"/>
      <c r="EHB33" s="153"/>
      <c r="EHC33" s="153"/>
      <c r="EHD33" s="153"/>
      <c r="EHE33" s="153"/>
      <c r="EHF33" s="153"/>
      <c r="EHG33" s="153"/>
      <c r="EHH33" s="153"/>
      <c r="EHI33" s="153"/>
      <c r="EHJ33" s="153"/>
      <c r="EHK33" s="153"/>
      <c r="EHL33" s="153"/>
      <c r="EHM33" s="153"/>
      <c r="EHN33" s="153"/>
      <c r="EHO33" s="153"/>
      <c r="EHP33" s="153"/>
      <c r="EHQ33" s="153"/>
      <c r="EHR33" s="153"/>
      <c r="EHS33" s="153"/>
      <c r="EHT33" s="153"/>
      <c r="EHU33" s="153"/>
      <c r="EHV33" s="153"/>
      <c r="EHW33" s="153"/>
      <c r="EHX33" s="153"/>
      <c r="EHY33" s="153"/>
      <c r="EHZ33" s="153"/>
      <c r="EIA33" s="153"/>
      <c r="EIB33" s="153"/>
      <c r="EIC33" s="153"/>
      <c r="EID33" s="153"/>
      <c r="EIE33" s="153"/>
      <c r="EIF33" s="153"/>
      <c r="EIG33" s="153"/>
      <c r="EIH33" s="153"/>
      <c r="EII33" s="153"/>
      <c r="EIJ33" s="153"/>
      <c r="EIK33" s="153"/>
      <c r="EIL33" s="153"/>
      <c r="EIM33" s="153"/>
      <c r="EIN33" s="153"/>
      <c r="EIO33" s="153"/>
      <c r="EIP33" s="153"/>
      <c r="EIQ33" s="153"/>
      <c r="EIR33" s="153"/>
      <c r="EIS33" s="153"/>
      <c r="EIT33" s="153"/>
      <c r="EIU33" s="153"/>
      <c r="EIV33" s="153"/>
      <c r="EIW33" s="153"/>
      <c r="EIX33" s="153"/>
      <c r="EIY33" s="153"/>
      <c r="EIZ33" s="153"/>
      <c r="EJA33" s="153"/>
      <c r="EJB33" s="153"/>
      <c r="EJC33" s="153"/>
      <c r="EJD33" s="153"/>
      <c r="EJE33" s="153"/>
      <c r="EJF33" s="153"/>
      <c r="EJG33" s="153"/>
      <c r="EJH33" s="153"/>
      <c r="EJI33" s="153"/>
      <c r="EJJ33" s="153"/>
      <c r="EJK33" s="153"/>
      <c r="EJL33" s="153"/>
      <c r="EJM33" s="153"/>
      <c r="EJN33" s="153"/>
      <c r="EJO33" s="153"/>
      <c r="EJP33" s="153"/>
      <c r="EJQ33" s="153"/>
      <c r="EJR33" s="153"/>
      <c r="EJS33" s="153"/>
      <c r="EJT33" s="153"/>
      <c r="EJU33" s="153"/>
      <c r="EJV33" s="153"/>
      <c r="EJW33" s="153"/>
      <c r="EJX33" s="153"/>
      <c r="EJY33" s="153"/>
      <c r="EJZ33" s="153"/>
      <c r="EKA33" s="153"/>
      <c r="EKB33" s="153"/>
      <c r="EKC33" s="153"/>
      <c r="EKD33" s="153"/>
      <c r="EKE33" s="153"/>
      <c r="EKF33" s="153"/>
      <c r="EKG33" s="153"/>
      <c r="EKH33" s="153"/>
      <c r="EKI33" s="153"/>
      <c r="EKJ33" s="153"/>
      <c r="EKK33" s="153"/>
      <c r="EKL33" s="153"/>
      <c r="EKM33" s="153"/>
      <c r="EKN33" s="153"/>
      <c r="EKO33" s="153"/>
      <c r="EKP33" s="153"/>
      <c r="EKQ33" s="153"/>
      <c r="EKR33" s="153"/>
      <c r="EKS33" s="153"/>
      <c r="EKT33" s="153"/>
      <c r="EKU33" s="153"/>
      <c r="EKV33" s="153"/>
      <c r="EKW33" s="153"/>
      <c r="EKX33" s="153"/>
      <c r="EKY33" s="153"/>
      <c r="EKZ33" s="153"/>
      <c r="ELA33" s="153"/>
      <c r="ELB33" s="153"/>
      <c r="ELC33" s="153"/>
      <c r="ELD33" s="153"/>
      <c r="ELE33" s="153"/>
      <c r="ELF33" s="153"/>
      <c r="ELG33" s="153"/>
      <c r="ELH33" s="153"/>
      <c r="ELI33" s="153"/>
      <c r="ELJ33" s="153"/>
      <c r="ELK33" s="153"/>
      <c r="ELL33" s="153"/>
      <c r="ELM33" s="153"/>
      <c r="ELN33" s="153"/>
      <c r="ELO33" s="153"/>
      <c r="ELP33" s="153"/>
      <c r="ELQ33" s="153"/>
      <c r="ELR33" s="153"/>
      <c r="ELS33" s="153"/>
      <c r="ELT33" s="153"/>
      <c r="ELU33" s="153"/>
      <c r="ELV33" s="153"/>
      <c r="ELW33" s="153"/>
      <c r="ELX33" s="153"/>
      <c r="ELY33" s="153"/>
      <c r="ELZ33" s="153"/>
      <c r="EMA33" s="153"/>
      <c r="EMB33" s="153"/>
      <c r="EMC33" s="153"/>
      <c r="EMD33" s="153"/>
      <c r="EME33" s="153"/>
      <c r="EMF33" s="153"/>
      <c r="EMG33" s="153"/>
      <c r="EMH33" s="153"/>
      <c r="EMI33" s="153"/>
      <c r="EMJ33" s="153"/>
      <c r="EMK33" s="153"/>
      <c r="EML33" s="153"/>
      <c r="EMM33" s="153"/>
      <c r="EMN33" s="153"/>
      <c r="EMO33" s="153"/>
      <c r="EMP33" s="153"/>
      <c r="EMQ33" s="153"/>
      <c r="EMR33" s="153"/>
      <c r="EMS33" s="153"/>
      <c r="EMT33" s="153"/>
      <c r="EMU33" s="153"/>
      <c r="EMV33" s="153"/>
      <c r="EMW33" s="153"/>
      <c r="EMX33" s="153"/>
      <c r="EMY33" s="153"/>
      <c r="EMZ33" s="153"/>
      <c r="ENA33" s="153"/>
      <c r="ENB33" s="153"/>
      <c r="ENC33" s="153"/>
      <c r="END33" s="153"/>
      <c r="ENE33" s="153"/>
      <c r="ENF33" s="153"/>
      <c r="ENG33" s="153"/>
      <c r="ENH33" s="153"/>
      <c r="ENI33" s="153"/>
      <c r="ENJ33" s="153"/>
      <c r="ENK33" s="153"/>
      <c r="ENL33" s="153"/>
      <c r="ENM33" s="153"/>
      <c r="ENN33" s="153"/>
      <c r="ENO33" s="153"/>
      <c r="ENP33" s="153"/>
      <c r="ENQ33" s="153"/>
      <c r="ENR33" s="153"/>
      <c r="ENS33" s="153"/>
      <c r="ENT33" s="153"/>
      <c r="ENU33" s="153"/>
      <c r="ENV33" s="153"/>
      <c r="ENW33" s="153"/>
      <c r="ENX33" s="153"/>
      <c r="ENY33" s="153"/>
      <c r="ENZ33" s="153"/>
      <c r="EOA33" s="153"/>
      <c r="EOB33" s="153"/>
      <c r="EOC33" s="153"/>
      <c r="EOD33" s="153"/>
      <c r="EOE33" s="153"/>
      <c r="EOF33" s="153"/>
      <c r="EOG33" s="153"/>
      <c r="EOH33" s="153"/>
      <c r="EOI33" s="153"/>
      <c r="EOJ33" s="153"/>
      <c r="EOK33" s="153"/>
      <c r="EOL33" s="153"/>
      <c r="EOM33" s="153"/>
      <c r="EON33" s="153"/>
      <c r="EOO33" s="153"/>
      <c r="EOP33" s="153"/>
      <c r="EOQ33" s="153"/>
      <c r="EOR33" s="153"/>
      <c r="EOS33" s="153"/>
      <c r="EOT33" s="153"/>
      <c r="EOU33" s="153"/>
      <c r="EOV33" s="153"/>
      <c r="EOW33" s="153"/>
      <c r="EOX33" s="153"/>
      <c r="EOY33" s="153"/>
      <c r="EOZ33" s="153"/>
      <c r="EPA33" s="153"/>
      <c r="EPB33" s="153"/>
      <c r="EPC33" s="153"/>
      <c r="EPD33" s="153"/>
      <c r="EPE33" s="153"/>
      <c r="EPF33" s="153"/>
      <c r="EPG33" s="153"/>
      <c r="EPH33" s="153"/>
      <c r="EPI33" s="153"/>
      <c r="EPJ33" s="153"/>
      <c r="EPK33" s="153"/>
      <c r="EPL33" s="153"/>
      <c r="EPM33" s="153"/>
      <c r="EPN33" s="153"/>
      <c r="EPO33" s="153"/>
      <c r="EPP33" s="153"/>
      <c r="EPQ33" s="153"/>
      <c r="EPR33" s="153"/>
      <c r="EPS33" s="153"/>
      <c r="EPT33" s="153"/>
      <c r="EPU33" s="153"/>
      <c r="EPV33" s="153"/>
      <c r="EPW33" s="153"/>
      <c r="EPX33" s="153"/>
      <c r="EPY33" s="153"/>
      <c r="EPZ33" s="153"/>
      <c r="EQA33" s="153"/>
      <c r="EQB33" s="153"/>
      <c r="EQC33" s="153"/>
      <c r="EQD33" s="153"/>
      <c r="EQE33" s="153"/>
      <c r="EQF33" s="153"/>
      <c r="EQG33" s="153"/>
      <c r="EQH33" s="153"/>
      <c r="EQI33" s="153"/>
      <c r="EQJ33" s="153"/>
      <c r="EQK33" s="153"/>
      <c r="EQL33" s="153"/>
      <c r="EQM33" s="153"/>
      <c r="EQN33" s="153"/>
      <c r="EQO33" s="153"/>
      <c r="EQP33" s="153"/>
      <c r="EQQ33" s="153"/>
      <c r="EQR33" s="153"/>
      <c r="EQS33" s="153"/>
      <c r="EQT33" s="153"/>
      <c r="EQU33" s="153"/>
      <c r="EQV33" s="153"/>
      <c r="EQW33" s="153"/>
      <c r="EQX33" s="153"/>
      <c r="EQY33" s="153"/>
      <c r="EQZ33" s="153"/>
      <c r="ERA33" s="153"/>
      <c r="ERB33" s="153"/>
      <c r="ERC33" s="153"/>
      <c r="ERD33" s="153"/>
      <c r="ERE33" s="153"/>
      <c r="ERF33" s="153"/>
      <c r="ERG33" s="153"/>
      <c r="ERH33" s="153"/>
      <c r="ERI33" s="153"/>
      <c r="ERJ33" s="153"/>
      <c r="ERK33" s="153"/>
      <c r="ERL33" s="153"/>
      <c r="ERM33" s="153"/>
      <c r="ERN33" s="153"/>
      <c r="ERO33" s="153"/>
      <c r="ERP33" s="153"/>
      <c r="ERQ33" s="153"/>
      <c r="ERR33" s="153"/>
      <c r="ERS33" s="153"/>
      <c r="ERT33" s="153"/>
      <c r="ERU33" s="153"/>
      <c r="ERV33" s="153"/>
      <c r="ERW33" s="153"/>
      <c r="ERX33" s="153"/>
      <c r="ERY33" s="153"/>
      <c r="ERZ33" s="153"/>
      <c r="ESA33" s="153"/>
      <c r="ESB33" s="153"/>
      <c r="ESC33" s="153"/>
      <c r="ESD33" s="153"/>
      <c r="ESE33" s="153"/>
      <c r="ESF33" s="153"/>
      <c r="ESG33" s="153"/>
      <c r="ESH33" s="153"/>
      <c r="ESI33" s="153"/>
      <c r="ESJ33" s="153"/>
      <c r="ESK33" s="153"/>
      <c r="ESL33" s="153"/>
      <c r="ESM33" s="153"/>
      <c r="ESN33" s="153"/>
      <c r="ESO33" s="153"/>
      <c r="ESP33" s="153"/>
      <c r="ESQ33" s="153"/>
      <c r="ESR33" s="153"/>
      <c r="ESS33" s="153"/>
      <c r="EST33" s="153"/>
      <c r="ESU33" s="153"/>
      <c r="ESV33" s="153"/>
      <c r="ESW33" s="153"/>
      <c r="ESX33" s="153"/>
      <c r="ESY33" s="153"/>
      <c r="ESZ33" s="153"/>
      <c r="ETA33" s="153"/>
      <c r="ETB33" s="153"/>
      <c r="ETC33" s="153"/>
      <c r="ETD33" s="153"/>
      <c r="ETE33" s="153"/>
      <c r="ETF33" s="153"/>
      <c r="ETG33" s="153"/>
      <c r="ETH33" s="153"/>
      <c r="ETI33" s="153"/>
      <c r="ETJ33" s="153"/>
      <c r="ETK33" s="153"/>
      <c r="ETL33" s="153"/>
      <c r="ETM33" s="153"/>
      <c r="ETN33" s="153"/>
      <c r="ETO33" s="153"/>
      <c r="ETP33" s="153"/>
      <c r="ETQ33" s="153"/>
      <c r="ETR33" s="153"/>
      <c r="ETS33" s="153"/>
      <c r="ETT33" s="153"/>
      <c r="ETU33" s="153"/>
      <c r="ETV33" s="153"/>
      <c r="ETW33" s="153"/>
      <c r="ETX33" s="153"/>
      <c r="ETY33" s="153"/>
      <c r="ETZ33" s="153"/>
      <c r="EUA33" s="153"/>
      <c r="EUB33" s="153"/>
      <c r="EUC33" s="153"/>
      <c r="EUD33" s="153"/>
      <c r="EUE33" s="153"/>
      <c r="EUF33" s="153"/>
      <c r="EUG33" s="153"/>
      <c r="EUH33" s="153"/>
      <c r="EUI33" s="153"/>
      <c r="EUJ33" s="153"/>
      <c r="EUK33" s="153"/>
      <c r="EUL33" s="153"/>
      <c r="EUM33" s="153"/>
      <c r="EUN33" s="153"/>
      <c r="EUO33" s="153"/>
      <c r="EUP33" s="153"/>
      <c r="EUQ33" s="153"/>
      <c r="EUR33" s="153"/>
      <c r="EUS33" s="153"/>
      <c r="EUT33" s="153"/>
      <c r="EUU33" s="153"/>
      <c r="EUV33" s="153"/>
      <c r="EUW33" s="153"/>
      <c r="EUX33" s="153"/>
      <c r="EUY33" s="153"/>
      <c r="EUZ33" s="153"/>
      <c r="EVA33" s="153"/>
      <c r="EVB33" s="153"/>
      <c r="EVC33" s="153"/>
      <c r="EVD33" s="153"/>
      <c r="EVE33" s="153"/>
      <c r="EVF33" s="153"/>
      <c r="EVG33" s="153"/>
      <c r="EVH33" s="153"/>
      <c r="EVI33" s="153"/>
      <c r="EVJ33" s="153"/>
      <c r="EVK33" s="153"/>
      <c r="EVL33" s="153"/>
      <c r="EVM33" s="153"/>
      <c r="EVN33" s="153"/>
      <c r="EVO33" s="153"/>
      <c r="EVP33" s="153"/>
      <c r="EVQ33" s="153"/>
      <c r="EVR33" s="153"/>
      <c r="EVS33" s="153"/>
      <c r="EVT33" s="153"/>
      <c r="EVU33" s="153"/>
      <c r="EVV33" s="153"/>
      <c r="EVW33" s="153"/>
      <c r="EVX33" s="153"/>
      <c r="EVY33" s="153"/>
      <c r="EVZ33" s="153"/>
      <c r="EWA33" s="153"/>
      <c r="EWB33" s="153"/>
      <c r="EWC33" s="153"/>
      <c r="EWD33" s="153"/>
      <c r="EWE33" s="153"/>
      <c r="EWF33" s="153"/>
      <c r="EWG33" s="153"/>
      <c r="EWH33" s="153"/>
      <c r="EWI33" s="153"/>
      <c r="EWJ33" s="153"/>
      <c r="EWK33" s="153"/>
      <c r="EWL33" s="153"/>
      <c r="EWM33" s="153"/>
      <c r="EWN33" s="153"/>
      <c r="EWO33" s="153"/>
      <c r="EWP33" s="153"/>
      <c r="EWQ33" s="153"/>
      <c r="EWR33" s="153"/>
      <c r="EWS33" s="153"/>
      <c r="EWT33" s="153"/>
      <c r="EWU33" s="153"/>
      <c r="EWV33" s="153"/>
      <c r="EWW33" s="153"/>
      <c r="EWX33" s="153"/>
      <c r="EWY33" s="153"/>
      <c r="EWZ33" s="153"/>
      <c r="EXA33" s="153"/>
      <c r="EXB33" s="153"/>
      <c r="EXC33" s="153"/>
      <c r="EXD33" s="153"/>
      <c r="EXE33" s="153"/>
      <c r="EXF33" s="153"/>
      <c r="EXG33" s="153"/>
      <c r="EXH33" s="153"/>
      <c r="EXI33" s="153"/>
      <c r="EXJ33" s="153"/>
      <c r="EXK33" s="153"/>
      <c r="EXL33" s="153"/>
      <c r="EXM33" s="153"/>
      <c r="EXN33" s="153"/>
      <c r="EXO33" s="153"/>
      <c r="EXP33" s="153"/>
      <c r="EXQ33" s="153"/>
      <c r="EXR33" s="153"/>
      <c r="EXS33" s="153"/>
      <c r="EXT33" s="153"/>
      <c r="EXU33" s="153"/>
      <c r="EXV33" s="153"/>
      <c r="EXW33" s="153"/>
      <c r="EXX33" s="153"/>
      <c r="EXY33" s="153"/>
      <c r="EXZ33" s="153"/>
      <c r="EYA33" s="153"/>
      <c r="EYB33" s="153"/>
      <c r="EYC33" s="153"/>
      <c r="EYD33" s="153"/>
      <c r="EYE33" s="153"/>
      <c r="EYF33" s="153"/>
      <c r="EYG33" s="153"/>
      <c r="EYH33" s="153"/>
      <c r="EYI33" s="153"/>
      <c r="EYJ33" s="153"/>
      <c r="EYK33" s="153"/>
      <c r="EYL33" s="153"/>
      <c r="EYM33" s="153"/>
      <c r="EYN33" s="153"/>
      <c r="EYO33" s="153"/>
      <c r="EYP33" s="153"/>
      <c r="EYQ33" s="153"/>
      <c r="EYR33" s="153"/>
      <c r="EYS33" s="153"/>
      <c r="EYT33" s="153"/>
      <c r="EYU33" s="153"/>
      <c r="EYV33" s="153"/>
      <c r="EYW33" s="153"/>
      <c r="EYX33" s="153"/>
      <c r="EYY33" s="153"/>
      <c r="EYZ33" s="153"/>
      <c r="EZA33" s="153"/>
      <c r="EZB33" s="153"/>
      <c r="EZC33" s="153"/>
      <c r="EZD33" s="153"/>
      <c r="EZE33" s="153"/>
      <c r="EZF33" s="153"/>
      <c r="EZG33" s="153"/>
      <c r="EZH33" s="153"/>
      <c r="EZI33" s="153"/>
      <c r="EZJ33" s="153"/>
      <c r="EZK33" s="153"/>
      <c r="EZL33" s="153"/>
      <c r="EZM33" s="153"/>
      <c r="EZN33" s="153"/>
      <c r="EZO33" s="153"/>
      <c r="EZP33" s="153"/>
      <c r="EZQ33" s="153"/>
      <c r="EZR33" s="153"/>
      <c r="EZS33" s="153"/>
      <c r="EZT33" s="153"/>
      <c r="EZU33" s="153"/>
      <c r="EZV33" s="153"/>
      <c r="EZW33" s="153"/>
      <c r="EZX33" s="153"/>
      <c r="EZY33" s="153"/>
      <c r="EZZ33" s="153"/>
      <c r="FAA33" s="153"/>
      <c r="FAB33" s="153"/>
      <c r="FAC33" s="153"/>
      <c r="FAD33" s="153"/>
      <c r="FAE33" s="153"/>
      <c r="FAF33" s="153"/>
      <c r="FAG33" s="153"/>
      <c r="FAH33" s="153"/>
      <c r="FAI33" s="153"/>
      <c r="FAJ33" s="153"/>
      <c r="FAK33" s="153"/>
      <c r="FAL33" s="153"/>
      <c r="FAM33" s="153"/>
      <c r="FAN33" s="153"/>
      <c r="FAO33" s="153"/>
      <c r="FAP33" s="153"/>
      <c r="FAQ33" s="153"/>
      <c r="FAR33" s="153"/>
      <c r="FAS33" s="153"/>
      <c r="FAT33" s="153"/>
      <c r="FAU33" s="153"/>
      <c r="FAV33" s="153"/>
      <c r="FAW33" s="153"/>
      <c r="FAX33" s="153"/>
      <c r="FAY33" s="153"/>
      <c r="FAZ33" s="153"/>
      <c r="FBA33" s="153"/>
      <c r="FBB33" s="153"/>
      <c r="FBC33" s="153"/>
      <c r="FBD33" s="153"/>
      <c r="FBE33" s="153"/>
      <c r="FBF33" s="153"/>
      <c r="FBG33" s="153"/>
      <c r="FBH33" s="153"/>
      <c r="FBI33" s="153"/>
      <c r="FBJ33" s="153"/>
      <c r="FBK33" s="153"/>
      <c r="FBL33" s="153"/>
      <c r="FBM33" s="153"/>
      <c r="FBN33" s="153"/>
      <c r="FBO33" s="153"/>
      <c r="FBP33" s="153"/>
      <c r="FBQ33" s="153"/>
      <c r="FBR33" s="153"/>
      <c r="FBS33" s="153"/>
      <c r="FBT33" s="153"/>
      <c r="FBU33" s="153"/>
      <c r="FBV33" s="153"/>
      <c r="FBW33" s="153"/>
      <c r="FBX33" s="153"/>
      <c r="FBY33" s="153"/>
      <c r="FBZ33" s="153"/>
      <c r="FCA33" s="153"/>
      <c r="FCB33" s="153"/>
      <c r="FCC33" s="153"/>
      <c r="FCD33" s="153"/>
      <c r="FCE33" s="153"/>
      <c r="FCF33" s="153"/>
      <c r="FCG33" s="153"/>
      <c r="FCH33" s="153"/>
      <c r="FCI33" s="153"/>
      <c r="FCJ33" s="153"/>
      <c r="FCK33" s="153"/>
      <c r="FCL33" s="153"/>
      <c r="FCM33" s="153"/>
      <c r="FCN33" s="153"/>
      <c r="FCO33" s="153"/>
      <c r="FCP33" s="153"/>
      <c r="FCQ33" s="153"/>
      <c r="FCR33" s="153"/>
      <c r="FCS33" s="153"/>
      <c r="FCT33" s="153"/>
      <c r="FCU33" s="153"/>
      <c r="FCV33" s="153"/>
      <c r="FCW33" s="153"/>
      <c r="FCX33" s="153"/>
      <c r="FCY33" s="153"/>
      <c r="FCZ33" s="153"/>
      <c r="FDA33" s="153"/>
      <c r="FDB33" s="153"/>
      <c r="FDC33" s="153"/>
      <c r="FDD33" s="153"/>
      <c r="FDE33" s="153"/>
      <c r="FDF33" s="153"/>
      <c r="FDG33" s="153"/>
      <c r="FDH33" s="153"/>
      <c r="FDI33" s="153"/>
      <c r="FDJ33" s="153"/>
      <c r="FDK33" s="153"/>
      <c r="FDL33" s="153"/>
      <c r="FDM33" s="153"/>
      <c r="FDN33" s="153"/>
      <c r="FDO33" s="153"/>
      <c r="FDP33" s="153"/>
      <c r="FDQ33" s="153"/>
      <c r="FDR33" s="153"/>
      <c r="FDS33" s="153"/>
      <c r="FDT33" s="153"/>
      <c r="FDU33" s="153"/>
      <c r="FDV33" s="153"/>
      <c r="FDW33" s="153"/>
      <c r="FDX33" s="153"/>
      <c r="FDY33" s="153"/>
      <c r="FDZ33" s="153"/>
      <c r="FEA33" s="153"/>
      <c r="FEB33" s="153"/>
      <c r="FEC33" s="153"/>
      <c r="FED33" s="153"/>
      <c r="FEE33" s="153"/>
      <c r="FEF33" s="153"/>
      <c r="FEG33" s="153"/>
      <c r="FEH33" s="153"/>
      <c r="FEI33" s="153"/>
      <c r="FEJ33" s="153"/>
      <c r="FEK33" s="153"/>
      <c r="FEL33" s="153"/>
      <c r="FEM33" s="153"/>
      <c r="FEN33" s="153"/>
      <c r="FEO33" s="153"/>
      <c r="FEP33" s="153"/>
      <c r="FEQ33" s="153"/>
      <c r="FER33" s="153"/>
      <c r="FES33" s="153"/>
      <c r="FET33" s="153"/>
      <c r="FEU33" s="153"/>
      <c r="FEV33" s="153"/>
      <c r="FEW33" s="153"/>
      <c r="FEX33" s="153"/>
      <c r="FEY33" s="153"/>
      <c r="FEZ33" s="153"/>
      <c r="FFA33" s="153"/>
      <c r="FFB33" s="153"/>
      <c r="FFC33" s="153"/>
      <c r="FFD33" s="153"/>
      <c r="FFE33" s="153"/>
      <c r="FFF33" s="153"/>
      <c r="FFG33" s="153"/>
      <c r="FFH33" s="153"/>
      <c r="FFI33" s="153"/>
      <c r="FFJ33" s="153"/>
      <c r="FFK33" s="153"/>
      <c r="FFL33" s="153"/>
      <c r="FFM33" s="153"/>
      <c r="FFN33" s="153"/>
      <c r="FFO33" s="153"/>
      <c r="FFP33" s="153"/>
      <c r="FFQ33" s="153"/>
      <c r="FFR33" s="153"/>
      <c r="FFS33" s="153"/>
      <c r="FFT33" s="153"/>
      <c r="FFU33" s="153"/>
      <c r="FFV33" s="153"/>
      <c r="FFW33" s="153"/>
      <c r="FFX33" s="153"/>
      <c r="FFY33" s="153"/>
      <c r="FFZ33" s="153"/>
      <c r="FGA33" s="153"/>
      <c r="FGB33" s="153"/>
      <c r="FGC33" s="153"/>
      <c r="FGD33" s="153"/>
      <c r="FGE33" s="153"/>
      <c r="FGF33" s="153"/>
      <c r="FGG33" s="153"/>
      <c r="FGH33" s="153"/>
      <c r="FGI33" s="153"/>
      <c r="FGJ33" s="153"/>
      <c r="FGK33" s="153"/>
      <c r="FGL33" s="153"/>
      <c r="FGM33" s="153"/>
      <c r="FGN33" s="153"/>
      <c r="FGO33" s="153"/>
      <c r="FGP33" s="153"/>
      <c r="FGQ33" s="153"/>
      <c r="FGR33" s="153"/>
      <c r="FGS33" s="153"/>
      <c r="FGT33" s="153"/>
      <c r="FGU33" s="153"/>
      <c r="FGV33" s="153"/>
      <c r="FGW33" s="153"/>
      <c r="FGX33" s="153"/>
      <c r="FGY33" s="153"/>
      <c r="FGZ33" s="153"/>
      <c r="FHA33" s="153"/>
      <c r="FHB33" s="153"/>
      <c r="FHC33" s="153"/>
      <c r="FHD33" s="153"/>
      <c r="FHE33" s="153"/>
      <c r="FHF33" s="153"/>
      <c r="FHG33" s="153"/>
      <c r="FHH33" s="153"/>
      <c r="FHI33" s="153"/>
      <c r="FHJ33" s="153"/>
      <c r="FHK33" s="153"/>
      <c r="FHL33" s="153"/>
      <c r="FHM33" s="153"/>
      <c r="FHN33" s="153"/>
      <c r="FHO33" s="153"/>
      <c r="FHP33" s="153"/>
      <c r="FHQ33" s="153"/>
      <c r="FHR33" s="153"/>
      <c r="FHS33" s="153"/>
      <c r="FHT33" s="153"/>
      <c r="FHU33" s="153"/>
      <c r="FHV33" s="153"/>
      <c r="FHW33" s="153"/>
      <c r="FHX33" s="153"/>
      <c r="FHY33" s="153"/>
      <c r="FHZ33" s="153"/>
      <c r="FIA33" s="153"/>
      <c r="FIB33" s="153"/>
      <c r="FIC33" s="153"/>
      <c r="FID33" s="153"/>
      <c r="FIE33" s="153"/>
      <c r="FIF33" s="153"/>
      <c r="FIG33" s="153"/>
      <c r="FIH33" s="153"/>
      <c r="FII33" s="153"/>
      <c r="FIJ33" s="153"/>
      <c r="FIK33" s="153"/>
      <c r="FIL33" s="153"/>
      <c r="FIM33" s="153"/>
      <c r="FIN33" s="153"/>
      <c r="FIO33" s="153"/>
      <c r="FIP33" s="153"/>
      <c r="FIQ33" s="153"/>
      <c r="FIR33" s="153"/>
      <c r="FIS33" s="153"/>
      <c r="FIT33" s="153"/>
      <c r="FIU33" s="153"/>
      <c r="FIV33" s="153"/>
      <c r="FIW33" s="153"/>
      <c r="FIX33" s="153"/>
      <c r="FIY33" s="153"/>
      <c r="FIZ33" s="153"/>
      <c r="FJA33" s="153"/>
      <c r="FJB33" s="153"/>
      <c r="FJC33" s="153"/>
      <c r="FJD33" s="153"/>
      <c r="FJE33" s="153"/>
      <c r="FJF33" s="153"/>
      <c r="FJG33" s="153"/>
      <c r="FJH33" s="153"/>
      <c r="FJI33" s="153"/>
      <c r="FJJ33" s="153"/>
      <c r="FJK33" s="153"/>
      <c r="FJL33" s="153"/>
      <c r="FJM33" s="153"/>
      <c r="FJN33" s="153"/>
      <c r="FJO33" s="153"/>
      <c r="FJP33" s="153"/>
      <c r="FJQ33" s="153"/>
      <c r="FJR33" s="153"/>
      <c r="FJS33" s="153"/>
      <c r="FJT33" s="153"/>
      <c r="FJU33" s="153"/>
      <c r="FJV33" s="153"/>
      <c r="FJW33" s="153"/>
      <c r="FJX33" s="153"/>
      <c r="FJY33" s="153"/>
      <c r="FJZ33" s="153"/>
      <c r="FKA33" s="153"/>
      <c r="FKB33" s="153"/>
      <c r="FKC33" s="153"/>
      <c r="FKD33" s="153"/>
      <c r="FKE33" s="153"/>
      <c r="FKF33" s="153"/>
      <c r="FKG33" s="153"/>
      <c r="FKH33" s="153"/>
      <c r="FKI33" s="153"/>
      <c r="FKJ33" s="153"/>
      <c r="FKK33" s="153"/>
      <c r="FKL33" s="153"/>
      <c r="FKM33" s="153"/>
      <c r="FKN33" s="153"/>
      <c r="FKO33" s="153"/>
      <c r="FKP33" s="153"/>
      <c r="FKQ33" s="153"/>
      <c r="FKR33" s="153"/>
      <c r="FKS33" s="153"/>
      <c r="FKT33" s="153"/>
      <c r="FKU33" s="153"/>
      <c r="FKV33" s="153"/>
      <c r="FKW33" s="153"/>
      <c r="FKX33" s="153"/>
      <c r="FKY33" s="153"/>
      <c r="FKZ33" s="153"/>
      <c r="FLA33" s="153"/>
      <c r="FLB33" s="153"/>
      <c r="FLC33" s="153"/>
      <c r="FLD33" s="153"/>
      <c r="FLE33" s="153"/>
      <c r="FLF33" s="153"/>
      <c r="FLG33" s="153"/>
      <c r="FLH33" s="153"/>
      <c r="FLI33" s="153"/>
      <c r="FLJ33" s="153"/>
      <c r="FLK33" s="153"/>
      <c r="FLL33" s="153"/>
      <c r="FLM33" s="153"/>
      <c r="FLN33" s="153"/>
      <c r="FLO33" s="153"/>
      <c r="FLP33" s="153"/>
      <c r="FLQ33" s="153"/>
      <c r="FLR33" s="153"/>
      <c r="FLS33" s="153"/>
      <c r="FLT33" s="153"/>
      <c r="FLU33" s="153"/>
      <c r="FLV33" s="153"/>
      <c r="FLW33" s="153"/>
      <c r="FLX33" s="153"/>
      <c r="FLY33" s="153"/>
      <c r="FLZ33" s="153"/>
      <c r="FMA33" s="153"/>
      <c r="FMB33" s="153"/>
      <c r="FMC33" s="153"/>
      <c r="FMD33" s="153"/>
      <c r="FME33" s="153"/>
      <c r="FMF33" s="153"/>
      <c r="FMG33" s="153"/>
      <c r="FMH33" s="153"/>
      <c r="FMI33" s="153"/>
      <c r="FMJ33" s="153"/>
      <c r="FMK33" s="153"/>
      <c r="FML33" s="153"/>
      <c r="FMM33" s="153"/>
      <c r="FMN33" s="153"/>
      <c r="FMO33" s="153"/>
      <c r="FMP33" s="153"/>
      <c r="FMQ33" s="153"/>
      <c r="FMR33" s="153"/>
      <c r="FMS33" s="153"/>
      <c r="FMT33" s="153"/>
      <c r="FMU33" s="153"/>
      <c r="FMV33" s="153"/>
      <c r="FMW33" s="153"/>
      <c r="FMX33" s="153"/>
      <c r="FMY33" s="153"/>
      <c r="FMZ33" s="153"/>
      <c r="FNA33" s="153"/>
      <c r="FNB33" s="153"/>
      <c r="FNC33" s="153"/>
      <c r="FND33" s="153"/>
      <c r="FNE33" s="153"/>
      <c r="FNF33" s="153"/>
      <c r="FNG33" s="153"/>
      <c r="FNH33" s="153"/>
      <c r="FNI33" s="153"/>
      <c r="FNJ33" s="153"/>
      <c r="FNK33" s="153"/>
      <c r="FNL33" s="153"/>
      <c r="FNM33" s="153"/>
      <c r="FNN33" s="153"/>
      <c r="FNO33" s="153"/>
      <c r="FNP33" s="153"/>
      <c r="FNQ33" s="153"/>
      <c r="FNR33" s="153"/>
      <c r="FNS33" s="153"/>
      <c r="FNT33" s="153"/>
      <c r="FNU33" s="153"/>
      <c r="FNV33" s="153"/>
      <c r="FNW33" s="153"/>
      <c r="FNX33" s="153"/>
      <c r="FNY33" s="153"/>
      <c r="FNZ33" s="153"/>
      <c r="FOA33" s="153"/>
      <c r="FOB33" s="153"/>
      <c r="FOC33" s="153"/>
      <c r="FOD33" s="153"/>
      <c r="FOE33" s="153"/>
      <c r="FOF33" s="153"/>
      <c r="FOG33" s="153"/>
      <c r="FOH33" s="153"/>
      <c r="FOI33" s="153"/>
      <c r="FOJ33" s="153"/>
      <c r="FOK33" s="153"/>
      <c r="FOL33" s="153"/>
      <c r="FOM33" s="153"/>
      <c r="FON33" s="153"/>
      <c r="FOO33" s="153"/>
      <c r="FOP33" s="153"/>
      <c r="FOQ33" s="153"/>
      <c r="FOR33" s="153"/>
      <c r="FOS33" s="153"/>
      <c r="FOT33" s="153"/>
      <c r="FOU33" s="153"/>
      <c r="FOV33" s="153"/>
      <c r="FOW33" s="153"/>
      <c r="FOX33" s="153"/>
      <c r="FOY33" s="153"/>
      <c r="FOZ33" s="153"/>
      <c r="FPA33" s="153"/>
      <c r="FPB33" s="153"/>
      <c r="FPC33" s="153"/>
      <c r="FPD33" s="153"/>
      <c r="FPE33" s="153"/>
      <c r="FPF33" s="153"/>
      <c r="FPG33" s="153"/>
      <c r="FPH33" s="153"/>
      <c r="FPI33" s="153"/>
      <c r="FPJ33" s="153"/>
      <c r="FPK33" s="153"/>
      <c r="FPL33" s="153"/>
      <c r="FPM33" s="153"/>
      <c r="FPN33" s="153"/>
      <c r="FPO33" s="153"/>
      <c r="FPP33" s="153"/>
      <c r="FPQ33" s="153"/>
      <c r="FPR33" s="153"/>
      <c r="FPS33" s="153"/>
      <c r="FPT33" s="153"/>
      <c r="FPU33" s="153"/>
      <c r="FPV33" s="153"/>
      <c r="FPW33" s="153"/>
      <c r="FPX33" s="153"/>
      <c r="FPY33" s="153"/>
      <c r="FPZ33" s="153"/>
      <c r="FQA33" s="153"/>
      <c r="FQB33" s="153"/>
      <c r="FQC33" s="153"/>
      <c r="FQD33" s="153"/>
      <c r="FQE33" s="153"/>
      <c r="FQF33" s="153"/>
      <c r="FQG33" s="153"/>
      <c r="FQH33" s="153"/>
      <c r="FQI33" s="153"/>
      <c r="FQJ33" s="153"/>
      <c r="FQK33" s="153"/>
      <c r="FQL33" s="153"/>
      <c r="FQM33" s="153"/>
      <c r="FQN33" s="153"/>
      <c r="FQO33" s="153"/>
      <c r="FQP33" s="153"/>
      <c r="FQQ33" s="153"/>
      <c r="FQR33" s="153"/>
      <c r="FQS33" s="153"/>
      <c r="FQT33" s="153"/>
      <c r="FQU33" s="153"/>
      <c r="FQV33" s="153"/>
      <c r="FQW33" s="153"/>
      <c r="FQX33" s="153"/>
      <c r="FQY33" s="153"/>
      <c r="FQZ33" s="153"/>
      <c r="FRA33" s="153"/>
      <c r="FRB33" s="153"/>
      <c r="FRC33" s="153"/>
      <c r="FRD33" s="153"/>
      <c r="FRE33" s="153"/>
      <c r="FRF33" s="153"/>
      <c r="FRG33" s="153"/>
      <c r="FRH33" s="153"/>
      <c r="FRI33" s="153"/>
      <c r="FRJ33" s="153"/>
      <c r="FRK33" s="153"/>
      <c r="FRL33" s="153"/>
      <c r="FRM33" s="153"/>
      <c r="FRN33" s="153"/>
      <c r="FRO33" s="153"/>
      <c r="FRP33" s="153"/>
      <c r="FRQ33" s="153"/>
      <c r="FRR33" s="153"/>
      <c r="FRS33" s="153"/>
      <c r="FRT33" s="153"/>
      <c r="FRU33" s="153"/>
      <c r="FRV33" s="153"/>
      <c r="FRW33" s="153"/>
      <c r="FRX33" s="153"/>
      <c r="FRY33" s="153"/>
      <c r="FRZ33" s="153"/>
      <c r="FSA33" s="153"/>
      <c r="FSB33" s="153"/>
      <c r="FSC33" s="153"/>
      <c r="FSD33" s="153"/>
      <c r="FSE33" s="153"/>
      <c r="FSF33" s="153"/>
      <c r="FSG33" s="153"/>
      <c r="FSH33" s="153"/>
      <c r="FSI33" s="153"/>
      <c r="FSJ33" s="153"/>
      <c r="FSK33" s="153"/>
      <c r="FSL33" s="153"/>
      <c r="FSM33" s="153"/>
      <c r="FSN33" s="153"/>
      <c r="FSO33" s="153"/>
      <c r="FSP33" s="153"/>
      <c r="FSQ33" s="153"/>
      <c r="FSR33" s="153"/>
      <c r="FSS33" s="153"/>
      <c r="FST33" s="153"/>
      <c r="FSU33" s="153"/>
      <c r="FSV33" s="153"/>
      <c r="FSW33" s="153"/>
      <c r="FSX33" s="153"/>
      <c r="FSY33" s="153"/>
      <c r="FSZ33" s="153"/>
      <c r="FTA33" s="153"/>
      <c r="FTB33" s="153"/>
      <c r="FTC33" s="153"/>
      <c r="FTD33" s="153"/>
      <c r="FTE33" s="153"/>
      <c r="FTF33" s="153"/>
      <c r="FTG33" s="153"/>
      <c r="FTH33" s="153"/>
      <c r="FTI33" s="153"/>
      <c r="FTJ33" s="153"/>
      <c r="FTK33" s="153"/>
      <c r="FTL33" s="153"/>
      <c r="FTM33" s="153"/>
      <c r="FTN33" s="153"/>
      <c r="FTO33" s="153"/>
      <c r="FTP33" s="153"/>
      <c r="FTQ33" s="153"/>
      <c r="FTR33" s="153"/>
      <c r="FTS33" s="153"/>
      <c r="FTT33" s="153"/>
      <c r="FTU33" s="153"/>
      <c r="FTV33" s="153"/>
      <c r="FTW33" s="153"/>
      <c r="FTX33" s="153"/>
      <c r="FTY33" s="153"/>
      <c r="FTZ33" s="153"/>
      <c r="FUA33" s="153"/>
      <c r="FUB33" s="153"/>
      <c r="FUC33" s="153"/>
      <c r="FUD33" s="153"/>
      <c r="FUE33" s="153"/>
      <c r="FUF33" s="153"/>
      <c r="FUG33" s="153"/>
      <c r="FUH33" s="153"/>
      <c r="FUI33" s="153"/>
      <c r="FUJ33" s="153"/>
      <c r="FUK33" s="153"/>
      <c r="FUL33" s="153"/>
      <c r="FUM33" s="153"/>
      <c r="FUN33" s="153"/>
      <c r="FUO33" s="153"/>
      <c r="FUP33" s="153"/>
      <c r="FUQ33" s="153"/>
      <c r="FUR33" s="153"/>
      <c r="FUS33" s="153"/>
      <c r="FUT33" s="153"/>
      <c r="FUU33" s="153"/>
      <c r="FUV33" s="153"/>
      <c r="FUW33" s="153"/>
      <c r="FUX33" s="153"/>
      <c r="FUY33" s="153"/>
      <c r="FUZ33" s="153"/>
      <c r="FVA33" s="153"/>
      <c r="FVB33" s="153"/>
      <c r="FVC33" s="153"/>
      <c r="FVD33" s="153"/>
      <c r="FVE33" s="153"/>
      <c r="FVF33" s="153"/>
      <c r="FVG33" s="153"/>
      <c r="FVH33" s="153"/>
      <c r="FVI33" s="153"/>
      <c r="FVJ33" s="153"/>
      <c r="FVK33" s="153"/>
      <c r="FVL33" s="153"/>
      <c r="FVM33" s="153"/>
      <c r="FVN33" s="153"/>
      <c r="FVO33" s="153"/>
      <c r="FVP33" s="153"/>
      <c r="FVQ33" s="153"/>
      <c r="FVR33" s="153"/>
      <c r="FVS33" s="153"/>
      <c r="FVT33" s="153"/>
      <c r="FVU33" s="153"/>
      <c r="FVV33" s="153"/>
      <c r="FVW33" s="153"/>
      <c r="FVX33" s="153"/>
      <c r="FVY33" s="153"/>
      <c r="FVZ33" s="153"/>
      <c r="FWA33" s="153"/>
      <c r="FWB33" s="153"/>
      <c r="FWC33" s="153"/>
      <c r="FWD33" s="153"/>
      <c r="FWE33" s="153"/>
      <c r="FWF33" s="153"/>
      <c r="FWG33" s="153"/>
      <c r="FWH33" s="153"/>
      <c r="FWI33" s="153"/>
      <c r="FWJ33" s="153"/>
      <c r="FWK33" s="153"/>
      <c r="FWL33" s="153"/>
      <c r="FWM33" s="153"/>
      <c r="FWN33" s="153"/>
      <c r="FWO33" s="153"/>
      <c r="FWP33" s="153"/>
      <c r="FWQ33" s="153"/>
      <c r="FWR33" s="153"/>
      <c r="FWS33" s="153"/>
      <c r="FWT33" s="153"/>
      <c r="FWU33" s="153"/>
      <c r="FWV33" s="153"/>
      <c r="FWW33" s="153"/>
      <c r="FWX33" s="153"/>
      <c r="FWY33" s="153"/>
      <c r="FWZ33" s="153"/>
      <c r="FXA33" s="153"/>
      <c r="FXB33" s="153"/>
      <c r="FXC33" s="153"/>
      <c r="FXD33" s="153"/>
      <c r="FXE33" s="153"/>
      <c r="FXF33" s="153"/>
      <c r="FXG33" s="153"/>
      <c r="FXH33" s="153"/>
      <c r="FXI33" s="153"/>
      <c r="FXJ33" s="153"/>
      <c r="FXK33" s="153"/>
      <c r="FXL33" s="153"/>
      <c r="FXM33" s="153"/>
      <c r="FXN33" s="153"/>
      <c r="FXO33" s="153"/>
      <c r="FXP33" s="153"/>
      <c r="FXQ33" s="153"/>
      <c r="FXR33" s="153"/>
      <c r="FXS33" s="153"/>
      <c r="FXT33" s="153"/>
      <c r="FXU33" s="153"/>
      <c r="FXV33" s="153"/>
      <c r="FXW33" s="153"/>
      <c r="FXX33" s="153"/>
      <c r="FXY33" s="153"/>
      <c r="FXZ33" s="153"/>
      <c r="FYA33" s="153"/>
      <c r="FYB33" s="153"/>
      <c r="FYC33" s="153"/>
      <c r="FYD33" s="153"/>
      <c r="FYE33" s="153"/>
      <c r="FYF33" s="153"/>
      <c r="FYG33" s="153"/>
      <c r="FYH33" s="153"/>
      <c r="FYI33" s="153"/>
      <c r="FYJ33" s="153"/>
      <c r="FYK33" s="153"/>
      <c r="FYL33" s="153"/>
      <c r="FYM33" s="153"/>
      <c r="FYN33" s="153"/>
      <c r="FYO33" s="153"/>
      <c r="FYP33" s="153"/>
      <c r="FYQ33" s="153"/>
      <c r="FYR33" s="153"/>
      <c r="FYS33" s="153"/>
      <c r="FYT33" s="153"/>
      <c r="FYU33" s="153"/>
      <c r="FYV33" s="153"/>
      <c r="FYW33" s="153"/>
      <c r="FYX33" s="153"/>
      <c r="FYY33" s="153"/>
      <c r="FYZ33" s="153"/>
      <c r="FZA33" s="153"/>
      <c r="FZB33" s="153"/>
      <c r="FZC33" s="153"/>
      <c r="FZD33" s="153"/>
      <c r="FZE33" s="153"/>
      <c r="FZF33" s="153"/>
      <c r="FZG33" s="153"/>
      <c r="FZH33" s="153"/>
      <c r="FZI33" s="153"/>
      <c r="FZJ33" s="153"/>
      <c r="FZK33" s="153"/>
      <c r="FZL33" s="153"/>
      <c r="FZM33" s="153"/>
      <c r="FZN33" s="153"/>
      <c r="FZO33" s="153"/>
      <c r="FZP33" s="153"/>
      <c r="FZQ33" s="153"/>
      <c r="FZR33" s="153"/>
      <c r="FZS33" s="153"/>
      <c r="FZT33" s="153"/>
      <c r="FZU33" s="153"/>
      <c r="FZV33" s="153"/>
      <c r="FZW33" s="153"/>
      <c r="FZX33" s="153"/>
      <c r="FZY33" s="153"/>
      <c r="FZZ33" s="153"/>
      <c r="GAA33" s="153"/>
      <c r="GAB33" s="153"/>
      <c r="GAC33" s="153"/>
      <c r="GAD33" s="153"/>
      <c r="GAE33" s="153"/>
      <c r="GAF33" s="153"/>
      <c r="GAG33" s="153"/>
      <c r="GAH33" s="153"/>
      <c r="GAI33" s="153"/>
      <c r="GAJ33" s="153"/>
      <c r="GAK33" s="153"/>
      <c r="GAL33" s="153"/>
      <c r="GAM33" s="153"/>
      <c r="GAN33" s="153"/>
      <c r="GAO33" s="153"/>
      <c r="GAP33" s="153"/>
      <c r="GAQ33" s="153"/>
      <c r="GAR33" s="153"/>
      <c r="GAS33" s="153"/>
      <c r="GAT33" s="153"/>
      <c r="GAU33" s="153"/>
      <c r="GAV33" s="153"/>
      <c r="GAW33" s="153"/>
      <c r="GAX33" s="153"/>
      <c r="GAY33" s="153"/>
      <c r="GAZ33" s="153"/>
      <c r="GBA33" s="153"/>
      <c r="GBB33" s="153"/>
      <c r="GBC33" s="153"/>
      <c r="GBD33" s="153"/>
      <c r="GBE33" s="153"/>
      <c r="GBF33" s="153"/>
      <c r="GBG33" s="153"/>
      <c r="GBH33" s="153"/>
      <c r="GBI33" s="153"/>
      <c r="GBJ33" s="153"/>
      <c r="GBK33" s="153"/>
      <c r="GBL33" s="153"/>
      <c r="GBM33" s="153"/>
      <c r="GBN33" s="153"/>
      <c r="GBO33" s="153"/>
      <c r="GBP33" s="153"/>
      <c r="GBQ33" s="153"/>
      <c r="GBR33" s="153"/>
      <c r="GBS33" s="153"/>
      <c r="GBT33" s="153"/>
      <c r="GBU33" s="153"/>
      <c r="GBV33" s="153"/>
      <c r="GBW33" s="153"/>
      <c r="GBX33" s="153"/>
      <c r="GBY33" s="153"/>
      <c r="GBZ33" s="153"/>
      <c r="GCA33" s="153"/>
      <c r="GCB33" s="153"/>
      <c r="GCC33" s="153"/>
      <c r="GCD33" s="153"/>
      <c r="GCE33" s="153"/>
      <c r="GCF33" s="153"/>
      <c r="GCG33" s="153"/>
      <c r="GCH33" s="153"/>
      <c r="GCI33" s="153"/>
      <c r="GCJ33" s="153"/>
      <c r="GCK33" s="153"/>
      <c r="GCL33" s="153"/>
      <c r="GCM33" s="153"/>
      <c r="GCN33" s="153"/>
      <c r="GCO33" s="153"/>
      <c r="GCP33" s="153"/>
      <c r="GCQ33" s="153"/>
      <c r="GCR33" s="153"/>
      <c r="GCS33" s="153"/>
      <c r="GCT33" s="153"/>
      <c r="GCU33" s="153"/>
      <c r="GCV33" s="153"/>
      <c r="GCW33" s="153"/>
      <c r="GCX33" s="153"/>
      <c r="GCY33" s="153"/>
      <c r="GCZ33" s="153"/>
      <c r="GDA33" s="153"/>
      <c r="GDB33" s="153"/>
      <c r="GDC33" s="153"/>
      <c r="GDD33" s="153"/>
      <c r="GDE33" s="153"/>
      <c r="GDF33" s="153"/>
      <c r="GDG33" s="153"/>
      <c r="GDH33" s="153"/>
      <c r="GDI33" s="153"/>
      <c r="GDJ33" s="153"/>
      <c r="GDK33" s="153"/>
      <c r="GDL33" s="153"/>
      <c r="GDM33" s="153"/>
      <c r="GDN33" s="153"/>
      <c r="GDO33" s="153"/>
      <c r="GDP33" s="153"/>
      <c r="GDQ33" s="153"/>
      <c r="GDR33" s="153"/>
      <c r="GDS33" s="153"/>
      <c r="GDT33" s="153"/>
      <c r="GDU33" s="153"/>
      <c r="GDV33" s="153"/>
      <c r="GDW33" s="153"/>
      <c r="GDX33" s="153"/>
      <c r="GDY33" s="153"/>
      <c r="GDZ33" s="153"/>
      <c r="GEA33" s="153"/>
      <c r="GEB33" s="153"/>
      <c r="GEC33" s="153"/>
      <c r="GED33" s="153"/>
      <c r="GEE33" s="153"/>
      <c r="GEF33" s="153"/>
      <c r="GEG33" s="153"/>
      <c r="GEH33" s="153"/>
      <c r="GEI33" s="153"/>
      <c r="GEJ33" s="153"/>
      <c r="GEK33" s="153"/>
      <c r="GEL33" s="153"/>
      <c r="GEM33" s="153"/>
      <c r="GEN33" s="153"/>
      <c r="GEO33" s="153"/>
      <c r="GEP33" s="153"/>
      <c r="GEQ33" s="153"/>
      <c r="GER33" s="153"/>
      <c r="GES33" s="153"/>
      <c r="GET33" s="153"/>
      <c r="GEU33" s="153"/>
      <c r="GEV33" s="153"/>
      <c r="GEW33" s="153"/>
      <c r="GEX33" s="153"/>
      <c r="GEY33" s="153"/>
      <c r="GEZ33" s="153"/>
      <c r="GFA33" s="153"/>
      <c r="GFB33" s="153"/>
      <c r="GFC33" s="153"/>
      <c r="GFD33" s="153"/>
      <c r="GFE33" s="153"/>
      <c r="GFF33" s="153"/>
      <c r="GFG33" s="153"/>
      <c r="GFH33" s="153"/>
      <c r="GFI33" s="153"/>
      <c r="GFJ33" s="153"/>
      <c r="GFK33" s="153"/>
      <c r="GFL33" s="153"/>
      <c r="GFM33" s="153"/>
      <c r="GFN33" s="153"/>
      <c r="GFO33" s="153"/>
      <c r="GFP33" s="153"/>
      <c r="GFQ33" s="153"/>
      <c r="GFR33" s="153"/>
      <c r="GFS33" s="153"/>
      <c r="GFT33" s="153"/>
      <c r="GFU33" s="153"/>
      <c r="GFV33" s="153"/>
      <c r="GFW33" s="153"/>
      <c r="GFX33" s="153"/>
      <c r="GFY33" s="153"/>
      <c r="GFZ33" s="153"/>
      <c r="GGA33" s="153"/>
      <c r="GGB33" s="153"/>
      <c r="GGC33" s="153"/>
      <c r="GGD33" s="153"/>
      <c r="GGE33" s="153"/>
      <c r="GGF33" s="153"/>
      <c r="GGG33" s="153"/>
      <c r="GGH33" s="153"/>
      <c r="GGI33" s="153"/>
      <c r="GGJ33" s="153"/>
      <c r="GGK33" s="153"/>
      <c r="GGL33" s="153"/>
      <c r="GGM33" s="153"/>
      <c r="GGN33" s="153"/>
      <c r="GGO33" s="153"/>
      <c r="GGP33" s="153"/>
      <c r="GGQ33" s="153"/>
      <c r="GGR33" s="153"/>
      <c r="GGS33" s="153"/>
      <c r="GGT33" s="153"/>
      <c r="GGU33" s="153"/>
      <c r="GGV33" s="153"/>
      <c r="GGW33" s="153"/>
      <c r="GGX33" s="153"/>
      <c r="GGY33" s="153"/>
      <c r="GGZ33" s="153"/>
      <c r="GHA33" s="153"/>
      <c r="GHB33" s="153"/>
      <c r="GHC33" s="153"/>
      <c r="GHD33" s="153"/>
      <c r="GHE33" s="153"/>
      <c r="GHF33" s="153"/>
      <c r="GHG33" s="153"/>
      <c r="GHH33" s="153"/>
      <c r="GHI33" s="153"/>
      <c r="GHJ33" s="153"/>
      <c r="GHK33" s="153"/>
      <c r="GHL33" s="153"/>
      <c r="GHM33" s="153"/>
      <c r="GHN33" s="153"/>
      <c r="GHO33" s="153"/>
      <c r="GHP33" s="153"/>
      <c r="GHQ33" s="153"/>
      <c r="GHR33" s="153"/>
      <c r="GHS33" s="153"/>
      <c r="GHT33" s="153"/>
      <c r="GHU33" s="153"/>
      <c r="GHV33" s="153"/>
      <c r="GHW33" s="153"/>
      <c r="GHX33" s="153"/>
      <c r="GHY33" s="153"/>
      <c r="GHZ33" s="153"/>
      <c r="GIA33" s="153"/>
      <c r="GIB33" s="153"/>
      <c r="GIC33" s="153"/>
      <c r="GID33" s="153"/>
      <c r="GIE33" s="153"/>
      <c r="GIF33" s="153"/>
      <c r="GIG33" s="153"/>
      <c r="GIH33" s="153"/>
      <c r="GII33" s="153"/>
      <c r="GIJ33" s="153"/>
      <c r="GIK33" s="153"/>
      <c r="GIL33" s="153"/>
      <c r="GIM33" s="153"/>
      <c r="GIN33" s="153"/>
      <c r="GIO33" s="153"/>
      <c r="GIP33" s="153"/>
      <c r="GIQ33" s="153"/>
      <c r="GIR33" s="153"/>
      <c r="GIS33" s="153"/>
      <c r="GIT33" s="153"/>
      <c r="GIU33" s="153"/>
      <c r="GIV33" s="153"/>
      <c r="GIW33" s="153"/>
      <c r="GIX33" s="153"/>
      <c r="GIY33" s="153"/>
      <c r="GIZ33" s="153"/>
      <c r="GJA33" s="153"/>
      <c r="GJB33" s="153"/>
      <c r="GJC33" s="153"/>
      <c r="GJD33" s="153"/>
      <c r="GJE33" s="153"/>
      <c r="GJF33" s="153"/>
      <c r="GJG33" s="153"/>
      <c r="GJH33" s="153"/>
      <c r="GJI33" s="153"/>
      <c r="GJJ33" s="153"/>
      <c r="GJK33" s="153"/>
      <c r="GJL33" s="153"/>
      <c r="GJM33" s="153"/>
      <c r="GJN33" s="153"/>
      <c r="GJO33" s="153"/>
      <c r="GJP33" s="153"/>
      <c r="GJQ33" s="153"/>
      <c r="GJR33" s="153"/>
      <c r="GJS33" s="153"/>
      <c r="GJT33" s="153"/>
      <c r="GJU33" s="153"/>
      <c r="GJV33" s="153"/>
      <c r="GJW33" s="153"/>
      <c r="GJX33" s="153"/>
      <c r="GJY33" s="153"/>
      <c r="GJZ33" s="153"/>
      <c r="GKA33" s="153"/>
      <c r="GKB33" s="153"/>
      <c r="GKC33" s="153"/>
      <c r="GKD33" s="153"/>
      <c r="GKE33" s="153"/>
      <c r="GKF33" s="153"/>
      <c r="GKG33" s="153"/>
      <c r="GKH33" s="153"/>
      <c r="GKI33" s="153"/>
      <c r="GKJ33" s="153"/>
      <c r="GKK33" s="153"/>
      <c r="GKL33" s="153"/>
      <c r="GKM33" s="153"/>
      <c r="GKN33" s="153"/>
      <c r="GKO33" s="153"/>
      <c r="GKP33" s="153"/>
      <c r="GKQ33" s="153"/>
      <c r="GKR33" s="153"/>
      <c r="GKS33" s="153"/>
      <c r="GKT33" s="153"/>
      <c r="GKU33" s="153"/>
      <c r="GKV33" s="153"/>
      <c r="GKW33" s="153"/>
      <c r="GKX33" s="153"/>
      <c r="GKY33" s="153"/>
      <c r="GKZ33" s="153"/>
      <c r="GLA33" s="153"/>
      <c r="GLB33" s="153"/>
      <c r="GLC33" s="153"/>
      <c r="GLD33" s="153"/>
      <c r="GLE33" s="153"/>
      <c r="GLF33" s="153"/>
      <c r="GLG33" s="153"/>
      <c r="GLH33" s="153"/>
      <c r="GLI33" s="153"/>
      <c r="GLJ33" s="153"/>
      <c r="GLK33" s="153"/>
      <c r="GLL33" s="153"/>
      <c r="GLM33" s="153"/>
      <c r="GLN33" s="153"/>
      <c r="GLO33" s="153"/>
      <c r="GLP33" s="153"/>
      <c r="GLQ33" s="153"/>
      <c r="GLR33" s="153"/>
      <c r="GLS33" s="153"/>
      <c r="GLT33" s="153"/>
      <c r="GLU33" s="153"/>
      <c r="GLV33" s="153"/>
      <c r="GLW33" s="153"/>
      <c r="GLX33" s="153"/>
      <c r="GLY33" s="153"/>
      <c r="GLZ33" s="153"/>
      <c r="GMA33" s="153"/>
      <c r="GMB33" s="153"/>
      <c r="GMC33" s="153"/>
      <c r="GMD33" s="153"/>
      <c r="GME33" s="153"/>
      <c r="GMF33" s="153"/>
      <c r="GMG33" s="153"/>
      <c r="GMH33" s="153"/>
      <c r="GMI33" s="153"/>
      <c r="GMJ33" s="153"/>
      <c r="GMK33" s="153"/>
      <c r="GML33" s="153"/>
      <c r="GMM33" s="153"/>
      <c r="GMN33" s="153"/>
      <c r="GMO33" s="153"/>
      <c r="GMP33" s="153"/>
      <c r="GMQ33" s="153"/>
      <c r="GMR33" s="153"/>
      <c r="GMS33" s="153"/>
      <c r="GMT33" s="153"/>
      <c r="GMU33" s="153"/>
      <c r="GMV33" s="153"/>
      <c r="GMW33" s="153"/>
      <c r="GMX33" s="153"/>
      <c r="GMY33" s="153"/>
      <c r="GMZ33" s="153"/>
      <c r="GNA33" s="153"/>
      <c r="GNB33" s="153"/>
      <c r="GNC33" s="153"/>
      <c r="GND33" s="153"/>
      <c r="GNE33" s="153"/>
      <c r="GNF33" s="153"/>
      <c r="GNG33" s="153"/>
      <c r="GNH33" s="153"/>
      <c r="GNI33" s="153"/>
      <c r="GNJ33" s="153"/>
      <c r="GNK33" s="153"/>
      <c r="GNL33" s="153"/>
      <c r="GNM33" s="153"/>
      <c r="GNN33" s="153"/>
      <c r="GNO33" s="153"/>
      <c r="GNP33" s="153"/>
      <c r="GNQ33" s="153"/>
      <c r="GNR33" s="153"/>
      <c r="GNS33" s="153"/>
      <c r="GNT33" s="153"/>
      <c r="GNU33" s="153"/>
      <c r="GNV33" s="153"/>
      <c r="GNW33" s="153"/>
      <c r="GNX33" s="153"/>
      <c r="GNY33" s="153"/>
      <c r="GNZ33" s="153"/>
      <c r="GOA33" s="153"/>
      <c r="GOB33" s="153"/>
      <c r="GOC33" s="153"/>
      <c r="GOD33" s="153"/>
      <c r="GOE33" s="153"/>
      <c r="GOF33" s="153"/>
      <c r="GOG33" s="153"/>
      <c r="GOH33" s="153"/>
      <c r="GOI33" s="153"/>
      <c r="GOJ33" s="153"/>
      <c r="GOK33" s="153"/>
      <c r="GOL33" s="153"/>
      <c r="GOM33" s="153"/>
      <c r="GON33" s="153"/>
      <c r="GOO33" s="153"/>
      <c r="GOP33" s="153"/>
      <c r="GOQ33" s="153"/>
      <c r="GOR33" s="153"/>
      <c r="GOS33" s="153"/>
      <c r="GOT33" s="153"/>
      <c r="GOU33" s="153"/>
      <c r="GOV33" s="153"/>
      <c r="GOW33" s="153"/>
      <c r="GOX33" s="153"/>
      <c r="GOY33" s="153"/>
      <c r="GOZ33" s="153"/>
      <c r="GPA33" s="153"/>
      <c r="GPB33" s="153"/>
      <c r="GPC33" s="153"/>
      <c r="GPD33" s="153"/>
      <c r="GPE33" s="153"/>
      <c r="GPF33" s="153"/>
      <c r="GPG33" s="153"/>
      <c r="GPH33" s="153"/>
      <c r="GPI33" s="153"/>
      <c r="GPJ33" s="153"/>
      <c r="GPK33" s="153"/>
      <c r="GPL33" s="153"/>
      <c r="GPM33" s="153"/>
      <c r="GPN33" s="153"/>
      <c r="GPO33" s="153"/>
      <c r="GPP33" s="153"/>
      <c r="GPQ33" s="153"/>
      <c r="GPR33" s="153"/>
      <c r="GPS33" s="153"/>
      <c r="GPT33" s="153"/>
      <c r="GPU33" s="153"/>
      <c r="GPV33" s="153"/>
      <c r="GPW33" s="153"/>
      <c r="GPX33" s="153"/>
      <c r="GPY33" s="153"/>
      <c r="GPZ33" s="153"/>
      <c r="GQA33" s="153"/>
      <c r="GQB33" s="153"/>
      <c r="GQC33" s="153"/>
      <c r="GQD33" s="153"/>
      <c r="GQE33" s="153"/>
      <c r="GQF33" s="153"/>
      <c r="GQG33" s="153"/>
      <c r="GQH33" s="153"/>
      <c r="GQI33" s="153"/>
      <c r="GQJ33" s="153"/>
      <c r="GQK33" s="153"/>
      <c r="GQL33" s="153"/>
      <c r="GQM33" s="153"/>
      <c r="GQN33" s="153"/>
      <c r="GQO33" s="153"/>
      <c r="GQP33" s="153"/>
      <c r="GQQ33" s="153"/>
      <c r="GQR33" s="153"/>
      <c r="GQS33" s="153"/>
      <c r="GQT33" s="153"/>
      <c r="GQU33" s="153"/>
      <c r="GQV33" s="153"/>
      <c r="GQW33" s="153"/>
      <c r="GQX33" s="153"/>
      <c r="GQY33" s="153"/>
      <c r="GQZ33" s="153"/>
      <c r="GRA33" s="153"/>
      <c r="GRB33" s="153"/>
      <c r="GRC33" s="153"/>
      <c r="GRD33" s="153"/>
      <c r="GRE33" s="153"/>
      <c r="GRF33" s="153"/>
      <c r="GRG33" s="153"/>
      <c r="GRH33" s="153"/>
      <c r="GRI33" s="153"/>
      <c r="GRJ33" s="153"/>
      <c r="GRK33" s="153"/>
      <c r="GRL33" s="153"/>
      <c r="GRM33" s="153"/>
      <c r="GRN33" s="153"/>
      <c r="GRO33" s="153"/>
      <c r="GRP33" s="153"/>
      <c r="GRQ33" s="153"/>
      <c r="GRR33" s="153"/>
      <c r="GRS33" s="153"/>
      <c r="GRT33" s="153"/>
      <c r="GRU33" s="153"/>
      <c r="GRV33" s="153"/>
      <c r="GRW33" s="153"/>
      <c r="GRX33" s="153"/>
      <c r="GRY33" s="153"/>
      <c r="GRZ33" s="153"/>
      <c r="GSA33" s="153"/>
      <c r="GSB33" s="153"/>
      <c r="GSC33" s="153"/>
      <c r="GSD33" s="153"/>
      <c r="GSE33" s="153"/>
      <c r="GSF33" s="153"/>
      <c r="GSG33" s="153"/>
      <c r="GSH33" s="153"/>
      <c r="GSI33" s="153"/>
      <c r="GSJ33" s="153"/>
      <c r="GSK33" s="153"/>
      <c r="GSL33" s="153"/>
      <c r="GSM33" s="153"/>
      <c r="GSN33" s="153"/>
      <c r="GSO33" s="153"/>
      <c r="GSP33" s="153"/>
      <c r="GSQ33" s="153"/>
      <c r="GSR33" s="153"/>
      <c r="GSS33" s="153"/>
      <c r="GST33" s="153"/>
      <c r="GSU33" s="153"/>
      <c r="GSV33" s="153"/>
      <c r="GSW33" s="153"/>
      <c r="GSX33" s="153"/>
      <c r="GSY33" s="153"/>
      <c r="GSZ33" s="153"/>
      <c r="GTA33" s="153"/>
      <c r="GTB33" s="153"/>
      <c r="GTC33" s="153"/>
      <c r="GTD33" s="153"/>
      <c r="GTE33" s="153"/>
      <c r="GTF33" s="153"/>
      <c r="GTG33" s="153"/>
      <c r="GTH33" s="153"/>
      <c r="GTI33" s="153"/>
      <c r="GTJ33" s="153"/>
      <c r="GTK33" s="153"/>
      <c r="GTL33" s="153"/>
      <c r="GTM33" s="153"/>
      <c r="GTN33" s="153"/>
      <c r="GTO33" s="153"/>
      <c r="GTP33" s="153"/>
      <c r="GTQ33" s="153"/>
      <c r="GTR33" s="153"/>
      <c r="GTS33" s="153"/>
      <c r="GTT33" s="153"/>
      <c r="GTU33" s="153"/>
      <c r="GTV33" s="153"/>
      <c r="GTW33" s="153"/>
      <c r="GTX33" s="153"/>
      <c r="GTY33" s="153"/>
      <c r="GTZ33" s="153"/>
      <c r="GUA33" s="153"/>
      <c r="GUB33" s="153"/>
      <c r="GUC33" s="153"/>
      <c r="GUD33" s="153"/>
      <c r="GUE33" s="153"/>
      <c r="GUF33" s="153"/>
      <c r="GUG33" s="153"/>
      <c r="GUH33" s="153"/>
      <c r="GUI33" s="153"/>
      <c r="GUJ33" s="153"/>
      <c r="GUK33" s="153"/>
      <c r="GUL33" s="153"/>
      <c r="GUM33" s="153"/>
      <c r="GUN33" s="153"/>
      <c r="GUO33" s="153"/>
      <c r="GUP33" s="153"/>
      <c r="GUQ33" s="153"/>
      <c r="GUR33" s="153"/>
      <c r="GUS33" s="153"/>
      <c r="GUT33" s="153"/>
      <c r="GUU33" s="153"/>
      <c r="GUV33" s="153"/>
      <c r="GUW33" s="153"/>
      <c r="GUX33" s="153"/>
      <c r="GUY33" s="153"/>
      <c r="GUZ33" s="153"/>
      <c r="GVA33" s="153"/>
      <c r="GVB33" s="153"/>
      <c r="GVC33" s="153"/>
      <c r="GVD33" s="153"/>
      <c r="GVE33" s="153"/>
      <c r="GVF33" s="153"/>
      <c r="GVG33" s="153"/>
      <c r="GVH33" s="153"/>
      <c r="GVI33" s="153"/>
      <c r="GVJ33" s="153"/>
      <c r="GVK33" s="153"/>
      <c r="GVL33" s="153"/>
      <c r="GVM33" s="153"/>
      <c r="GVN33" s="153"/>
      <c r="GVO33" s="153"/>
      <c r="GVP33" s="153"/>
      <c r="GVQ33" s="153"/>
      <c r="GVR33" s="153"/>
      <c r="GVS33" s="153"/>
      <c r="GVT33" s="153"/>
      <c r="GVU33" s="153"/>
      <c r="GVV33" s="153"/>
      <c r="GVW33" s="153"/>
      <c r="GVX33" s="153"/>
      <c r="GVY33" s="153"/>
      <c r="GVZ33" s="153"/>
      <c r="GWA33" s="153"/>
      <c r="GWB33" s="153"/>
      <c r="GWC33" s="153"/>
      <c r="GWD33" s="153"/>
      <c r="GWE33" s="153"/>
      <c r="GWF33" s="153"/>
      <c r="GWG33" s="153"/>
      <c r="GWH33" s="153"/>
      <c r="GWI33" s="153"/>
      <c r="GWJ33" s="153"/>
      <c r="GWK33" s="153"/>
      <c r="GWL33" s="153"/>
      <c r="GWM33" s="153"/>
      <c r="GWN33" s="153"/>
      <c r="GWO33" s="153"/>
      <c r="GWP33" s="153"/>
      <c r="GWQ33" s="153"/>
      <c r="GWR33" s="153"/>
      <c r="GWS33" s="153"/>
      <c r="GWT33" s="153"/>
      <c r="GWU33" s="153"/>
      <c r="GWV33" s="153"/>
      <c r="GWW33" s="153"/>
      <c r="GWX33" s="153"/>
      <c r="GWY33" s="153"/>
      <c r="GWZ33" s="153"/>
      <c r="GXA33" s="153"/>
      <c r="GXB33" s="153"/>
      <c r="GXC33" s="153"/>
      <c r="GXD33" s="153"/>
      <c r="GXE33" s="153"/>
      <c r="GXF33" s="153"/>
      <c r="GXG33" s="153"/>
      <c r="GXH33" s="153"/>
      <c r="GXI33" s="153"/>
      <c r="GXJ33" s="153"/>
      <c r="GXK33" s="153"/>
      <c r="GXL33" s="153"/>
      <c r="GXM33" s="153"/>
      <c r="GXN33" s="153"/>
      <c r="GXO33" s="153"/>
      <c r="GXP33" s="153"/>
      <c r="GXQ33" s="153"/>
      <c r="GXR33" s="153"/>
      <c r="GXS33" s="153"/>
      <c r="GXT33" s="153"/>
      <c r="GXU33" s="153"/>
      <c r="GXV33" s="153"/>
      <c r="GXW33" s="153"/>
      <c r="GXX33" s="153"/>
      <c r="GXY33" s="153"/>
      <c r="GXZ33" s="153"/>
      <c r="GYA33" s="153"/>
      <c r="GYB33" s="153"/>
      <c r="GYC33" s="153"/>
      <c r="GYD33" s="153"/>
      <c r="GYE33" s="153"/>
      <c r="GYF33" s="153"/>
      <c r="GYG33" s="153"/>
      <c r="GYH33" s="153"/>
      <c r="GYI33" s="153"/>
      <c r="GYJ33" s="153"/>
      <c r="GYK33" s="153"/>
      <c r="GYL33" s="153"/>
      <c r="GYM33" s="153"/>
      <c r="GYN33" s="153"/>
      <c r="GYO33" s="153"/>
      <c r="GYP33" s="153"/>
      <c r="GYQ33" s="153"/>
      <c r="GYR33" s="153"/>
      <c r="GYS33" s="153"/>
      <c r="GYT33" s="153"/>
      <c r="GYU33" s="153"/>
      <c r="GYV33" s="153"/>
      <c r="GYW33" s="153"/>
      <c r="GYX33" s="153"/>
      <c r="GYY33" s="153"/>
      <c r="GYZ33" s="153"/>
      <c r="GZA33" s="153"/>
      <c r="GZB33" s="153"/>
      <c r="GZC33" s="153"/>
      <c r="GZD33" s="153"/>
      <c r="GZE33" s="153"/>
      <c r="GZF33" s="153"/>
      <c r="GZG33" s="153"/>
      <c r="GZH33" s="153"/>
      <c r="GZI33" s="153"/>
      <c r="GZJ33" s="153"/>
      <c r="GZK33" s="153"/>
      <c r="GZL33" s="153"/>
      <c r="GZM33" s="153"/>
      <c r="GZN33" s="153"/>
      <c r="GZO33" s="153"/>
      <c r="GZP33" s="153"/>
      <c r="GZQ33" s="153"/>
      <c r="GZR33" s="153"/>
      <c r="GZS33" s="153"/>
      <c r="GZT33" s="153"/>
      <c r="GZU33" s="153"/>
      <c r="GZV33" s="153"/>
      <c r="GZW33" s="153"/>
      <c r="GZX33" s="153"/>
      <c r="GZY33" s="153"/>
      <c r="GZZ33" s="153"/>
      <c r="HAA33" s="153"/>
      <c r="HAB33" s="153"/>
      <c r="HAC33" s="153"/>
      <c r="HAD33" s="153"/>
      <c r="HAE33" s="153"/>
      <c r="HAF33" s="153"/>
      <c r="HAG33" s="153"/>
      <c r="HAH33" s="153"/>
      <c r="HAI33" s="153"/>
      <c r="HAJ33" s="153"/>
      <c r="HAK33" s="153"/>
      <c r="HAL33" s="153"/>
      <c r="HAM33" s="153"/>
      <c r="HAN33" s="153"/>
      <c r="HAO33" s="153"/>
      <c r="HAP33" s="153"/>
      <c r="HAQ33" s="153"/>
      <c r="HAR33" s="153"/>
      <c r="HAS33" s="153"/>
      <c r="HAT33" s="153"/>
      <c r="HAU33" s="153"/>
      <c r="HAV33" s="153"/>
      <c r="HAW33" s="153"/>
      <c r="HAX33" s="153"/>
      <c r="HAY33" s="153"/>
      <c r="HAZ33" s="153"/>
      <c r="HBA33" s="153"/>
      <c r="HBB33" s="153"/>
      <c r="HBC33" s="153"/>
      <c r="HBD33" s="153"/>
      <c r="HBE33" s="153"/>
      <c r="HBF33" s="153"/>
      <c r="HBG33" s="153"/>
      <c r="HBH33" s="153"/>
      <c r="HBI33" s="153"/>
      <c r="HBJ33" s="153"/>
      <c r="HBK33" s="153"/>
      <c r="HBL33" s="153"/>
      <c r="HBM33" s="153"/>
      <c r="HBN33" s="153"/>
      <c r="HBO33" s="153"/>
      <c r="HBP33" s="153"/>
      <c r="HBQ33" s="153"/>
      <c r="HBR33" s="153"/>
      <c r="HBS33" s="153"/>
      <c r="HBT33" s="153"/>
      <c r="HBU33" s="153"/>
      <c r="HBV33" s="153"/>
      <c r="HBW33" s="153"/>
      <c r="HBX33" s="153"/>
      <c r="HBY33" s="153"/>
      <c r="HBZ33" s="153"/>
      <c r="HCA33" s="153"/>
      <c r="HCB33" s="153"/>
      <c r="HCC33" s="153"/>
      <c r="HCD33" s="153"/>
      <c r="HCE33" s="153"/>
      <c r="HCF33" s="153"/>
      <c r="HCG33" s="153"/>
      <c r="HCH33" s="153"/>
      <c r="HCI33" s="153"/>
      <c r="HCJ33" s="153"/>
      <c r="HCK33" s="153"/>
      <c r="HCL33" s="153"/>
      <c r="HCM33" s="153"/>
      <c r="HCN33" s="153"/>
      <c r="HCO33" s="153"/>
      <c r="HCP33" s="153"/>
      <c r="HCQ33" s="153"/>
      <c r="HCR33" s="153"/>
      <c r="HCS33" s="153"/>
      <c r="HCT33" s="153"/>
      <c r="HCU33" s="153"/>
      <c r="HCV33" s="153"/>
      <c r="HCW33" s="153"/>
      <c r="HCX33" s="153"/>
      <c r="HCY33" s="153"/>
      <c r="HCZ33" s="153"/>
      <c r="HDA33" s="153"/>
      <c r="HDB33" s="153"/>
      <c r="HDC33" s="153"/>
      <c r="HDD33" s="153"/>
      <c r="HDE33" s="153"/>
      <c r="HDF33" s="153"/>
      <c r="HDG33" s="153"/>
      <c r="HDH33" s="153"/>
      <c r="HDI33" s="153"/>
      <c r="HDJ33" s="153"/>
      <c r="HDK33" s="153"/>
      <c r="HDL33" s="153"/>
      <c r="HDM33" s="153"/>
      <c r="HDN33" s="153"/>
      <c r="HDO33" s="153"/>
      <c r="HDP33" s="153"/>
      <c r="HDQ33" s="153"/>
      <c r="HDR33" s="153"/>
      <c r="HDS33" s="153"/>
      <c r="HDT33" s="153"/>
      <c r="HDU33" s="153"/>
      <c r="HDV33" s="153"/>
      <c r="HDW33" s="153"/>
      <c r="HDX33" s="153"/>
      <c r="HDY33" s="153"/>
      <c r="HDZ33" s="153"/>
      <c r="HEA33" s="153"/>
      <c r="HEB33" s="153"/>
      <c r="HEC33" s="153"/>
      <c r="HED33" s="153"/>
      <c r="HEE33" s="153"/>
      <c r="HEF33" s="153"/>
      <c r="HEG33" s="153"/>
      <c r="HEH33" s="153"/>
      <c r="HEI33" s="153"/>
      <c r="HEJ33" s="153"/>
      <c r="HEK33" s="153"/>
      <c r="HEL33" s="153"/>
      <c r="HEM33" s="153"/>
      <c r="HEN33" s="153"/>
      <c r="HEO33" s="153"/>
      <c r="HEP33" s="153"/>
      <c r="HEQ33" s="153"/>
      <c r="HER33" s="153"/>
      <c r="HES33" s="153"/>
      <c r="HET33" s="153"/>
      <c r="HEU33" s="153"/>
      <c r="HEV33" s="153"/>
      <c r="HEW33" s="153"/>
      <c r="HEX33" s="153"/>
      <c r="HEY33" s="153"/>
      <c r="HEZ33" s="153"/>
      <c r="HFA33" s="153"/>
      <c r="HFB33" s="153"/>
      <c r="HFC33" s="153"/>
      <c r="HFD33" s="153"/>
      <c r="HFE33" s="153"/>
      <c r="HFF33" s="153"/>
      <c r="HFG33" s="153"/>
      <c r="HFH33" s="153"/>
      <c r="HFI33" s="153"/>
      <c r="HFJ33" s="153"/>
      <c r="HFK33" s="153"/>
      <c r="HFL33" s="153"/>
      <c r="HFM33" s="153"/>
      <c r="HFN33" s="153"/>
      <c r="HFO33" s="153"/>
      <c r="HFP33" s="153"/>
      <c r="HFQ33" s="153"/>
      <c r="HFR33" s="153"/>
      <c r="HFS33" s="153"/>
      <c r="HFT33" s="153"/>
      <c r="HFU33" s="153"/>
      <c r="HFV33" s="153"/>
      <c r="HFW33" s="153"/>
      <c r="HFX33" s="153"/>
      <c r="HFY33" s="153"/>
      <c r="HFZ33" s="153"/>
      <c r="HGA33" s="153"/>
      <c r="HGB33" s="153"/>
      <c r="HGC33" s="153"/>
      <c r="HGD33" s="153"/>
      <c r="HGE33" s="153"/>
      <c r="HGF33" s="153"/>
      <c r="HGG33" s="153"/>
      <c r="HGH33" s="153"/>
      <c r="HGI33" s="153"/>
      <c r="HGJ33" s="153"/>
      <c r="HGK33" s="153"/>
      <c r="HGL33" s="153"/>
      <c r="HGM33" s="153"/>
      <c r="HGN33" s="153"/>
      <c r="HGO33" s="153"/>
      <c r="HGP33" s="153"/>
      <c r="HGQ33" s="153"/>
      <c r="HGR33" s="153"/>
      <c r="HGS33" s="153"/>
      <c r="HGT33" s="153"/>
      <c r="HGU33" s="153"/>
      <c r="HGV33" s="153"/>
      <c r="HGW33" s="153"/>
      <c r="HGX33" s="153"/>
      <c r="HGY33" s="153"/>
      <c r="HGZ33" s="153"/>
      <c r="HHA33" s="153"/>
      <c r="HHB33" s="153"/>
      <c r="HHC33" s="153"/>
      <c r="HHD33" s="153"/>
      <c r="HHE33" s="153"/>
      <c r="HHF33" s="153"/>
      <c r="HHG33" s="153"/>
      <c r="HHH33" s="153"/>
      <c r="HHI33" s="153"/>
      <c r="HHJ33" s="153"/>
      <c r="HHK33" s="153"/>
      <c r="HHL33" s="153"/>
      <c r="HHM33" s="153"/>
      <c r="HHN33" s="153"/>
      <c r="HHO33" s="153"/>
      <c r="HHP33" s="153"/>
      <c r="HHQ33" s="153"/>
      <c r="HHR33" s="153"/>
      <c r="HHS33" s="153"/>
      <c r="HHT33" s="153"/>
      <c r="HHU33" s="153"/>
      <c r="HHV33" s="153"/>
      <c r="HHW33" s="153"/>
      <c r="HHX33" s="153"/>
      <c r="HHY33" s="153"/>
      <c r="HHZ33" s="153"/>
      <c r="HIA33" s="153"/>
      <c r="HIB33" s="153"/>
      <c r="HIC33" s="153"/>
      <c r="HID33" s="153"/>
      <c r="HIE33" s="153"/>
      <c r="HIF33" s="153"/>
      <c r="HIG33" s="153"/>
      <c r="HIH33" s="153"/>
      <c r="HII33" s="153"/>
      <c r="HIJ33" s="153"/>
      <c r="HIK33" s="153"/>
      <c r="HIL33" s="153"/>
      <c r="HIM33" s="153"/>
      <c r="HIN33" s="153"/>
      <c r="HIO33" s="153"/>
      <c r="HIP33" s="153"/>
      <c r="HIQ33" s="153"/>
      <c r="HIR33" s="153"/>
      <c r="HIS33" s="153"/>
      <c r="HIT33" s="153"/>
      <c r="HIU33" s="153"/>
      <c r="HIV33" s="153"/>
      <c r="HIW33" s="153"/>
      <c r="HIX33" s="153"/>
      <c r="HIY33" s="153"/>
      <c r="HIZ33" s="153"/>
      <c r="HJA33" s="153"/>
      <c r="HJB33" s="153"/>
      <c r="HJC33" s="153"/>
      <c r="HJD33" s="153"/>
      <c r="HJE33" s="153"/>
      <c r="HJF33" s="153"/>
      <c r="HJG33" s="153"/>
      <c r="HJH33" s="153"/>
      <c r="HJI33" s="153"/>
      <c r="HJJ33" s="153"/>
      <c r="HJK33" s="153"/>
      <c r="HJL33" s="153"/>
      <c r="HJM33" s="153"/>
      <c r="HJN33" s="153"/>
      <c r="HJO33" s="153"/>
      <c r="HJP33" s="153"/>
      <c r="HJQ33" s="153"/>
      <c r="HJR33" s="153"/>
      <c r="HJS33" s="153"/>
      <c r="HJT33" s="153"/>
      <c r="HJU33" s="153"/>
      <c r="HJV33" s="153"/>
      <c r="HJW33" s="153"/>
      <c r="HJX33" s="153"/>
      <c r="HJY33" s="153"/>
      <c r="HJZ33" s="153"/>
      <c r="HKA33" s="153"/>
      <c r="HKB33" s="153"/>
      <c r="HKC33" s="153"/>
      <c r="HKD33" s="153"/>
      <c r="HKE33" s="153"/>
      <c r="HKF33" s="153"/>
      <c r="HKG33" s="153"/>
      <c r="HKH33" s="153"/>
      <c r="HKI33" s="153"/>
      <c r="HKJ33" s="153"/>
      <c r="HKK33" s="153"/>
      <c r="HKL33" s="153"/>
      <c r="HKM33" s="153"/>
      <c r="HKN33" s="153"/>
      <c r="HKO33" s="153"/>
      <c r="HKP33" s="153"/>
      <c r="HKQ33" s="153"/>
      <c r="HKR33" s="153"/>
      <c r="HKS33" s="153"/>
      <c r="HKT33" s="153"/>
      <c r="HKU33" s="153"/>
      <c r="HKV33" s="153"/>
      <c r="HKW33" s="153"/>
      <c r="HKX33" s="153"/>
      <c r="HKY33" s="153"/>
      <c r="HKZ33" s="153"/>
      <c r="HLA33" s="153"/>
      <c r="HLB33" s="153"/>
      <c r="HLC33" s="153"/>
      <c r="HLD33" s="153"/>
      <c r="HLE33" s="153"/>
      <c r="HLF33" s="153"/>
      <c r="HLG33" s="153"/>
      <c r="HLH33" s="153"/>
      <c r="HLI33" s="153"/>
      <c r="HLJ33" s="153"/>
      <c r="HLK33" s="153"/>
      <c r="HLL33" s="153"/>
      <c r="HLM33" s="153"/>
      <c r="HLN33" s="153"/>
      <c r="HLO33" s="153"/>
      <c r="HLP33" s="153"/>
      <c r="HLQ33" s="153"/>
      <c r="HLR33" s="153"/>
      <c r="HLS33" s="153"/>
      <c r="HLT33" s="153"/>
      <c r="HLU33" s="153"/>
      <c r="HLV33" s="153"/>
      <c r="HLW33" s="153"/>
      <c r="HLX33" s="153"/>
      <c r="HLY33" s="153"/>
      <c r="HLZ33" s="153"/>
      <c r="HMA33" s="153"/>
      <c r="HMB33" s="153"/>
      <c r="HMC33" s="153"/>
      <c r="HMD33" s="153"/>
      <c r="HME33" s="153"/>
      <c r="HMF33" s="153"/>
      <c r="HMG33" s="153"/>
      <c r="HMH33" s="153"/>
      <c r="HMI33" s="153"/>
      <c r="HMJ33" s="153"/>
      <c r="HMK33" s="153"/>
      <c r="HML33" s="153"/>
      <c r="HMM33" s="153"/>
      <c r="HMN33" s="153"/>
      <c r="HMO33" s="153"/>
      <c r="HMP33" s="153"/>
      <c r="HMQ33" s="153"/>
      <c r="HMR33" s="153"/>
      <c r="HMS33" s="153"/>
      <c r="HMT33" s="153"/>
      <c r="HMU33" s="153"/>
      <c r="HMV33" s="153"/>
      <c r="HMW33" s="153"/>
      <c r="HMX33" s="153"/>
      <c r="HMY33" s="153"/>
      <c r="HMZ33" s="153"/>
      <c r="HNA33" s="153"/>
      <c r="HNB33" s="153"/>
      <c r="HNC33" s="153"/>
      <c r="HND33" s="153"/>
      <c r="HNE33" s="153"/>
      <c r="HNF33" s="153"/>
      <c r="HNG33" s="153"/>
      <c r="HNH33" s="153"/>
      <c r="HNI33" s="153"/>
      <c r="HNJ33" s="153"/>
      <c r="HNK33" s="153"/>
      <c r="HNL33" s="153"/>
      <c r="HNM33" s="153"/>
      <c r="HNN33" s="153"/>
      <c r="HNO33" s="153"/>
      <c r="HNP33" s="153"/>
      <c r="HNQ33" s="153"/>
      <c r="HNR33" s="153"/>
      <c r="HNS33" s="153"/>
      <c r="HNT33" s="153"/>
      <c r="HNU33" s="153"/>
      <c r="HNV33" s="153"/>
      <c r="HNW33" s="153"/>
      <c r="HNX33" s="153"/>
      <c r="HNY33" s="153"/>
      <c r="HNZ33" s="153"/>
      <c r="HOA33" s="153"/>
      <c r="HOB33" s="153"/>
      <c r="HOC33" s="153"/>
      <c r="HOD33" s="153"/>
      <c r="HOE33" s="153"/>
      <c r="HOF33" s="153"/>
      <c r="HOG33" s="153"/>
      <c r="HOH33" s="153"/>
      <c r="HOI33" s="153"/>
      <c r="HOJ33" s="153"/>
      <c r="HOK33" s="153"/>
      <c r="HOL33" s="153"/>
      <c r="HOM33" s="153"/>
      <c r="HON33" s="153"/>
      <c r="HOO33" s="153"/>
      <c r="HOP33" s="153"/>
      <c r="HOQ33" s="153"/>
      <c r="HOR33" s="153"/>
      <c r="HOS33" s="153"/>
      <c r="HOT33" s="153"/>
      <c r="HOU33" s="153"/>
      <c r="HOV33" s="153"/>
      <c r="HOW33" s="153"/>
      <c r="HOX33" s="153"/>
      <c r="HOY33" s="153"/>
      <c r="HOZ33" s="153"/>
      <c r="HPA33" s="153"/>
      <c r="HPB33" s="153"/>
      <c r="HPC33" s="153"/>
      <c r="HPD33" s="153"/>
      <c r="HPE33" s="153"/>
      <c r="HPF33" s="153"/>
      <c r="HPG33" s="153"/>
      <c r="HPH33" s="153"/>
      <c r="HPI33" s="153"/>
      <c r="HPJ33" s="153"/>
      <c r="HPK33" s="153"/>
      <c r="HPL33" s="153"/>
      <c r="HPM33" s="153"/>
      <c r="HPN33" s="153"/>
      <c r="HPO33" s="153"/>
      <c r="HPP33" s="153"/>
      <c r="HPQ33" s="153"/>
      <c r="HPR33" s="153"/>
      <c r="HPS33" s="153"/>
      <c r="HPT33" s="153"/>
      <c r="HPU33" s="153"/>
      <c r="HPV33" s="153"/>
      <c r="HPW33" s="153"/>
      <c r="HPX33" s="153"/>
      <c r="HPY33" s="153"/>
      <c r="HPZ33" s="153"/>
      <c r="HQA33" s="153"/>
      <c r="HQB33" s="153"/>
      <c r="HQC33" s="153"/>
      <c r="HQD33" s="153"/>
      <c r="HQE33" s="153"/>
      <c r="HQF33" s="153"/>
      <c r="HQG33" s="153"/>
      <c r="HQH33" s="153"/>
      <c r="HQI33" s="153"/>
      <c r="HQJ33" s="153"/>
      <c r="HQK33" s="153"/>
      <c r="HQL33" s="153"/>
      <c r="HQM33" s="153"/>
      <c r="HQN33" s="153"/>
      <c r="HQO33" s="153"/>
      <c r="HQP33" s="153"/>
      <c r="HQQ33" s="153"/>
      <c r="HQR33" s="153"/>
      <c r="HQS33" s="153"/>
      <c r="HQT33" s="153"/>
      <c r="HQU33" s="153"/>
      <c r="HQV33" s="153"/>
      <c r="HQW33" s="153"/>
      <c r="HQX33" s="153"/>
      <c r="HQY33" s="153"/>
      <c r="HQZ33" s="153"/>
      <c r="HRA33" s="153"/>
      <c r="HRB33" s="153"/>
      <c r="HRC33" s="153"/>
      <c r="HRD33" s="153"/>
      <c r="HRE33" s="153"/>
      <c r="HRF33" s="153"/>
      <c r="HRG33" s="153"/>
      <c r="HRH33" s="153"/>
      <c r="HRI33" s="153"/>
      <c r="HRJ33" s="153"/>
      <c r="HRK33" s="153"/>
      <c r="HRL33" s="153"/>
      <c r="HRM33" s="153"/>
      <c r="HRN33" s="153"/>
      <c r="HRO33" s="153"/>
      <c r="HRP33" s="153"/>
      <c r="HRQ33" s="153"/>
      <c r="HRR33" s="153"/>
      <c r="HRS33" s="153"/>
      <c r="HRT33" s="153"/>
      <c r="HRU33" s="153"/>
      <c r="HRV33" s="153"/>
      <c r="HRW33" s="153"/>
      <c r="HRX33" s="153"/>
      <c r="HRY33" s="153"/>
      <c r="HRZ33" s="153"/>
      <c r="HSA33" s="153"/>
      <c r="HSB33" s="153"/>
      <c r="HSC33" s="153"/>
      <c r="HSD33" s="153"/>
      <c r="HSE33" s="153"/>
      <c r="HSF33" s="153"/>
      <c r="HSG33" s="153"/>
      <c r="HSH33" s="153"/>
      <c r="HSI33" s="153"/>
      <c r="HSJ33" s="153"/>
      <c r="HSK33" s="153"/>
      <c r="HSL33" s="153"/>
      <c r="HSM33" s="153"/>
      <c r="HSN33" s="153"/>
      <c r="HSO33" s="153"/>
      <c r="HSP33" s="153"/>
      <c r="HSQ33" s="153"/>
      <c r="HSR33" s="153"/>
      <c r="HSS33" s="153"/>
      <c r="HST33" s="153"/>
      <c r="HSU33" s="153"/>
      <c r="HSV33" s="153"/>
      <c r="HSW33" s="153"/>
      <c r="HSX33" s="153"/>
      <c r="HSY33" s="153"/>
      <c r="HSZ33" s="153"/>
      <c r="HTA33" s="153"/>
      <c r="HTB33" s="153"/>
      <c r="HTC33" s="153"/>
      <c r="HTD33" s="153"/>
      <c r="HTE33" s="153"/>
      <c r="HTF33" s="153"/>
      <c r="HTG33" s="153"/>
      <c r="HTH33" s="153"/>
      <c r="HTI33" s="153"/>
      <c r="HTJ33" s="153"/>
      <c r="HTK33" s="153"/>
      <c r="HTL33" s="153"/>
      <c r="HTM33" s="153"/>
      <c r="HTN33" s="153"/>
      <c r="HTO33" s="153"/>
      <c r="HTP33" s="153"/>
      <c r="HTQ33" s="153"/>
      <c r="HTR33" s="153"/>
      <c r="HTS33" s="153"/>
      <c r="HTT33" s="153"/>
      <c r="HTU33" s="153"/>
      <c r="HTV33" s="153"/>
      <c r="HTW33" s="153"/>
      <c r="HTX33" s="153"/>
      <c r="HTY33" s="153"/>
      <c r="HTZ33" s="153"/>
      <c r="HUA33" s="153"/>
      <c r="HUB33" s="153"/>
      <c r="HUC33" s="153"/>
      <c r="HUD33" s="153"/>
      <c r="HUE33" s="153"/>
      <c r="HUF33" s="153"/>
      <c r="HUG33" s="153"/>
      <c r="HUH33" s="153"/>
      <c r="HUI33" s="153"/>
      <c r="HUJ33" s="153"/>
      <c r="HUK33" s="153"/>
      <c r="HUL33" s="153"/>
      <c r="HUM33" s="153"/>
      <c r="HUN33" s="153"/>
      <c r="HUO33" s="153"/>
      <c r="HUP33" s="153"/>
      <c r="HUQ33" s="153"/>
      <c r="HUR33" s="153"/>
      <c r="HUS33" s="153"/>
      <c r="HUT33" s="153"/>
      <c r="HUU33" s="153"/>
      <c r="HUV33" s="153"/>
      <c r="HUW33" s="153"/>
      <c r="HUX33" s="153"/>
      <c r="HUY33" s="153"/>
      <c r="HUZ33" s="153"/>
      <c r="HVA33" s="153"/>
      <c r="HVB33" s="153"/>
      <c r="HVC33" s="153"/>
      <c r="HVD33" s="153"/>
      <c r="HVE33" s="153"/>
      <c r="HVF33" s="153"/>
      <c r="HVG33" s="153"/>
      <c r="HVH33" s="153"/>
      <c r="HVI33" s="153"/>
      <c r="HVJ33" s="153"/>
      <c r="HVK33" s="153"/>
      <c r="HVL33" s="153"/>
      <c r="HVM33" s="153"/>
      <c r="HVN33" s="153"/>
      <c r="HVO33" s="153"/>
      <c r="HVP33" s="153"/>
      <c r="HVQ33" s="153"/>
      <c r="HVR33" s="153"/>
      <c r="HVS33" s="153"/>
      <c r="HVT33" s="153"/>
      <c r="HVU33" s="153"/>
      <c r="HVV33" s="153"/>
      <c r="HVW33" s="153"/>
      <c r="HVX33" s="153"/>
      <c r="HVY33" s="153"/>
      <c r="HVZ33" s="153"/>
      <c r="HWA33" s="153"/>
      <c r="HWB33" s="153"/>
      <c r="HWC33" s="153"/>
      <c r="HWD33" s="153"/>
      <c r="HWE33" s="153"/>
      <c r="HWF33" s="153"/>
      <c r="HWG33" s="153"/>
      <c r="HWH33" s="153"/>
      <c r="HWI33" s="153"/>
      <c r="HWJ33" s="153"/>
      <c r="HWK33" s="153"/>
      <c r="HWL33" s="153"/>
      <c r="HWM33" s="153"/>
      <c r="HWN33" s="153"/>
      <c r="HWO33" s="153"/>
      <c r="HWP33" s="153"/>
      <c r="HWQ33" s="153"/>
      <c r="HWR33" s="153"/>
      <c r="HWS33" s="153"/>
      <c r="HWT33" s="153"/>
      <c r="HWU33" s="153"/>
      <c r="HWV33" s="153"/>
      <c r="HWW33" s="153"/>
      <c r="HWX33" s="153"/>
      <c r="HWY33" s="153"/>
      <c r="HWZ33" s="153"/>
      <c r="HXA33" s="153"/>
      <c r="HXB33" s="153"/>
      <c r="HXC33" s="153"/>
      <c r="HXD33" s="153"/>
      <c r="HXE33" s="153"/>
      <c r="HXF33" s="153"/>
      <c r="HXG33" s="153"/>
      <c r="HXH33" s="153"/>
      <c r="HXI33" s="153"/>
      <c r="HXJ33" s="153"/>
      <c r="HXK33" s="153"/>
      <c r="HXL33" s="153"/>
      <c r="HXM33" s="153"/>
      <c r="HXN33" s="153"/>
      <c r="HXO33" s="153"/>
      <c r="HXP33" s="153"/>
      <c r="HXQ33" s="153"/>
      <c r="HXR33" s="153"/>
      <c r="HXS33" s="153"/>
      <c r="HXT33" s="153"/>
      <c r="HXU33" s="153"/>
      <c r="HXV33" s="153"/>
      <c r="HXW33" s="153"/>
      <c r="HXX33" s="153"/>
      <c r="HXY33" s="153"/>
      <c r="HXZ33" s="153"/>
      <c r="HYA33" s="153"/>
      <c r="HYB33" s="153"/>
      <c r="HYC33" s="153"/>
      <c r="HYD33" s="153"/>
      <c r="HYE33" s="153"/>
      <c r="HYF33" s="153"/>
      <c r="HYG33" s="153"/>
      <c r="HYH33" s="153"/>
      <c r="HYI33" s="153"/>
      <c r="HYJ33" s="153"/>
      <c r="HYK33" s="153"/>
      <c r="HYL33" s="153"/>
      <c r="HYM33" s="153"/>
      <c r="HYN33" s="153"/>
      <c r="HYO33" s="153"/>
      <c r="HYP33" s="153"/>
      <c r="HYQ33" s="153"/>
      <c r="HYR33" s="153"/>
      <c r="HYS33" s="153"/>
      <c r="HYT33" s="153"/>
      <c r="HYU33" s="153"/>
      <c r="HYV33" s="153"/>
      <c r="HYW33" s="153"/>
      <c r="HYX33" s="153"/>
      <c r="HYY33" s="153"/>
      <c r="HYZ33" s="153"/>
      <c r="HZA33" s="153"/>
      <c r="HZB33" s="153"/>
      <c r="HZC33" s="153"/>
      <c r="HZD33" s="153"/>
      <c r="HZE33" s="153"/>
      <c r="HZF33" s="153"/>
      <c r="HZG33" s="153"/>
      <c r="HZH33" s="153"/>
      <c r="HZI33" s="153"/>
      <c r="HZJ33" s="153"/>
      <c r="HZK33" s="153"/>
      <c r="HZL33" s="153"/>
      <c r="HZM33" s="153"/>
      <c r="HZN33" s="153"/>
      <c r="HZO33" s="153"/>
      <c r="HZP33" s="153"/>
      <c r="HZQ33" s="153"/>
      <c r="HZR33" s="153"/>
      <c r="HZS33" s="153"/>
      <c r="HZT33" s="153"/>
      <c r="HZU33" s="153"/>
      <c r="HZV33" s="153"/>
      <c r="HZW33" s="153"/>
      <c r="HZX33" s="153"/>
      <c r="HZY33" s="153"/>
      <c r="HZZ33" s="153"/>
      <c r="IAA33" s="153"/>
      <c r="IAB33" s="153"/>
      <c r="IAC33" s="153"/>
      <c r="IAD33" s="153"/>
      <c r="IAE33" s="153"/>
      <c r="IAF33" s="153"/>
      <c r="IAG33" s="153"/>
      <c r="IAH33" s="153"/>
      <c r="IAI33" s="153"/>
      <c r="IAJ33" s="153"/>
      <c r="IAK33" s="153"/>
      <c r="IAL33" s="153"/>
      <c r="IAM33" s="153"/>
      <c r="IAN33" s="153"/>
      <c r="IAO33" s="153"/>
      <c r="IAP33" s="153"/>
      <c r="IAQ33" s="153"/>
      <c r="IAR33" s="153"/>
      <c r="IAS33" s="153"/>
      <c r="IAT33" s="153"/>
      <c r="IAU33" s="153"/>
      <c r="IAV33" s="153"/>
      <c r="IAW33" s="153"/>
      <c r="IAX33" s="153"/>
      <c r="IAY33" s="153"/>
      <c r="IAZ33" s="153"/>
      <c r="IBA33" s="153"/>
      <c r="IBB33" s="153"/>
      <c r="IBC33" s="153"/>
      <c r="IBD33" s="153"/>
      <c r="IBE33" s="153"/>
      <c r="IBF33" s="153"/>
      <c r="IBG33" s="153"/>
      <c r="IBH33" s="153"/>
      <c r="IBI33" s="153"/>
      <c r="IBJ33" s="153"/>
      <c r="IBK33" s="153"/>
      <c r="IBL33" s="153"/>
      <c r="IBM33" s="153"/>
      <c r="IBN33" s="153"/>
      <c r="IBO33" s="153"/>
      <c r="IBP33" s="153"/>
      <c r="IBQ33" s="153"/>
      <c r="IBR33" s="153"/>
      <c r="IBS33" s="153"/>
      <c r="IBT33" s="153"/>
      <c r="IBU33" s="153"/>
      <c r="IBV33" s="153"/>
      <c r="IBW33" s="153"/>
      <c r="IBX33" s="153"/>
      <c r="IBY33" s="153"/>
      <c r="IBZ33" s="153"/>
      <c r="ICA33" s="153"/>
      <c r="ICB33" s="153"/>
      <c r="ICC33" s="153"/>
      <c r="ICD33" s="153"/>
      <c r="ICE33" s="153"/>
      <c r="ICF33" s="153"/>
      <c r="ICG33" s="153"/>
      <c r="ICH33" s="153"/>
      <c r="ICI33" s="153"/>
      <c r="ICJ33" s="153"/>
      <c r="ICK33" s="153"/>
      <c r="ICL33" s="153"/>
      <c r="ICM33" s="153"/>
      <c r="ICN33" s="153"/>
      <c r="ICO33" s="153"/>
      <c r="ICP33" s="153"/>
      <c r="ICQ33" s="153"/>
      <c r="ICR33" s="153"/>
      <c r="ICS33" s="153"/>
      <c r="ICT33" s="153"/>
      <c r="ICU33" s="153"/>
      <c r="ICV33" s="153"/>
      <c r="ICW33" s="153"/>
      <c r="ICX33" s="153"/>
      <c r="ICY33" s="153"/>
      <c r="ICZ33" s="153"/>
      <c r="IDA33" s="153"/>
      <c r="IDB33" s="153"/>
      <c r="IDC33" s="153"/>
      <c r="IDD33" s="153"/>
      <c r="IDE33" s="153"/>
      <c r="IDF33" s="153"/>
      <c r="IDG33" s="153"/>
      <c r="IDH33" s="153"/>
      <c r="IDI33" s="153"/>
      <c r="IDJ33" s="153"/>
      <c r="IDK33" s="153"/>
      <c r="IDL33" s="153"/>
      <c r="IDM33" s="153"/>
      <c r="IDN33" s="153"/>
      <c r="IDO33" s="153"/>
      <c r="IDP33" s="153"/>
      <c r="IDQ33" s="153"/>
      <c r="IDR33" s="153"/>
      <c r="IDS33" s="153"/>
      <c r="IDT33" s="153"/>
      <c r="IDU33" s="153"/>
      <c r="IDV33" s="153"/>
      <c r="IDW33" s="153"/>
      <c r="IDX33" s="153"/>
      <c r="IDY33" s="153"/>
      <c r="IDZ33" s="153"/>
      <c r="IEA33" s="153"/>
      <c r="IEB33" s="153"/>
      <c r="IEC33" s="153"/>
      <c r="IED33" s="153"/>
      <c r="IEE33" s="153"/>
      <c r="IEF33" s="153"/>
      <c r="IEG33" s="153"/>
      <c r="IEH33" s="153"/>
      <c r="IEI33" s="153"/>
      <c r="IEJ33" s="153"/>
      <c r="IEK33" s="153"/>
      <c r="IEL33" s="153"/>
      <c r="IEM33" s="153"/>
      <c r="IEN33" s="153"/>
      <c r="IEO33" s="153"/>
      <c r="IEP33" s="153"/>
      <c r="IEQ33" s="153"/>
      <c r="IER33" s="153"/>
      <c r="IES33" s="153"/>
      <c r="IET33" s="153"/>
      <c r="IEU33" s="153"/>
      <c r="IEV33" s="153"/>
      <c r="IEW33" s="153"/>
      <c r="IEX33" s="153"/>
      <c r="IEY33" s="153"/>
      <c r="IEZ33" s="153"/>
      <c r="IFA33" s="153"/>
      <c r="IFB33" s="153"/>
      <c r="IFC33" s="153"/>
      <c r="IFD33" s="153"/>
      <c r="IFE33" s="153"/>
      <c r="IFF33" s="153"/>
      <c r="IFG33" s="153"/>
      <c r="IFH33" s="153"/>
      <c r="IFI33" s="153"/>
      <c r="IFJ33" s="153"/>
      <c r="IFK33" s="153"/>
      <c r="IFL33" s="153"/>
      <c r="IFM33" s="153"/>
      <c r="IFN33" s="153"/>
      <c r="IFO33" s="153"/>
      <c r="IFP33" s="153"/>
      <c r="IFQ33" s="153"/>
      <c r="IFR33" s="153"/>
      <c r="IFS33" s="153"/>
      <c r="IFT33" s="153"/>
      <c r="IFU33" s="153"/>
      <c r="IFV33" s="153"/>
      <c r="IFW33" s="153"/>
      <c r="IFX33" s="153"/>
      <c r="IFY33" s="153"/>
      <c r="IFZ33" s="153"/>
      <c r="IGA33" s="153"/>
      <c r="IGB33" s="153"/>
      <c r="IGC33" s="153"/>
      <c r="IGD33" s="153"/>
      <c r="IGE33" s="153"/>
      <c r="IGF33" s="153"/>
      <c r="IGG33" s="153"/>
      <c r="IGH33" s="153"/>
      <c r="IGI33" s="153"/>
      <c r="IGJ33" s="153"/>
      <c r="IGK33" s="153"/>
      <c r="IGL33" s="153"/>
      <c r="IGM33" s="153"/>
      <c r="IGN33" s="153"/>
      <c r="IGO33" s="153"/>
      <c r="IGP33" s="153"/>
      <c r="IGQ33" s="153"/>
      <c r="IGR33" s="153"/>
      <c r="IGS33" s="153"/>
      <c r="IGT33" s="153"/>
      <c r="IGU33" s="153"/>
      <c r="IGV33" s="153"/>
      <c r="IGW33" s="153"/>
      <c r="IGX33" s="153"/>
      <c r="IGY33" s="153"/>
      <c r="IGZ33" s="153"/>
      <c r="IHA33" s="153"/>
      <c r="IHB33" s="153"/>
      <c r="IHC33" s="153"/>
      <c r="IHD33" s="153"/>
      <c r="IHE33" s="153"/>
      <c r="IHF33" s="153"/>
      <c r="IHG33" s="153"/>
      <c r="IHH33" s="153"/>
      <c r="IHI33" s="153"/>
      <c r="IHJ33" s="153"/>
      <c r="IHK33" s="153"/>
      <c r="IHL33" s="153"/>
      <c r="IHM33" s="153"/>
      <c r="IHN33" s="153"/>
      <c r="IHO33" s="153"/>
      <c r="IHP33" s="153"/>
      <c r="IHQ33" s="153"/>
      <c r="IHR33" s="153"/>
      <c r="IHS33" s="153"/>
      <c r="IHT33" s="153"/>
      <c r="IHU33" s="153"/>
      <c r="IHV33" s="153"/>
      <c r="IHW33" s="153"/>
      <c r="IHX33" s="153"/>
      <c r="IHY33" s="153"/>
      <c r="IHZ33" s="153"/>
      <c r="IIA33" s="153"/>
      <c r="IIB33" s="153"/>
      <c r="IIC33" s="153"/>
      <c r="IID33" s="153"/>
      <c r="IIE33" s="153"/>
      <c r="IIF33" s="153"/>
      <c r="IIG33" s="153"/>
      <c r="IIH33" s="153"/>
      <c r="III33" s="153"/>
      <c r="IIJ33" s="153"/>
      <c r="IIK33" s="153"/>
      <c r="IIL33" s="153"/>
      <c r="IIM33" s="153"/>
      <c r="IIN33" s="153"/>
      <c r="IIO33" s="153"/>
      <c r="IIP33" s="153"/>
      <c r="IIQ33" s="153"/>
      <c r="IIR33" s="153"/>
      <c r="IIS33" s="153"/>
      <c r="IIT33" s="153"/>
      <c r="IIU33" s="153"/>
      <c r="IIV33" s="153"/>
      <c r="IIW33" s="153"/>
      <c r="IIX33" s="153"/>
      <c r="IIY33" s="153"/>
      <c r="IIZ33" s="153"/>
      <c r="IJA33" s="153"/>
      <c r="IJB33" s="153"/>
      <c r="IJC33" s="153"/>
      <c r="IJD33" s="153"/>
      <c r="IJE33" s="153"/>
      <c r="IJF33" s="153"/>
      <c r="IJG33" s="153"/>
      <c r="IJH33" s="153"/>
      <c r="IJI33" s="153"/>
      <c r="IJJ33" s="153"/>
      <c r="IJK33" s="153"/>
      <c r="IJL33" s="153"/>
      <c r="IJM33" s="153"/>
      <c r="IJN33" s="153"/>
      <c r="IJO33" s="153"/>
      <c r="IJP33" s="153"/>
      <c r="IJQ33" s="153"/>
      <c r="IJR33" s="153"/>
      <c r="IJS33" s="153"/>
      <c r="IJT33" s="153"/>
      <c r="IJU33" s="153"/>
      <c r="IJV33" s="153"/>
      <c r="IJW33" s="153"/>
      <c r="IJX33" s="153"/>
      <c r="IJY33" s="153"/>
      <c r="IJZ33" s="153"/>
      <c r="IKA33" s="153"/>
      <c r="IKB33" s="153"/>
      <c r="IKC33" s="153"/>
      <c r="IKD33" s="153"/>
      <c r="IKE33" s="153"/>
      <c r="IKF33" s="153"/>
      <c r="IKG33" s="153"/>
      <c r="IKH33" s="153"/>
      <c r="IKI33" s="153"/>
      <c r="IKJ33" s="153"/>
      <c r="IKK33" s="153"/>
      <c r="IKL33" s="153"/>
      <c r="IKM33" s="153"/>
      <c r="IKN33" s="153"/>
      <c r="IKO33" s="153"/>
      <c r="IKP33" s="153"/>
      <c r="IKQ33" s="153"/>
      <c r="IKR33" s="153"/>
      <c r="IKS33" s="153"/>
      <c r="IKT33" s="153"/>
      <c r="IKU33" s="153"/>
      <c r="IKV33" s="153"/>
      <c r="IKW33" s="153"/>
      <c r="IKX33" s="153"/>
      <c r="IKY33" s="153"/>
      <c r="IKZ33" s="153"/>
      <c r="ILA33" s="153"/>
      <c r="ILB33" s="153"/>
      <c r="ILC33" s="153"/>
      <c r="ILD33" s="153"/>
      <c r="ILE33" s="153"/>
      <c r="ILF33" s="153"/>
      <c r="ILG33" s="153"/>
      <c r="ILH33" s="153"/>
      <c r="ILI33" s="153"/>
      <c r="ILJ33" s="153"/>
      <c r="ILK33" s="153"/>
      <c r="ILL33" s="153"/>
      <c r="ILM33" s="153"/>
      <c r="ILN33" s="153"/>
      <c r="ILO33" s="153"/>
      <c r="ILP33" s="153"/>
      <c r="ILQ33" s="153"/>
      <c r="ILR33" s="153"/>
      <c r="ILS33" s="153"/>
      <c r="ILT33" s="153"/>
      <c r="ILU33" s="153"/>
      <c r="ILV33" s="153"/>
      <c r="ILW33" s="153"/>
      <c r="ILX33" s="153"/>
      <c r="ILY33" s="153"/>
      <c r="ILZ33" s="153"/>
      <c r="IMA33" s="153"/>
      <c r="IMB33" s="153"/>
      <c r="IMC33" s="153"/>
      <c r="IMD33" s="153"/>
      <c r="IME33" s="153"/>
      <c r="IMF33" s="153"/>
      <c r="IMG33" s="153"/>
      <c r="IMH33" s="153"/>
      <c r="IMI33" s="153"/>
      <c r="IMJ33" s="153"/>
      <c r="IMK33" s="153"/>
      <c r="IML33" s="153"/>
      <c r="IMM33" s="153"/>
      <c r="IMN33" s="153"/>
      <c r="IMO33" s="153"/>
      <c r="IMP33" s="153"/>
      <c r="IMQ33" s="153"/>
      <c r="IMR33" s="153"/>
      <c r="IMS33" s="153"/>
      <c r="IMT33" s="153"/>
      <c r="IMU33" s="153"/>
      <c r="IMV33" s="153"/>
      <c r="IMW33" s="153"/>
      <c r="IMX33" s="153"/>
      <c r="IMY33" s="153"/>
      <c r="IMZ33" s="153"/>
      <c r="INA33" s="153"/>
      <c r="INB33" s="153"/>
      <c r="INC33" s="153"/>
      <c r="IND33" s="153"/>
      <c r="INE33" s="153"/>
      <c r="INF33" s="153"/>
      <c r="ING33" s="153"/>
      <c r="INH33" s="153"/>
      <c r="INI33" s="153"/>
      <c r="INJ33" s="153"/>
      <c r="INK33" s="153"/>
      <c r="INL33" s="153"/>
      <c r="INM33" s="153"/>
      <c r="INN33" s="153"/>
      <c r="INO33" s="153"/>
      <c r="INP33" s="153"/>
      <c r="INQ33" s="153"/>
      <c r="INR33" s="153"/>
      <c r="INS33" s="153"/>
      <c r="INT33" s="153"/>
      <c r="INU33" s="153"/>
      <c r="INV33" s="153"/>
      <c r="INW33" s="153"/>
      <c r="INX33" s="153"/>
      <c r="INY33" s="153"/>
      <c r="INZ33" s="153"/>
      <c r="IOA33" s="153"/>
      <c r="IOB33" s="153"/>
      <c r="IOC33" s="153"/>
      <c r="IOD33" s="153"/>
      <c r="IOE33" s="153"/>
      <c r="IOF33" s="153"/>
      <c r="IOG33" s="153"/>
      <c r="IOH33" s="153"/>
      <c r="IOI33" s="153"/>
      <c r="IOJ33" s="153"/>
      <c r="IOK33" s="153"/>
      <c r="IOL33" s="153"/>
      <c r="IOM33" s="153"/>
      <c r="ION33" s="153"/>
      <c r="IOO33" s="153"/>
      <c r="IOP33" s="153"/>
      <c r="IOQ33" s="153"/>
      <c r="IOR33" s="153"/>
      <c r="IOS33" s="153"/>
      <c r="IOT33" s="153"/>
      <c r="IOU33" s="153"/>
      <c r="IOV33" s="153"/>
      <c r="IOW33" s="153"/>
      <c r="IOX33" s="153"/>
      <c r="IOY33" s="153"/>
      <c r="IOZ33" s="153"/>
      <c r="IPA33" s="153"/>
      <c r="IPB33" s="153"/>
      <c r="IPC33" s="153"/>
      <c r="IPD33" s="153"/>
      <c r="IPE33" s="153"/>
      <c r="IPF33" s="153"/>
      <c r="IPG33" s="153"/>
      <c r="IPH33" s="153"/>
      <c r="IPI33" s="153"/>
      <c r="IPJ33" s="153"/>
      <c r="IPK33" s="153"/>
      <c r="IPL33" s="153"/>
      <c r="IPM33" s="153"/>
      <c r="IPN33" s="153"/>
      <c r="IPO33" s="153"/>
      <c r="IPP33" s="153"/>
      <c r="IPQ33" s="153"/>
      <c r="IPR33" s="153"/>
      <c r="IPS33" s="153"/>
      <c r="IPT33" s="153"/>
      <c r="IPU33" s="153"/>
      <c r="IPV33" s="153"/>
      <c r="IPW33" s="153"/>
      <c r="IPX33" s="153"/>
      <c r="IPY33" s="153"/>
      <c r="IPZ33" s="153"/>
      <c r="IQA33" s="153"/>
      <c r="IQB33" s="153"/>
      <c r="IQC33" s="153"/>
      <c r="IQD33" s="153"/>
      <c r="IQE33" s="153"/>
      <c r="IQF33" s="153"/>
      <c r="IQG33" s="153"/>
      <c r="IQH33" s="153"/>
      <c r="IQI33" s="153"/>
      <c r="IQJ33" s="153"/>
      <c r="IQK33" s="153"/>
      <c r="IQL33" s="153"/>
      <c r="IQM33" s="153"/>
      <c r="IQN33" s="153"/>
      <c r="IQO33" s="153"/>
      <c r="IQP33" s="153"/>
      <c r="IQQ33" s="153"/>
      <c r="IQR33" s="153"/>
      <c r="IQS33" s="153"/>
      <c r="IQT33" s="153"/>
      <c r="IQU33" s="153"/>
      <c r="IQV33" s="153"/>
      <c r="IQW33" s="153"/>
      <c r="IQX33" s="153"/>
      <c r="IQY33" s="153"/>
      <c r="IQZ33" s="153"/>
      <c r="IRA33" s="153"/>
      <c r="IRB33" s="153"/>
      <c r="IRC33" s="153"/>
      <c r="IRD33" s="153"/>
      <c r="IRE33" s="153"/>
      <c r="IRF33" s="153"/>
      <c r="IRG33" s="153"/>
      <c r="IRH33" s="153"/>
      <c r="IRI33" s="153"/>
      <c r="IRJ33" s="153"/>
      <c r="IRK33" s="153"/>
      <c r="IRL33" s="153"/>
      <c r="IRM33" s="153"/>
      <c r="IRN33" s="153"/>
      <c r="IRO33" s="153"/>
      <c r="IRP33" s="153"/>
      <c r="IRQ33" s="153"/>
      <c r="IRR33" s="153"/>
      <c r="IRS33" s="153"/>
      <c r="IRT33" s="153"/>
      <c r="IRU33" s="153"/>
      <c r="IRV33" s="153"/>
      <c r="IRW33" s="153"/>
      <c r="IRX33" s="153"/>
      <c r="IRY33" s="153"/>
      <c r="IRZ33" s="153"/>
      <c r="ISA33" s="153"/>
      <c r="ISB33" s="153"/>
      <c r="ISC33" s="153"/>
      <c r="ISD33" s="153"/>
      <c r="ISE33" s="153"/>
      <c r="ISF33" s="153"/>
      <c r="ISG33" s="153"/>
      <c r="ISH33" s="153"/>
      <c r="ISI33" s="153"/>
      <c r="ISJ33" s="153"/>
      <c r="ISK33" s="153"/>
      <c r="ISL33" s="153"/>
      <c r="ISM33" s="153"/>
      <c r="ISN33" s="153"/>
      <c r="ISO33" s="153"/>
      <c r="ISP33" s="153"/>
      <c r="ISQ33" s="153"/>
      <c r="ISR33" s="153"/>
      <c r="ISS33" s="153"/>
      <c r="IST33" s="153"/>
      <c r="ISU33" s="153"/>
      <c r="ISV33" s="153"/>
      <c r="ISW33" s="153"/>
      <c r="ISX33" s="153"/>
      <c r="ISY33" s="153"/>
      <c r="ISZ33" s="153"/>
      <c r="ITA33" s="153"/>
      <c r="ITB33" s="153"/>
      <c r="ITC33" s="153"/>
      <c r="ITD33" s="153"/>
      <c r="ITE33" s="153"/>
      <c r="ITF33" s="153"/>
      <c r="ITG33" s="153"/>
      <c r="ITH33" s="153"/>
      <c r="ITI33" s="153"/>
      <c r="ITJ33" s="153"/>
      <c r="ITK33" s="153"/>
      <c r="ITL33" s="153"/>
      <c r="ITM33" s="153"/>
      <c r="ITN33" s="153"/>
      <c r="ITO33" s="153"/>
      <c r="ITP33" s="153"/>
      <c r="ITQ33" s="153"/>
      <c r="ITR33" s="153"/>
      <c r="ITS33" s="153"/>
      <c r="ITT33" s="153"/>
      <c r="ITU33" s="153"/>
      <c r="ITV33" s="153"/>
      <c r="ITW33" s="153"/>
      <c r="ITX33" s="153"/>
      <c r="ITY33" s="153"/>
      <c r="ITZ33" s="153"/>
      <c r="IUA33" s="153"/>
      <c r="IUB33" s="153"/>
      <c r="IUC33" s="153"/>
      <c r="IUD33" s="153"/>
      <c r="IUE33" s="153"/>
      <c r="IUF33" s="153"/>
      <c r="IUG33" s="153"/>
      <c r="IUH33" s="153"/>
      <c r="IUI33" s="153"/>
      <c r="IUJ33" s="153"/>
      <c r="IUK33" s="153"/>
      <c r="IUL33" s="153"/>
      <c r="IUM33" s="153"/>
      <c r="IUN33" s="153"/>
      <c r="IUO33" s="153"/>
      <c r="IUP33" s="153"/>
      <c r="IUQ33" s="153"/>
      <c r="IUR33" s="153"/>
      <c r="IUS33" s="153"/>
      <c r="IUT33" s="153"/>
      <c r="IUU33" s="153"/>
      <c r="IUV33" s="153"/>
      <c r="IUW33" s="153"/>
      <c r="IUX33" s="153"/>
      <c r="IUY33" s="153"/>
      <c r="IUZ33" s="153"/>
      <c r="IVA33" s="153"/>
      <c r="IVB33" s="153"/>
      <c r="IVC33" s="153"/>
      <c r="IVD33" s="153"/>
      <c r="IVE33" s="153"/>
      <c r="IVF33" s="153"/>
      <c r="IVG33" s="153"/>
      <c r="IVH33" s="153"/>
      <c r="IVI33" s="153"/>
      <c r="IVJ33" s="153"/>
      <c r="IVK33" s="153"/>
      <c r="IVL33" s="153"/>
      <c r="IVM33" s="153"/>
      <c r="IVN33" s="153"/>
      <c r="IVO33" s="153"/>
      <c r="IVP33" s="153"/>
      <c r="IVQ33" s="153"/>
      <c r="IVR33" s="153"/>
      <c r="IVS33" s="153"/>
      <c r="IVT33" s="153"/>
      <c r="IVU33" s="153"/>
      <c r="IVV33" s="153"/>
      <c r="IVW33" s="153"/>
      <c r="IVX33" s="153"/>
      <c r="IVY33" s="153"/>
      <c r="IVZ33" s="153"/>
      <c r="IWA33" s="153"/>
      <c r="IWB33" s="153"/>
      <c r="IWC33" s="153"/>
      <c r="IWD33" s="153"/>
      <c r="IWE33" s="153"/>
      <c r="IWF33" s="153"/>
      <c r="IWG33" s="153"/>
      <c r="IWH33" s="153"/>
      <c r="IWI33" s="153"/>
      <c r="IWJ33" s="153"/>
      <c r="IWK33" s="153"/>
      <c r="IWL33" s="153"/>
      <c r="IWM33" s="153"/>
      <c r="IWN33" s="153"/>
      <c r="IWO33" s="153"/>
      <c r="IWP33" s="153"/>
      <c r="IWQ33" s="153"/>
      <c r="IWR33" s="153"/>
      <c r="IWS33" s="153"/>
      <c r="IWT33" s="153"/>
      <c r="IWU33" s="153"/>
      <c r="IWV33" s="153"/>
      <c r="IWW33" s="153"/>
      <c r="IWX33" s="153"/>
      <c r="IWY33" s="153"/>
      <c r="IWZ33" s="153"/>
      <c r="IXA33" s="153"/>
      <c r="IXB33" s="153"/>
      <c r="IXC33" s="153"/>
      <c r="IXD33" s="153"/>
      <c r="IXE33" s="153"/>
      <c r="IXF33" s="153"/>
      <c r="IXG33" s="153"/>
      <c r="IXH33" s="153"/>
      <c r="IXI33" s="153"/>
      <c r="IXJ33" s="153"/>
      <c r="IXK33" s="153"/>
      <c r="IXL33" s="153"/>
      <c r="IXM33" s="153"/>
      <c r="IXN33" s="153"/>
      <c r="IXO33" s="153"/>
      <c r="IXP33" s="153"/>
      <c r="IXQ33" s="153"/>
      <c r="IXR33" s="153"/>
      <c r="IXS33" s="153"/>
      <c r="IXT33" s="153"/>
      <c r="IXU33" s="153"/>
      <c r="IXV33" s="153"/>
      <c r="IXW33" s="153"/>
      <c r="IXX33" s="153"/>
      <c r="IXY33" s="153"/>
      <c r="IXZ33" s="153"/>
      <c r="IYA33" s="153"/>
      <c r="IYB33" s="153"/>
      <c r="IYC33" s="153"/>
      <c r="IYD33" s="153"/>
      <c r="IYE33" s="153"/>
      <c r="IYF33" s="153"/>
      <c r="IYG33" s="153"/>
      <c r="IYH33" s="153"/>
      <c r="IYI33" s="153"/>
      <c r="IYJ33" s="153"/>
      <c r="IYK33" s="153"/>
      <c r="IYL33" s="153"/>
      <c r="IYM33" s="153"/>
      <c r="IYN33" s="153"/>
      <c r="IYO33" s="153"/>
      <c r="IYP33" s="153"/>
      <c r="IYQ33" s="153"/>
      <c r="IYR33" s="153"/>
      <c r="IYS33" s="153"/>
      <c r="IYT33" s="153"/>
      <c r="IYU33" s="153"/>
      <c r="IYV33" s="153"/>
      <c r="IYW33" s="153"/>
      <c r="IYX33" s="153"/>
      <c r="IYY33" s="153"/>
      <c r="IYZ33" s="153"/>
      <c r="IZA33" s="153"/>
      <c r="IZB33" s="153"/>
      <c r="IZC33" s="153"/>
      <c r="IZD33" s="153"/>
      <c r="IZE33" s="153"/>
      <c r="IZF33" s="153"/>
      <c r="IZG33" s="153"/>
      <c r="IZH33" s="153"/>
      <c r="IZI33" s="153"/>
      <c r="IZJ33" s="153"/>
      <c r="IZK33" s="153"/>
      <c r="IZL33" s="153"/>
      <c r="IZM33" s="153"/>
      <c r="IZN33" s="153"/>
      <c r="IZO33" s="153"/>
      <c r="IZP33" s="153"/>
      <c r="IZQ33" s="153"/>
      <c r="IZR33" s="153"/>
      <c r="IZS33" s="153"/>
      <c r="IZT33" s="153"/>
      <c r="IZU33" s="153"/>
      <c r="IZV33" s="153"/>
      <c r="IZW33" s="153"/>
      <c r="IZX33" s="153"/>
      <c r="IZY33" s="153"/>
      <c r="IZZ33" s="153"/>
      <c r="JAA33" s="153"/>
      <c r="JAB33" s="153"/>
      <c r="JAC33" s="153"/>
      <c r="JAD33" s="153"/>
      <c r="JAE33" s="153"/>
      <c r="JAF33" s="153"/>
      <c r="JAG33" s="153"/>
      <c r="JAH33" s="153"/>
      <c r="JAI33" s="153"/>
      <c r="JAJ33" s="153"/>
      <c r="JAK33" s="153"/>
      <c r="JAL33" s="153"/>
      <c r="JAM33" s="153"/>
      <c r="JAN33" s="153"/>
      <c r="JAO33" s="153"/>
      <c r="JAP33" s="153"/>
      <c r="JAQ33" s="153"/>
      <c r="JAR33" s="153"/>
      <c r="JAS33" s="153"/>
      <c r="JAT33" s="153"/>
      <c r="JAU33" s="153"/>
      <c r="JAV33" s="153"/>
      <c r="JAW33" s="153"/>
      <c r="JAX33" s="153"/>
      <c r="JAY33" s="153"/>
      <c r="JAZ33" s="153"/>
      <c r="JBA33" s="153"/>
      <c r="JBB33" s="153"/>
      <c r="JBC33" s="153"/>
      <c r="JBD33" s="153"/>
      <c r="JBE33" s="153"/>
      <c r="JBF33" s="153"/>
      <c r="JBG33" s="153"/>
      <c r="JBH33" s="153"/>
      <c r="JBI33" s="153"/>
      <c r="JBJ33" s="153"/>
      <c r="JBK33" s="153"/>
      <c r="JBL33" s="153"/>
      <c r="JBM33" s="153"/>
      <c r="JBN33" s="153"/>
      <c r="JBO33" s="153"/>
      <c r="JBP33" s="153"/>
      <c r="JBQ33" s="153"/>
      <c r="JBR33" s="153"/>
      <c r="JBS33" s="153"/>
      <c r="JBT33" s="153"/>
      <c r="JBU33" s="153"/>
      <c r="JBV33" s="153"/>
      <c r="JBW33" s="153"/>
      <c r="JBX33" s="153"/>
      <c r="JBY33" s="153"/>
      <c r="JBZ33" s="153"/>
      <c r="JCA33" s="153"/>
      <c r="JCB33" s="153"/>
      <c r="JCC33" s="153"/>
      <c r="JCD33" s="153"/>
      <c r="JCE33" s="153"/>
      <c r="JCF33" s="153"/>
      <c r="JCG33" s="153"/>
      <c r="JCH33" s="153"/>
      <c r="JCI33" s="153"/>
      <c r="JCJ33" s="153"/>
      <c r="JCK33" s="153"/>
      <c r="JCL33" s="153"/>
      <c r="JCM33" s="153"/>
      <c r="JCN33" s="153"/>
      <c r="JCO33" s="153"/>
      <c r="JCP33" s="153"/>
      <c r="JCQ33" s="153"/>
      <c r="JCR33" s="153"/>
      <c r="JCS33" s="153"/>
      <c r="JCT33" s="153"/>
      <c r="JCU33" s="153"/>
      <c r="JCV33" s="153"/>
      <c r="JCW33" s="153"/>
      <c r="JCX33" s="153"/>
      <c r="JCY33" s="153"/>
      <c r="JCZ33" s="153"/>
      <c r="JDA33" s="153"/>
      <c r="JDB33" s="153"/>
      <c r="JDC33" s="153"/>
      <c r="JDD33" s="153"/>
      <c r="JDE33" s="153"/>
      <c r="JDF33" s="153"/>
      <c r="JDG33" s="153"/>
      <c r="JDH33" s="153"/>
      <c r="JDI33" s="153"/>
      <c r="JDJ33" s="153"/>
      <c r="JDK33" s="153"/>
      <c r="JDL33" s="153"/>
      <c r="JDM33" s="153"/>
      <c r="JDN33" s="153"/>
      <c r="JDO33" s="153"/>
      <c r="JDP33" s="153"/>
      <c r="JDQ33" s="153"/>
      <c r="JDR33" s="153"/>
      <c r="JDS33" s="153"/>
      <c r="JDT33" s="153"/>
      <c r="JDU33" s="153"/>
      <c r="JDV33" s="153"/>
      <c r="JDW33" s="153"/>
      <c r="JDX33" s="153"/>
      <c r="JDY33" s="153"/>
      <c r="JDZ33" s="153"/>
      <c r="JEA33" s="153"/>
      <c r="JEB33" s="153"/>
      <c r="JEC33" s="153"/>
      <c r="JED33" s="153"/>
      <c r="JEE33" s="153"/>
      <c r="JEF33" s="153"/>
      <c r="JEG33" s="153"/>
      <c r="JEH33" s="153"/>
      <c r="JEI33" s="153"/>
      <c r="JEJ33" s="153"/>
      <c r="JEK33" s="153"/>
      <c r="JEL33" s="153"/>
      <c r="JEM33" s="153"/>
      <c r="JEN33" s="153"/>
      <c r="JEO33" s="153"/>
      <c r="JEP33" s="153"/>
      <c r="JEQ33" s="153"/>
      <c r="JER33" s="153"/>
      <c r="JES33" s="153"/>
      <c r="JET33" s="153"/>
      <c r="JEU33" s="153"/>
      <c r="JEV33" s="153"/>
      <c r="JEW33" s="153"/>
      <c r="JEX33" s="153"/>
      <c r="JEY33" s="153"/>
      <c r="JEZ33" s="153"/>
      <c r="JFA33" s="153"/>
      <c r="JFB33" s="153"/>
      <c r="JFC33" s="153"/>
      <c r="JFD33" s="153"/>
      <c r="JFE33" s="153"/>
      <c r="JFF33" s="153"/>
      <c r="JFG33" s="153"/>
      <c r="JFH33" s="153"/>
      <c r="JFI33" s="153"/>
      <c r="JFJ33" s="153"/>
      <c r="JFK33" s="153"/>
      <c r="JFL33" s="153"/>
      <c r="JFM33" s="153"/>
      <c r="JFN33" s="153"/>
      <c r="JFO33" s="153"/>
      <c r="JFP33" s="153"/>
      <c r="JFQ33" s="153"/>
      <c r="JFR33" s="153"/>
      <c r="JFS33" s="153"/>
      <c r="JFT33" s="153"/>
      <c r="JFU33" s="153"/>
      <c r="JFV33" s="153"/>
      <c r="JFW33" s="153"/>
      <c r="JFX33" s="153"/>
      <c r="JFY33" s="153"/>
      <c r="JFZ33" s="153"/>
      <c r="JGA33" s="153"/>
      <c r="JGB33" s="153"/>
      <c r="JGC33" s="153"/>
      <c r="JGD33" s="153"/>
      <c r="JGE33" s="153"/>
      <c r="JGF33" s="153"/>
      <c r="JGG33" s="153"/>
      <c r="JGH33" s="153"/>
      <c r="JGI33" s="153"/>
      <c r="JGJ33" s="153"/>
      <c r="JGK33" s="153"/>
      <c r="JGL33" s="153"/>
      <c r="JGM33" s="153"/>
      <c r="JGN33" s="153"/>
      <c r="JGO33" s="153"/>
      <c r="JGP33" s="153"/>
      <c r="JGQ33" s="153"/>
      <c r="JGR33" s="153"/>
      <c r="JGS33" s="153"/>
      <c r="JGT33" s="153"/>
      <c r="JGU33" s="153"/>
      <c r="JGV33" s="153"/>
      <c r="JGW33" s="153"/>
      <c r="JGX33" s="153"/>
      <c r="JGY33" s="153"/>
      <c r="JGZ33" s="153"/>
      <c r="JHA33" s="153"/>
      <c r="JHB33" s="153"/>
      <c r="JHC33" s="153"/>
      <c r="JHD33" s="153"/>
      <c r="JHE33" s="153"/>
      <c r="JHF33" s="153"/>
      <c r="JHG33" s="153"/>
      <c r="JHH33" s="153"/>
      <c r="JHI33" s="153"/>
      <c r="JHJ33" s="153"/>
      <c r="JHK33" s="153"/>
      <c r="JHL33" s="153"/>
      <c r="JHM33" s="153"/>
      <c r="JHN33" s="153"/>
      <c r="JHO33" s="153"/>
      <c r="JHP33" s="153"/>
      <c r="JHQ33" s="153"/>
      <c r="JHR33" s="153"/>
      <c r="JHS33" s="153"/>
      <c r="JHT33" s="153"/>
      <c r="JHU33" s="153"/>
      <c r="JHV33" s="153"/>
      <c r="JHW33" s="153"/>
      <c r="JHX33" s="153"/>
      <c r="JHY33" s="153"/>
      <c r="JHZ33" s="153"/>
      <c r="JIA33" s="153"/>
      <c r="JIB33" s="153"/>
      <c r="JIC33" s="153"/>
      <c r="JID33" s="153"/>
      <c r="JIE33" s="153"/>
      <c r="JIF33" s="153"/>
      <c r="JIG33" s="153"/>
      <c r="JIH33" s="153"/>
      <c r="JII33" s="153"/>
      <c r="JIJ33" s="153"/>
      <c r="JIK33" s="153"/>
      <c r="JIL33" s="153"/>
      <c r="JIM33" s="153"/>
      <c r="JIN33" s="153"/>
      <c r="JIO33" s="153"/>
      <c r="JIP33" s="153"/>
      <c r="JIQ33" s="153"/>
      <c r="JIR33" s="153"/>
      <c r="JIS33" s="153"/>
      <c r="JIT33" s="153"/>
      <c r="JIU33" s="153"/>
      <c r="JIV33" s="153"/>
      <c r="JIW33" s="153"/>
      <c r="JIX33" s="153"/>
      <c r="JIY33" s="153"/>
      <c r="JIZ33" s="153"/>
      <c r="JJA33" s="153"/>
      <c r="JJB33" s="153"/>
      <c r="JJC33" s="153"/>
      <c r="JJD33" s="153"/>
      <c r="JJE33" s="153"/>
      <c r="JJF33" s="153"/>
      <c r="JJG33" s="153"/>
      <c r="JJH33" s="153"/>
      <c r="JJI33" s="153"/>
      <c r="JJJ33" s="153"/>
      <c r="JJK33" s="153"/>
      <c r="JJL33" s="153"/>
      <c r="JJM33" s="153"/>
      <c r="JJN33" s="153"/>
      <c r="JJO33" s="153"/>
      <c r="JJP33" s="153"/>
      <c r="JJQ33" s="153"/>
      <c r="JJR33" s="153"/>
      <c r="JJS33" s="153"/>
      <c r="JJT33" s="153"/>
      <c r="JJU33" s="153"/>
      <c r="JJV33" s="153"/>
      <c r="JJW33" s="153"/>
      <c r="JJX33" s="153"/>
      <c r="JJY33" s="153"/>
      <c r="JJZ33" s="153"/>
      <c r="JKA33" s="153"/>
      <c r="JKB33" s="153"/>
      <c r="JKC33" s="153"/>
      <c r="JKD33" s="153"/>
      <c r="JKE33" s="153"/>
      <c r="JKF33" s="153"/>
      <c r="JKG33" s="153"/>
      <c r="JKH33" s="153"/>
      <c r="JKI33" s="153"/>
      <c r="JKJ33" s="153"/>
      <c r="JKK33" s="153"/>
      <c r="JKL33" s="153"/>
      <c r="JKM33" s="153"/>
      <c r="JKN33" s="153"/>
      <c r="JKO33" s="153"/>
      <c r="JKP33" s="153"/>
      <c r="JKQ33" s="153"/>
      <c r="JKR33" s="153"/>
      <c r="JKS33" s="153"/>
      <c r="JKT33" s="153"/>
      <c r="JKU33" s="153"/>
      <c r="JKV33" s="153"/>
      <c r="JKW33" s="153"/>
      <c r="JKX33" s="153"/>
      <c r="JKY33" s="153"/>
      <c r="JKZ33" s="153"/>
      <c r="JLA33" s="153"/>
      <c r="JLB33" s="153"/>
      <c r="JLC33" s="153"/>
      <c r="JLD33" s="153"/>
      <c r="JLE33" s="153"/>
      <c r="JLF33" s="153"/>
      <c r="JLG33" s="153"/>
      <c r="JLH33" s="153"/>
      <c r="JLI33" s="153"/>
      <c r="JLJ33" s="153"/>
      <c r="JLK33" s="153"/>
      <c r="JLL33" s="153"/>
      <c r="JLM33" s="153"/>
      <c r="JLN33" s="153"/>
      <c r="JLO33" s="153"/>
      <c r="JLP33" s="153"/>
      <c r="JLQ33" s="153"/>
      <c r="JLR33" s="153"/>
      <c r="JLS33" s="153"/>
      <c r="JLT33" s="153"/>
      <c r="JLU33" s="153"/>
      <c r="JLV33" s="153"/>
      <c r="JLW33" s="153"/>
      <c r="JLX33" s="153"/>
      <c r="JLY33" s="153"/>
      <c r="JLZ33" s="153"/>
      <c r="JMA33" s="153"/>
      <c r="JMB33" s="153"/>
      <c r="JMC33" s="153"/>
      <c r="JMD33" s="153"/>
      <c r="JME33" s="153"/>
      <c r="JMF33" s="153"/>
      <c r="JMG33" s="153"/>
      <c r="JMH33" s="153"/>
      <c r="JMI33" s="153"/>
      <c r="JMJ33" s="153"/>
      <c r="JMK33" s="153"/>
      <c r="JML33" s="153"/>
      <c r="JMM33" s="153"/>
      <c r="JMN33" s="153"/>
      <c r="JMO33" s="153"/>
      <c r="JMP33" s="153"/>
      <c r="JMQ33" s="153"/>
      <c r="JMR33" s="153"/>
      <c r="JMS33" s="153"/>
      <c r="JMT33" s="153"/>
      <c r="JMU33" s="153"/>
      <c r="JMV33" s="153"/>
      <c r="JMW33" s="153"/>
      <c r="JMX33" s="153"/>
      <c r="JMY33" s="153"/>
      <c r="JMZ33" s="153"/>
      <c r="JNA33" s="153"/>
      <c r="JNB33" s="153"/>
      <c r="JNC33" s="153"/>
      <c r="JND33" s="153"/>
      <c r="JNE33" s="153"/>
      <c r="JNF33" s="153"/>
      <c r="JNG33" s="153"/>
      <c r="JNH33" s="153"/>
      <c r="JNI33" s="153"/>
      <c r="JNJ33" s="153"/>
      <c r="JNK33" s="153"/>
      <c r="JNL33" s="153"/>
      <c r="JNM33" s="153"/>
      <c r="JNN33" s="153"/>
      <c r="JNO33" s="153"/>
      <c r="JNP33" s="153"/>
      <c r="JNQ33" s="153"/>
      <c r="JNR33" s="153"/>
      <c r="JNS33" s="153"/>
      <c r="JNT33" s="153"/>
      <c r="JNU33" s="153"/>
      <c r="JNV33" s="153"/>
      <c r="JNW33" s="153"/>
      <c r="JNX33" s="153"/>
      <c r="JNY33" s="153"/>
      <c r="JNZ33" s="153"/>
      <c r="JOA33" s="153"/>
      <c r="JOB33" s="153"/>
      <c r="JOC33" s="153"/>
      <c r="JOD33" s="153"/>
      <c r="JOE33" s="153"/>
      <c r="JOF33" s="153"/>
      <c r="JOG33" s="153"/>
      <c r="JOH33" s="153"/>
      <c r="JOI33" s="153"/>
      <c r="JOJ33" s="153"/>
      <c r="JOK33" s="153"/>
      <c r="JOL33" s="153"/>
      <c r="JOM33" s="153"/>
      <c r="JON33" s="153"/>
      <c r="JOO33" s="153"/>
      <c r="JOP33" s="153"/>
      <c r="JOQ33" s="153"/>
      <c r="JOR33" s="153"/>
      <c r="JOS33" s="153"/>
      <c r="JOT33" s="153"/>
      <c r="JOU33" s="153"/>
      <c r="JOV33" s="153"/>
      <c r="JOW33" s="153"/>
      <c r="JOX33" s="153"/>
      <c r="JOY33" s="153"/>
      <c r="JOZ33" s="153"/>
      <c r="JPA33" s="153"/>
      <c r="JPB33" s="153"/>
      <c r="JPC33" s="153"/>
      <c r="JPD33" s="153"/>
      <c r="JPE33" s="153"/>
      <c r="JPF33" s="153"/>
      <c r="JPG33" s="153"/>
      <c r="JPH33" s="153"/>
      <c r="JPI33" s="153"/>
      <c r="JPJ33" s="153"/>
      <c r="JPK33" s="153"/>
      <c r="JPL33" s="153"/>
      <c r="JPM33" s="153"/>
      <c r="JPN33" s="153"/>
      <c r="JPO33" s="153"/>
      <c r="JPP33" s="153"/>
      <c r="JPQ33" s="153"/>
      <c r="JPR33" s="153"/>
      <c r="JPS33" s="153"/>
      <c r="JPT33" s="153"/>
      <c r="JPU33" s="153"/>
      <c r="JPV33" s="153"/>
      <c r="JPW33" s="153"/>
      <c r="JPX33" s="153"/>
      <c r="JPY33" s="153"/>
      <c r="JPZ33" s="153"/>
      <c r="JQA33" s="153"/>
      <c r="JQB33" s="153"/>
      <c r="JQC33" s="153"/>
      <c r="JQD33" s="153"/>
      <c r="JQE33" s="153"/>
      <c r="JQF33" s="153"/>
      <c r="JQG33" s="153"/>
      <c r="JQH33" s="153"/>
      <c r="JQI33" s="153"/>
      <c r="JQJ33" s="153"/>
      <c r="JQK33" s="153"/>
      <c r="JQL33" s="153"/>
      <c r="JQM33" s="153"/>
      <c r="JQN33" s="153"/>
      <c r="JQO33" s="153"/>
      <c r="JQP33" s="153"/>
      <c r="JQQ33" s="153"/>
      <c r="JQR33" s="153"/>
      <c r="JQS33" s="153"/>
      <c r="JQT33" s="153"/>
      <c r="JQU33" s="153"/>
      <c r="JQV33" s="153"/>
      <c r="JQW33" s="153"/>
      <c r="JQX33" s="153"/>
      <c r="JQY33" s="153"/>
      <c r="JQZ33" s="153"/>
      <c r="JRA33" s="153"/>
      <c r="JRB33" s="153"/>
      <c r="JRC33" s="153"/>
      <c r="JRD33" s="153"/>
      <c r="JRE33" s="153"/>
      <c r="JRF33" s="153"/>
      <c r="JRG33" s="153"/>
      <c r="JRH33" s="153"/>
      <c r="JRI33" s="153"/>
      <c r="JRJ33" s="153"/>
      <c r="JRK33" s="153"/>
      <c r="JRL33" s="153"/>
      <c r="JRM33" s="153"/>
      <c r="JRN33" s="153"/>
      <c r="JRO33" s="153"/>
      <c r="JRP33" s="153"/>
      <c r="JRQ33" s="153"/>
      <c r="JRR33" s="153"/>
      <c r="JRS33" s="153"/>
      <c r="JRT33" s="153"/>
      <c r="JRU33" s="153"/>
      <c r="JRV33" s="153"/>
      <c r="JRW33" s="153"/>
      <c r="JRX33" s="153"/>
      <c r="JRY33" s="153"/>
      <c r="JRZ33" s="153"/>
      <c r="JSA33" s="153"/>
      <c r="JSB33" s="153"/>
      <c r="JSC33" s="153"/>
      <c r="JSD33" s="153"/>
      <c r="JSE33" s="153"/>
      <c r="JSF33" s="153"/>
      <c r="JSG33" s="153"/>
      <c r="JSH33" s="153"/>
      <c r="JSI33" s="153"/>
      <c r="JSJ33" s="153"/>
      <c r="JSK33" s="153"/>
      <c r="JSL33" s="153"/>
      <c r="JSM33" s="153"/>
      <c r="JSN33" s="153"/>
      <c r="JSO33" s="153"/>
      <c r="JSP33" s="153"/>
      <c r="JSQ33" s="153"/>
      <c r="JSR33" s="153"/>
      <c r="JSS33" s="153"/>
      <c r="JST33" s="153"/>
      <c r="JSU33" s="153"/>
      <c r="JSV33" s="153"/>
      <c r="JSW33" s="153"/>
      <c r="JSX33" s="153"/>
      <c r="JSY33" s="153"/>
      <c r="JSZ33" s="153"/>
      <c r="JTA33" s="153"/>
      <c r="JTB33" s="153"/>
      <c r="JTC33" s="153"/>
      <c r="JTD33" s="153"/>
      <c r="JTE33" s="153"/>
      <c r="JTF33" s="153"/>
      <c r="JTG33" s="153"/>
      <c r="JTH33" s="153"/>
      <c r="JTI33" s="153"/>
      <c r="JTJ33" s="153"/>
      <c r="JTK33" s="153"/>
      <c r="JTL33" s="153"/>
      <c r="JTM33" s="153"/>
      <c r="JTN33" s="153"/>
      <c r="JTO33" s="153"/>
      <c r="JTP33" s="153"/>
      <c r="JTQ33" s="153"/>
      <c r="JTR33" s="153"/>
      <c r="JTS33" s="153"/>
      <c r="JTT33" s="153"/>
      <c r="JTU33" s="153"/>
      <c r="JTV33" s="153"/>
      <c r="JTW33" s="153"/>
      <c r="JTX33" s="153"/>
      <c r="JTY33" s="153"/>
      <c r="JTZ33" s="153"/>
      <c r="JUA33" s="153"/>
      <c r="JUB33" s="153"/>
      <c r="JUC33" s="153"/>
      <c r="JUD33" s="153"/>
      <c r="JUE33" s="153"/>
      <c r="JUF33" s="153"/>
      <c r="JUG33" s="153"/>
      <c r="JUH33" s="153"/>
      <c r="JUI33" s="153"/>
      <c r="JUJ33" s="153"/>
      <c r="JUK33" s="153"/>
      <c r="JUL33" s="153"/>
      <c r="JUM33" s="153"/>
      <c r="JUN33" s="153"/>
      <c r="JUO33" s="153"/>
      <c r="JUP33" s="153"/>
      <c r="JUQ33" s="153"/>
      <c r="JUR33" s="153"/>
      <c r="JUS33" s="153"/>
      <c r="JUT33" s="153"/>
      <c r="JUU33" s="153"/>
      <c r="JUV33" s="153"/>
      <c r="JUW33" s="153"/>
      <c r="JUX33" s="153"/>
      <c r="JUY33" s="153"/>
      <c r="JUZ33" s="153"/>
      <c r="JVA33" s="153"/>
      <c r="JVB33" s="153"/>
      <c r="JVC33" s="153"/>
      <c r="JVD33" s="153"/>
      <c r="JVE33" s="153"/>
      <c r="JVF33" s="153"/>
      <c r="JVG33" s="153"/>
      <c r="JVH33" s="153"/>
      <c r="JVI33" s="153"/>
      <c r="JVJ33" s="153"/>
      <c r="JVK33" s="153"/>
      <c r="JVL33" s="153"/>
      <c r="JVM33" s="153"/>
      <c r="JVN33" s="153"/>
      <c r="JVO33" s="153"/>
      <c r="JVP33" s="153"/>
      <c r="JVQ33" s="153"/>
      <c r="JVR33" s="153"/>
      <c r="JVS33" s="153"/>
      <c r="JVT33" s="153"/>
      <c r="JVU33" s="153"/>
      <c r="JVV33" s="153"/>
      <c r="JVW33" s="153"/>
      <c r="JVX33" s="153"/>
      <c r="JVY33" s="153"/>
      <c r="JVZ33" s="153"/>
      <c r="JWA33" s="153"/>
      <c r="JWB33" s="153"/>
      <c r="JWC33" s="153"/>
      <c r="JWD33" s="153"/>
      <c r="JWE33" s="153"/>
      <c r="JWF33" s="153"/>
      <c r="JWG33" s="153"/>
      <c r="JWH33" s="153"/>
      <c r="JWI33" s="153"/>
      <c r="JWJ33" s="153"/>
      <c r="JWK33" s="153"/>
      <c r="JWL33" s="153"/>
      <c r="JWM33" s="153"/>
      <c r="JWN33" s="153"/>
      <c r="JWO33" s="153"/>
      <c r="JWP33" s="153"/>
      <c r="JWQ33" s="153"/>
      <c r="JWR33" s="153"/>
      <c r="JWS33" s="153"/>
      <c r="JWT33" s="153"/>
      <c r="JWU33" s="153"/>
      <c r="JWV33" s="153"/>
      <c r="JWW33" s="153"/>
      <c r="JWX33" s="153"/>
      <c r="JWY33" s="153"/>
      <c r="JWZ33" s="153"/>
      <c r="JXA33" s="153"/>
      <c r="JXB33" s="153"/>
      <c r="JXC33" s="153"/>
      <c r="JXD33" s="153"/>
      <c r="JXE33" s="153"/>
      <c r="JXF33" s="153"/>
      <c r="JXG33" s="153"/>
      <c r="JXH33" s="153"/>
      <c r="JXI33" s="153"/>
      <c r="JXJ33" s="153"/>
      <c r="JXK33" s="153"/>
      <c r="JXL33" s="153"/>
      <c r="JXM33" s="153"/>
      <c r="JXN33" s="153"/>
      <c r="JXO33" s="153"/>
      <c r="JXP33" s="153"/>
      <c r="JXQ33" s="153"/>
      <c r="JXR33" s="153"/>
      <c r="JXS33" s="153"/>
      <c r="JXT33" s="153"/>
      <c r="JXU33" s="153"/>
      <c r="JXV33" s="153"/>
      <c r="JXW33" s="153"/>
      <c r="JXX33" s="153"/>
      <c r="JXY33" s="153"/>
      <c r="JXZ33" s="153"/>
      <c r="JYA33" s="153"/>
      <c r="JYB33" s="153"/>
      <c r="JYC33" s="153"/>
      <c r="JYD33" s="153"/>
      <c r="JYE33" s="153"/>
      <c r="JYF33" s="153"/>
      <c r="JYG33" s="153"/>
      <c r="JYH33" s="153"/>
      <c r="JYI33" s="153"/>
      <c r="JYJ33" s="153"/>
      <c r="JYK33" s="153"/>
      <c r="JYL33" s="153"/>
      <c r="JYM33" s="153"/>
      <c r="JYN33" s="153"/>
      <c r="JYO33" s="153"/>
      <c r="JYP33" s="153"/>
      <c r="JYQ33" s="153"/>
      <c r="JYR33" s="153"/>
      <c r="JYS33" s="153"/>
      <c r="JYT33" s="153"/>
      <c r="JYU33" s="153"/>
      <c r="JYV33" s="153"/>
      <c r="JYW33" s="153"/>
      <c r="JYX33" s="153"/>
      <c r="JYY33" s="153"/>
      <c r="JYZ33" s="153"/>
      <c r="JZA33" s="153"/>
      <c r="JZB33" s="153"/>
      <c r="JZC33" s="153"/>
      <c r="JZD33" s="153"/>
      <c r="JZE33" s="153"/>
      <c r="JZF33" s="153"/>
      <c r="JZG33" s="153"/>
      <c r="JZH33" s="153"/>
      <c r="JZI33" s="153"/>
      <c r="JZJ33" s="153"/>
      <c r="JZK33" s="153"/>
      <c r="JZL33" s="153"/>
      <c r="JZM33" s="153"/>
      <c r="JZN33" s="153"/>
      <c r="JZO33" s="153"/>
      <c r="JZP33" s="153"/>
      <c r="JZQ33" s="153"/>
      <c r="JZR33" s="153"/>
      <c r="JZS33" s="153"/>
      <c r="JZT33" s="153"/>
      <c r="JZU33" s="153"/>
      <c r="JZV33" s="153"/>
      <c r="JZW33" s="153"/>
      <c r="JZX33" s="153"/>
      <c r="JZY33" s="153"/>
      <c r="JZZ33" s="153"/>
      <c r="KAA33" s="153"/>
      <c r="KAB33" s="153"/>
      <c r="KAC33" s="153"/>
      <c r="KAD33" s="153"/>
      <c r="KAE33" s="153"/>
      <c r="KAF33" s="153"/>
      <c r="KAG33" s="153"/>
      <c r="KAH33" s="153"/>
      <c r="KAI33" s="153"/>
      <c r="KAJ33" s="153"/>
      <c r="KAK33" s="153"/>
      <c r="KAL33" s="153"/>
      <c r="KAM33" s="153"/>
      <c r="KAN33" s="153"/>
      <c r="KAO33" s="153"/>
      <c r="KAP33" s="153"/>
      <c r="KAQ33" s="153"/>
      <c r="KAR33" s="153"/>
      <c r="KAS33" s="153"/>
      <c r="KAT33" s="153"/>
      <c r="KAU33" s="153"/>
      <c r="KAV33" s="153"/>
      <c r="KAW33" s="153"/>
      <c r="KAX33" s="153"/>
      <c r="KAY33" s="153"/>
      <c r="KAZ33" s="153"/>
      <c r="KBA33" s="153"/>
      <c r="KBB33" s="153"/>
      <c r="KBC33" s="153"/>
      <c r="KBD33" s="153"/>
      <c r="KBE33" s="153"/>
      <c r="KBF33" s="153"/>
      <c r="KBG33" s="153"/>
      <c r="KBH33" s="153"/>
      <c r="KBI33" s="153"/>
      <c r="KBJ33" s="153"/>
      <c r="KBK33" s="153"/>
      <c r="KBL33" s="153"/>
      <c r="KBM33" s="153"/>
      <c r="KBN33" s="153"/>
      <c r="KBO33" s="153"/>
      <c r="KBP33" s="153"/>
      <c r="KBQ33" s="153"/>
      <c r="KBR33" s="153"/>
      <c r="KBS33" s="153"/>
      <c r="KBT33" s="153"/>
      <c r="KBU33" s="153"/>
      <c r="KBV33" s="153"/>
      <c r="KBW33" s="153"/>
      <c r="KBX33" s="153"/>
      <c r="KBY33" s="153"/>
      <c r="KBZ33" s="153"/>
      <c r="KCA33" s="153"/>
      <c r="KCB33" s="153"/>
      <c r="KCC33" s="153"/>
      <c r="KCD33" s="153"/>
      <c r="KCE33" s="153"/>
      <c r="KCF33" s="153"/>
      <c r="KCG33" s="153"/>
      <c r="KCH33" s="153"/>
      <c r="KCI33" s="153"/>
      <c r="KCJ33" s="153"/>
      <c r="KCK33" s="153"/>
      <c r="KCL33" s="153"/>
      <c r="KCM33" s="153"/>
      <c r="KCN33" s="153"/>
      <c r="KCO33" s="153"/>
      <c r="KCP33" s="153"/>
      <c r="KCQ33" s="153"/>
      <c r="KCR33" s="153"/>
      <c r="KCS33" s="153"/>
      <c r="KCT33" s="153"/>
      <c r="KCU33" s="153"/>
      <c r="KCV33" s="153"/>
      <c r="KCW33" s="153"/>
      <c r="KCX33" s="153"/>
      <c r="KCY33" s="153"/>
      <c r="KCZ33" s="153"/>
      <c r="KDA33" s="153"/>
      <c r="KDB33" s="153"/>
      <c r="KDC33" s="153"/>
      <c r="KDD33" s="153"/>
      <c r="KDE33" s="153"/>
      <c r="KDF33" s="153"/>
      <c r="KDG33" s="153"/>
      <c r="KDH33" s="153"/>
      <c r="KDI33" s="153"/>
      <c r="KDJ33" s="153"/>
      <c r="KDK33" s="153"/>
      <c r="KDL33" s="153"/>
      <c r="KDM33" s="153"/>
      <c r="KDN33" s="153"/>
      <c r="KDO33" s="153"/>
      <c r="KDP33" s="153"/>
      <c r="KDQ33" s="153"/>
      <c r="KDR33" s="153"/>
      <c r="KDS33" s="153"/>
      <c r="KDT33" s="153"/>
      <c r="KDU33" s="153"/>
      <c r="KDV33" s="153"/>
      <c r="KDW33" s="153"/>
      <c r="KDX33" s="153"/>
      <c r="KDY33" s="153"/>
      <c r="KDZ33" s="153"/>
      <c r="KEA33" s="153"/>
      <c r="KEB33" s="153"/>
      <c r="KEC33" s="153"/>
      <c r="KED33" s="153"/>
      <c r="KEE33" s="153"/>
      <c r="KEF33" s="153"/>
      <c r="KEG33" s="153"/>
      <c r="KEH33" s="153"/>
      <c r="KEI33" s="153"/>
      <c r="KEJ33" s="153"/>
      <c r="KEK33" s="153"/>
      <c r="KEL33" s="153"/>
      <c r="KEM33" s="153"/>
      <c r="KEN33" s="153"/>
      <c r="KEO33" s="153"/>
      <c r="KEP33" s="153"/>
      <c r="KEQ33" s="153"/>
      <c r="KER33" s="153"/>
      <c r="KES33" s="153"/>
      <c r="KET33" s="153"/>
      <c r="KEU33" s="153"/>
      <c r="KEV33" s="153"/>
      <c r="KEW33" s="153"/>
      <c r="KEX33" s="153"/>
      <c r="KEY33" s="153"/>
      <c r="KEZ33" s="153"/>
      <c r="KFA33" s="153"/>
      <c r="KFB33" s="153"/>
      <c r="KFC33" s="153"/>
      <c r="KFD33" s="153"/>
      <c r="KFE33" s="153"/>
      <c r="KFF33" s="153"/>
      <c r="KFG33" s="153"/>
      <c r="KFH33" s="153"/>
      <c r="KFI33" s="153"/>
      <c r="KFJ33" s="153"/>
      <c r="KFK33" s="153"/>
      <c r="KFL33" s="153"/>
      <c r="KFM33" s="153"/>
      <c r="KFN33" s="153"/>
      <c r="KFO33" s="153"/>
      <c r="KFP33" s="153"/>
      <c r="KFQ33" s="153"/>
      <c r="KFR33" s="153"/>
      <c r="KFS33" s="153"/>
      <c r="KFT33" s="153"/>
      <c r="KFU33" s="153"/>
      <c r="KFV33" s="153"/>
      <c r="KFW33" s="153"/>
      <c r="KFX33" s="153"/>
      <c r="KFY33" s="153"/>
      <c r="KFZ33" s="153"/>
      <c r="KGA33" s="153"/>
      <c r="KGB33" s="153"/>
      <c r="KGC33" s="153"/>
      <c r="KGD33" s="153"/>
      <c r="KGE33" s="153"/>
      <c r="KGF33" s="153"/>
      <c r="KGG33" s="153"/>
      <c r="KGH33" s="153"/>
      <c r="KGI33" s="153"/>
      <c r="KGJ33" s="153"/>
      <c r="KGK33" s="153"/>
      <c r="KGL33" s="153"/>
      <c r="KGM33" s="153"/>
      <c r="KGN33" s="153"/>
      <c r="KGO33" s="153"/>
      <c r="KGP33" s="153"/>
      <c r="KGQ33" s="153"/>
      <c r="KGR33" s="153"/>
      <c r="KGS33" s="153"/>
      <c r="KGT33" s="153"/>
      <c r="KGU33" s="153"/>
      <c r="KGV33" s="153"/>
      <c r="KGW33" s="153"/>
      <c r="KGX33" s="153"/>
      <c r="KGY33" s="153"/>
      <c r="KGZ33" s="153"/>
      <c r="KHA33" s="153"/>
      <c r="KHB33" s="153"/>
      <c r="KHC33" s="153"/>
      <c r="KHD33" s="153"/>
      <c r="KHE33" s="153"/>
      <c r="KHF33" s="153"/>
      <c r="KHG33" s="153"/>
      <c r="KHH33" s="153"/>
      <c r="KHI33" s="153"/>
      <c r="KHJ33" s="153"/>
      <c r="KHK33" s="153"/>
      <c r="KHL33" s="153"/>
      <c r="KHM33" s="153"/>
      <c r="KHN33" s="153"/>
      <c r="KHO33" s="153"/>
      <c r="KHP33" s="153"/>
      <c r="KHQ33" s="153"/>
      <c r="KHR33" s="153"/>
      <c r="KHS33" s="153"/>
      <c r="KHT33" s="153"/>
      <c r="KHU33" s="153"/>
      <c r="KHV33" s="153"/>
      <c r="KHW33" s="153"/>
      <c r="KHX33" s="153"/>
      <c r="KHY33" s="153"/>
      <c r="KHZ33" s="153"/>
      <c r="KIA33" s="153"/>
      <c r="KIB33" s="153"/>
      <c r="KIC33" s="153"/>
      <c r="KID33" s="153"/>
      <c r="KIE33" s="153"/>
      <c r="KIF33" s="153"/>
      <c r="KIG33" s="153"/>
      <c r="KIH33" s="153"/>
      <c r="KII33" s="153"/>
      <c r="KIJ33" s="153"/>
      <c r="KIK33" s="153"/>
      <c r="KIL33" s="153"/>
      <c r="KIM33" s="153"/>
      <c r="KIN33" s="153"/>
      <c r="KIO33" s="153"/>
      <c r="KIP33" s="153"/>
      <c r="KIQ33" s="153"/>
      <c r="KIR33" s="153"/>
      <c r="KIS33" s="153"/>
      <c r="KIT33" s="153"/>
      <c r="KIU33" s="153"/>
      <c r="KIV33" s="153"/>
      <c r="KIW33" s="153"/>
      <c r="KIX33" s="153"/>
      <c r="KIY33" s="153"/>
      <c r="KIZ33" s="153"/>
      <c r="KJA33" s="153"/>
      <c r="KJB33" s="153"/>
      <c r="KJC33" s="153"/>
      <c r="KJD33" s="153"/>
      <c r="KJE33" s="153"/>
      <c r="KJF33" s="153"/>
      <c r="KJG33" s="153"/>
      <c r="KJH33" s="153"/>
      <c r="KJI33" s="153"/>
      <c r="KJJ33" s="153"/>
      <c r="KJK33" s="153"/>
      <c r="KJL33" s="153"/>
      <c r="KJM33" s="153"/>
      <c r="KJN33" s="153"/>
      <c r="KJO33" s="153"/>
      <c r="KJP33" s="153"/>
      <c r="KJQ33" s="153"/>
      <c r="KJR33" s="153"/>
      <c r="KJS33" s="153"/>
      <c r="KJT33" s="153"/>
      <c r="KJU33" s="153"/>
      <c r="KJV33" s="153"/>
      <c r="KJW33" s="153"/>
      <c r="KJX33" s="153"/>
      <c r="KJY33" s="153"/>
      <c r="KJZ33" s="153"/>
      <c r="KKA33" s="153"/>
      <c r="KKB33" s="153"/>
      <c r="KKC33" s="153"/>
      <c r="KKD33" s="153"/>
      <c r="KKE33" s="153"/>
      <c r="KKF33" s="153"/>
      <c r="KKG33" s="153"/>
      <c r="KKH33" s="153"/>
      <c r="KKI33" s="153"/>
      <c r="KKJ33" s="153"/>
      <c r="KKK33" s="153"/>
      <c r="KKL33" s="153"/>
      <c r="KKM33" s="153"/>
      <c r="KKN33" s="153"/>
      <c r="KKO33" s="153"/>
      <c r="KKP33" s="153"/>
      <c r="KKQ33" s="153"/>
      <c r="KKR33" s="153"/>
      <c r="KKS33" s="153"/>
      <c r="KKT33" s="153"/>
      <c r="KKU33" s="153"/>
      <c r="KKV33" s="153"/>
      <c r="KKW33" s="153"/>
      <c r="KKX33" s="153"/>
      <c r="KKY33" s="153"/>
      <c r="KKZ33" s="153"/>
      <c r="KLA33" s="153"/>
      <c r="KLB33" s="153"/>
      <c r="KLC33" s="153"/>
      <c r="KLD33" s="153"/>
      <c r="KLE33" s="153"/>
      <c r="KLF33" s="153"/>
      <c r="KLG33" s="153"/>
      <c r="KLH33" s="153"/>
      <c r="KLI33" s="153"/>
      <c r="KLJ33" s="153"/>
      <c r="KLK33" s="153"/>
      <c r="KLL33" s="153"/>
      <c r="KLM33" s="153"/>
      <c r="KLN33" s="153"/>
      <c r="KLO33" s="153"/>
      <c r="KLP33" s="153"/>
      <c r="KLQ33" s="153"/>
      <c r="KLR33" s="153"/>
      <c r="KLS33" s="153"/>
      <c r="KLT33" s="153"/>
      <c r="KLU33" s="153"/>
      <c r="KLV33" s="153"/>
      <c r="KLW33" s="153"/>
      <c r="KLX33" s="153"/>
      <c r="KLY33" s="153"/>
      <c r="KLZ33" s="153"/>
      <c r="KMA33" s="153"/>
      <c r="KMB33" s="153"/>
      <c r="KMC33" s="153"/>
      <c r="KMD33" s="153"/>
      <c r="KME33" s="153"/>
      <c r="KMF33" s="153"/>
      <c r="KMG33" s="153"/>
      <c r="KMH33" s="153"/>
      <c r="KMI33" s="153"/>
      <c r="KMJ33" s="153"/>
      <c r="KMK33" s="153"/>
      <c r="KML33" s="153"/>
      <c r="KMM33" s="153"/>
      <c r="KMN33" s="153"/>
      <c r="KMO33" s="153"/>
      <c r="KMP33" s="153"/>
      <c r="KMQ33" s="153"/>
      <c r="KMR33" s="153"/>
      <c r="KMS33" s="153"/>
      <c r="KMT33" s="153"/>
      <c r="KMU33" s="153"/>
      <c r="KMV33" s="153"/>
      <c r="KMW33" s="153"/>
      <c r="KMX33" s="153"/>
      <c r="KMY33" s="153"/>
      <c r="KMZ33" s="153"/>
      <c r="KNA33" s="153"/>
      <c r="KNB33" s="153"/>
      <c r="KNC33" s="153"/>
      <c r="KND33" s="153"/>
      <c r="KNE33" s="153"/>
      <c r="KNF33" s="153"/>
      <c r="KNG33" s="153"/>
      <c r="KNH33" s="153"/>
      <c r="KNI33" s="153"/>
      <c r="KNJ33" s="153"/>
      <c r="KNK33" s="153"/>
      <c r="KNL33" s="153"/>
      <c r="KNM33" s="153"/>
      <c r="KNN33" s="153"/>
      <c r="KNO33" s="153"/>
      <c r="KNP33" s="153"/>
      <c r="KNQ33" s="153"/>
      <c r="KNR33" s="153"/>
      <c r="KNS33" s="153"/>
      <c r="KNT33" s="153"/>
      <c r="KNU33" s="153"/>
      <c r="KNV33" s="153"/>
      <c r="KNW33" s="153"/>
      <c r="KNX33" s="153"/>
      <c r="KNY33" s="153"/>
      <c r="KNZ33" s="153"/>
      <c r="KOA33" s="153"/>
      <c r="KOB33" s="153"/>
      <c r="KOC33" s="153"/>
      <c r="KOD33" s="153"/>
      <c r="KOE33" s="153"/>
      <c r="KOF33" s="153"/>
      <c r="KOG33" s="153"/>
      <c r="KOH33" s="153"/>
      <c r="KOI33" s="153"/>
      <c r="KOJ33" s="153"/>
      <c r="KOK33" s="153"/>
      <c r="KOL33" s="153"/>
      <c r="KOM33" s="153"/>
      <c r="KON33" s="153"/>
      <c r="KOO33" s="153"/>
      <c r="KOP33" s="153"/>
      <c r="KOQ33" s="153"/>
      <c r="KOR33" s="153"/>
      <c r="KOS33" s="153"/>
      <c r="KOT33" s="153"/>
      <c r="KOU33" s="153"/>
      <c r="KOV33" s="153"/>
      <c r="KOW33" s="153"/>
      <c r="KOX33" s="153"/>
      <c r="KOY33" s="153"/>
      <c r="KOZ33" s="153"/>
      <c r="KPA33" s="153"/>
      <c r="KPB33" s="153"/>
      <c r="KPC33" s="153"/>
      <c r="KPD33" s="153"/>
      <c r="KPE33" s="153"/>
      <c r="KPF33" s="153"/>
      <c r="KPG33" s="153"/>
      <c r="KPH33" s="153"/>
      <c r="KPI33" s="153"/>
      <c r="KPJ33" s="153"/>
      <c r="KPK33" s="153"/>
      <c r="KPL33" s="153"/>
      <c r="KPM33" s="153"/>
      <c r="KPN33" s="153"/>
      <c r="KPO33" s="153"/>
      <c r="KPP33" s="153"/>
      <c r="KPQ33" s="153"/>
      <c r="KPR33" s="153"/>
      <c r="KPS33" s="153"/>
      <c r="KPT33" s="153"/>
      <c r="KPU33" s="153"/>
      <c r="KPV33" s="153"/>
      <c r="KPW33" s="153"/>
      <c r="KPX33" s="153"/>
      <c r="KPY33" s="153"/>
      <c r="KPZ33" s="153"/>
      <c r="KQA33" s="153"/>
      <c r="KQB33" s="153"/>
      <c r="KQC33" s="153"/>
      <c r="KQD33" s="153"/>
      <c r="KQE33" s="153"/>
      <c r="KQF33" s="153"/>
      <c r="KQG33" s="153"/>
      <c r="KQH33" s="153"/>
      <c r="KQI33" s="153"/>
      <c r="KQJ33" s="153"/>
      <c r="KQK33" s="153"/>
      <c r="KQL33" s="153"/>
      <c r="KQM33" s="153"/>
      <c r="KQN33" s="153"/>
      <c r="KQO33" s="153"/>
      <c r="KQP33" s="153"/>
      <c r="KQQ33" s="153"/>
      <c r="KQR33" s="153"/>
      <c r="KQS33" s="153"/>
      <c r="KQT33" s="153"/>
      <c r="KQU33" s="153"/>
      <c r="KQV33" s="153"/>
      <c r="KQW33" s="153"/>
      <c r="KQX33" s="153"/>
      <c r="KQY33" s="153"/>
      <c r="KQZ33" s="153"/>
      <c r="KRA33" s="153"/>
      <c r="KRB33" s="153"/>
      <c r="KRC33" s="153"/>
      <c r="KRD33" s="153"/>
      <c r="KRE33" s="153"/>
      <c r="KRF33" s="153"/>
      <c r="KRG33" s="153"/>
      <c r="KRH33" s="153"/>
      <c r="KRI33" s="153"/>
      <c r="KRJ33" s="153"/>
      <c r="KRK33" s="153"/>
      <c r="KRL33" s="153"/>
      <c r="KRM33" s="153"/>
      <c r="KRN33" s="153"/>
      <c r="KRO33" s="153"/>
      <c r="KRP33" s="153"/>
      <c r="KRQ33" s="153"/>
      <c r="KRR33" s="153"/>
      <c r="KRS33" s="153"/>
      <c r="KRT33" s="153"/>
      <c r="KRU33" s="153"/>
      <c r="KRV33" s="153"/>
      <c r="KRW33" s="153"/>
      <c r="KRX33" s="153"/>
      <c r="KRY33" s="153"/>
      <c r="KRZ33" s="153"/>
      <c r="KSA33" s="153"/>
      <c r="KSB33" s="153"/>
      <c r="KSC33" s="153"/>
      <c r="KSD33" s="153"/>
      <c r="KSE33" s="153"/>
      <c r="KSF33" s="153"/>
      <c r="KSG33" s="153"/>
      <c r="KSH33" s="153"/>
      <c r="KSI33" s="153"/>
      <c r="KSJ33" s="153"/>
      <c r="KSK33" s="153"/>
      <c r="KSL33" s="153"/>
      <c r="KSM33" s="153"/>
      <c r="KSN33" s="153"/>
      <c r="KSO33" s="153"/>
      <c r="KSP33" s="153"/>
      <c r="KSQ33" s="153"/>
      <c r="KSR33" s="153"/>
      <c r="KSS33" s="153"/>
      <c r="KST33" s="153"/>
      <c r="KSU33" s="153"/>
      <c r="KSV33" s="153"/>
      <c r="KSW33" s="153"/>
      <c r="KSX33" s="153"/>
      <c r="KSY33" s="153"/>
      <c r="KSZ33" s="153"/>
      <c r="KTA33" s="153"/>
      <c r="KTB33" s="153"/>
      <c r="KTC33" s="153"/>
      <c r="KTD33" s="153"/>
      <c r="KTE33" s="153"/>
      <c r="KTF33" s="153"/>
      <c r="KTG33" s="153"/>
      <c r="KTH33" s="153"/>
      <c r="KTI33" s="153"/>
      <c r="KTJ33" s="153"/>
      <c r="KTK33" s="153"/>
      <c r="KTL33" s="153"/>
      <c r="KTM33" s="153"/>
      <c r="KTN33" s="153"/>
      <c r="KTO33" s="153"/>
      <c r="KTP33" s="153"/>
      <c r="KTQ33" s="153"/>
      <c r="KTR33" s="153"/>
      <c r="KTS33" s="153"/>
      <c r="KTT33" s="153"/>
      <c r="KTU33" s="153"/>
      <c r="KTV33" s="153"/>
      <c r="KTW33" s="153"/>
      <c r="KTX33" s="153"/>
      <c r="KTY33" s="153"/>
      <c r="KTZ33" s="153"/>
      <c r="KUA33" s="153"/>
      <c r="KUB33" s="153"/>
      <c r="KUC33" s="153"/>
      <c r="KUD33" s="153"/>
      <c r="KUE33" s="153"/>
      <c r="KUF33" s="153"/>
      <c r="KUG33" s="153"/>
      <c r="KUH33" s="153"/>
      <c r="KUI33" s="153"/>
      <c r="KUJ33" s="153"/>
      <c r="KUK33" s="153"/>
      <c r="KUL33" s="153"/>
      <c r="KUM33" s="153"/>
      <c r="KUN33" s="153"/>
      <c r="KUO33" s="153"/>
      <c r="KUP33" s="153"/>
      <c r="KUQ33" s="153"/>
      <c r="KUR33" s="153"/>
      <c r="KUS33" s="153"/>
      <c r="KUT33" s="153"/>
      <c r="KUU33" s="153"/>
      <c r="KUV33" s="153"/>
      <c r="KUW33" s="153"/>
      <c r="KUX33" s="153"/>
      <c r="KUY33" s="153"/>
      <c r="KUZ33" s="153"/>
      <c r="KVA33" s="153"/>
      <c r="KVB33" s="153"/>
      <c r="KVC33" s="153"/>
      <c r="KVD33" s="153"/>
      <c r="KVE33" s="153"/>
      <c r="KVF33" s="153"/>
      <c r="KVG33" s="153"/>
      <c r="KVH33" s="153"/>
      <c r="KVI33" s="153"/>
      <c r="KVJ33" s="153"/>
      <c r="KVK33" s="153"/>
      <c r="KVL33" s="153"/>
      <c r="KVM33" s="153"/>
      <c r="KVN33" s="153"/>
      <c r="KVO33" s="153"/>
      <c r="KVP33" s="153"/>
      <c r="KVQ33" s="153"/>
      <c r="KVR33" s="153"/>
      <c r="KVS33" s="153"/>
      <c r="KVT33" s="153"/>
      <c r="KVU33" s="153"/>
      <c r="KVV33" s="153"/>
      <c r="KVW33" s="153"/>
      <c r="KVX33" s="153"/>
      <c r="KVY33" s="153"/>
      <c r="KVZ33" s="153"/>
      <c r="KWA33" s="153"/>
      <c r="KWB33" s="153"/>
      <c r="KWC33" s="153"/>
      <c r="KWD33" s="153"/>
      <c r="KWE33" s="153"/>
      <c r="KWF33" s="153"/>
      <c r="KWG33" s="153"/>
      <c r="KWH33" s="153"/>
      <c r="KWI33" s="153"/>
      <c r="KWJ33" s="153"/>
      <c r="KWK33" s="153"/>
      <c r="KWL33" s="153"/>
      <c r="KWM33" s="153"/>
      <c r="KWN33" s="153"/>
      <c r="KWO33" s="153"/>
      <c r="KWP33" s="153"/>
      <c r="KWQ33" s="153"/>
      <c r="KWR33" s="153"/>
      <c r="KWS33" s="153"/>
      <c r="KWT33" s="153"/>
      <c r="KWU33" s="153"/>
      <c r="KWV33" s="153"/>
      <c r="KWW33" s="153"/>
      <c r="KWX33" s="153"/>
      <c r="KWY33" s="153"/>
      <c r="KWZ33" s="153"/>
      <c r="KXA33" s="153"/>
      <c r="KXB33" s="153"/>
      <c r="KXC33" s="153"/>
      <c r="KXD33" s="153"/>
      <c r="KXE33" s="153"/>
      <c r="KXF33" s="153"/>
      <c r="KXG33" s="153"/>
      <c r="KXH33" s="153"/>
      <c r="KXI33" s="153"/>
      <c r="KXJ33" s="153"/>
      <c r="KXK33" s="153"/>
      <c r="KXL33" s="153"/>
      <c r="KXM33" s="153"/>
      <c r="KXN33" s="153"/>
      <c r="KXO33" s="153"/>
      <c r="KXP33" s="153"/>
      <c r="KXQ33" s="153"/>
      <c r="KXR33" s="153"/>
      <c r="KXS33" s="153"/>
      <c r="KXT33" s="153"/>
      <c r="KXU33" s="153"/>
      <c r="KXV33" s="153"/>
      <c r="KXW33" s="153"/>
      <c r="KXX33" s="153"/>
      <c r="KXY33" s="153"/>
      <c r="KXZ33" s="153"/>
      <c r="KYA33" s="153"/>
      <c r="KYB33" s="153"/>
      <c r="KYC33" s="153"/>
      <c r="KYD33" s="153"/>
      <c r="KYE33" s="153"/>
      <c r="KYF33" s="153"/>
      <c r="KYG33" s="153"/>
      <c r="KYH33" s="153"/>
      <c r="KYI33" s="153"/>
      <c r="KYJ33" s="153"/>
      <c r="KYK33" s="153"/>
      <c r="KYL33" s="153"/>
      <c r="KYM33" s="153"/>
      <c r="KYN33" s="153"/>
      <c r="KYO33" s="153"/>
      <c r="KYP33" s="153"/>
      <c r="KYQ33" s="153"/>
      <c r="KYR33" s="153"/>
      <c r="KYS33" s="153"/>
      <c r="KYT33" s="153"/>
      <c r="KYU33" s="153"/>
      <c r="KYV33" s="153"/>
      <c r="KYW33" s="153"/>
      <c r="KYX33" s="153"/>
      <c r="KYY33" s="153"/>
      <c r="KYZ33" s="153"/>
      <c r="KZA33" s="153"/>
      <c r="KZB33" s="153"/>
      <c r="KZC33" s="153"/>
      <c r="KZD33" s="153"/>
      <c r="KZE33" s="153"/>
      <c r="KZF33" s="153"/>
      <c r="KZG33" s="153"/>
      <c r="KZH33" s="153"/>
      <c r="KZI33" s="153"/>
      <c r="KZJ33" s="153"/>
      <c r="KZK33" s="153"/>
      <c r="KZL33" s="153"/>
      <c r="KZM33" s="153"/>
      <c r="KZN33" s="153"/>
      <c r="KZO33" s="153"/>
      <c r="KZP33" s="153"/>
      <c r="KZQ33" s="153"/>
      <c r="KZR33" s="153"/>
      <c r="KZS33" s="153"/>
      <c r="KZT33" s="153"/>
      <c r="KZU33" s="153"/>
      <c r="KZV33" s="153"/>
      <c r="KZW33" s="153"/>
      <c r="KZX33" s="153"/>
      <c r="KZY33" s="153"/>
      <c r="KZZ33" s="153"/>
      <c r="LAA33" s="153"/>
      <c r="LAB33" s="153"/>
      <c r="LAC33" s="153"/>
      <c r="LAD33" s="153"/>
      <c r="LAE33" s="153"/>
      <c r="LAF33" s="153"/>
      <c r="LAG33" s="153"/>
      <c r="LAH33" s="153"/>
      <c r="LAI33" s="153"/>
      <c r="LAJ33" s="153"/>
      <c r="LAK33" s="153"/>
      <c r="LAL33" s="153"/>
      <c r="LAM33" s="153"/>
      <c r="LAN33" s="153"/>
      <c r="LAO33" s="153"/>
      <c r="LAP33" s="153"/>
      <c r="LAQ33" s="153"/>
      <c r="LAR33" s="153"/>
      <c r="LAS33" s="153"/>
      <c r="LAT33" s="153"/>
      <c r="LAU33" s="153"/>
      <c r="LAV33" s="153"/>
      <c r="LAW33" s="153"/>
      <c r="LAX33" s="153"/>
      <c r="LAY33" s="153"/>
      <c r="LAZ33" s="153"/>
      <c r="LBA33" s="153"/>
      <c r="LBB33" s="153"/>
      <c r="LBC33" s="153"/>
      <c r="LBD33" s="153"/>
      <c r="LBE33" s="153"/>
      <c r="LBF33" s="153"/>
      <c r="LBG33" s="153"/>
      <c r="LBH33" s="153"/>
      <c r="LBI33" s="153"/>
      <c r="LBJ33" s="153"/>
      <c r="LBK33" s="153"/>
      <c r="LBL33" s="153"/>
      <c r="LBM33" s="153"/>
      <c r="LBN33" s="153"/>
      <c r="LBO33" s="153"/>
      <c r="LBP33" s="153"/>
      <c r="LBQ33" s="153"/>
      <c r="LBR33" s="153"/>
      <c r="LBS33" s="153"/>
      <c r="LBT33" s="153"/>
      <c r="LBU33" s="153"/>
      <c r="LBV33" s="153"/>
      <c r="LBW33" s="153"/>
      <c r="LBX33" s="153"/>
      <c r="LBY33" s="153"/>
      <c r="LBZ33" s="153"/>
      <c r="LCA33" s="153"/>
      <c r="LCB33" s="153"/>
      <c r="LCC33" s="153"/>
      <c r="LCD33" s="153"/>
      <c r="LCE33" s="153"/>
      <c r="LCF33" s="153"/>
      <c r="LCG33" s="153"/>
      <c r="LCH33" s="153"/>
      <c r="LCI33" s="153"/>
      <c r="LCJ33" s="153"/>
      <c r="LCK33" s="153"/>
      <c r="LCL33" s="153"/>
      <c r="LCM33" s="153"/>
      <c r="LCN33" s="153"/>
      <c r="LCO33" s="153"/>
      <c r="LCP33" s="153"/>
      <c r="LCQ33" s="153"/>
      <c r="LCR33" s="153"/>
      <c r="LCS33" s="153"/>
      <c r="LCT33" s="153"/>
      <c r="LCU33" s="153"/>
      <c r="LCV33" s="153"/>
      <c r="LCW33" s="153"/>
      <c r="LCX33" s="153"/>
      <c r="LCY33" s="153"/>
      <c r="LCZ33" s="153"/>
      <c r="LDA33" s="153"/>
      <c r="LDB33" s="153"/>
      <c r="LDC33" s="153"/>
      <c r="LDD33" s="153"/>
      <c r="LDE33" s="153"/>
      <c r="LDF33" s="153"/>
      <c r="LDG33" s="153"/>
      <c r="LDH33" s="153"/>
      <c r="LDI33" s="153"/>
      <c r="LDJ33" s="153"/>
      <c r="LDK33" s="153"/>
      <c r="LDL33" s="153"/>
      <c r="LDM33" s="153"/>
      <c r="LDN33" s="153"/>
      <c r="LDO33" s="153"/>
      <c r="LDP33" s="153"/>
      <c r="LDQ33" s="153"/>
      <c r="LDR33" s="153"/>
      <c r="LDS33" s="153"/>
      <c r="LDT33" s="153"/>
      <c r="LDU33" s="153"/>
      <c r="LDV33" s="153"/>
      <c r="LDW33" s="153"/>
      <c r="LDX33" s="153"/>
      <c r="LDY33" s="153"/>
      <c r="LDZ33" s="153"/>
      <c r="LEA33" s="153"/>
      <c r="LEB33" s="153"/>
      <c r="LEC33" s="153"/>
      <c r="LED33" s="153"/>
      <c r="LEE33" s="153"/>
      <c r="LEF33" s="153"/>
      <c r="LEG33" s="153"/>
      <c r="LEH33" s="153"/>
      <c r="LEI33" s="153"/>
      <c r="LEJ33" s="153"/>
      <c r="LEK33" s="153"/>
      <c r="LEL33" s="153"/>
      <c r="LEM33" s="153"/>
      <c r="LEN33" s="153"/>
      <c r="LEO33" s="153"/>
      <c r="LEP33" s="153"/>
      <c r="LEQ33" s="153"/>
      <c r="LER33" s="153"/>
      <c r="LES33" s="153"/>
      <c r="LET33" s="153"/>
      <c r="LEU33" s="153"/>
      <c r="LEV33" s="153"/>
      <c r="LEW33" s="153"/>
      <c r="LEX33" s="153"/>
      <c r="LEY33" s="153"/>
      <c r="LEZ33" s="153"/>
      <c r="LFA33" s="153"/>
      <c r="LFB33" s="153"/>
      <c r="LFC33" s="153"/>
      <c r="LFD33" s="153"/>
      <c r="LFE33" s="153"/>
      <c r="LFF33" s="153"/>
      <c r="LFG33" s="153"/>
      <c r="LFH33" s="153"/>
      <c r="LFI33" s="153"/>
      <c r="LFJ33" s="153"/>
      <c r="LFK33" s="153"/>
      <c r="LFL33" s="153"/>
      <c r="LFM33" s="153"/>
      <c r="LFN33" s="153"/>
      <c r="LFO33" s="153"/>
      <c r="LFP33" s="153"/>
      <c r="LFQ33" s="153"/>
      <c r="LFR33" s="153"/>
      <c r="LFS33" s="153"/>
      <c r="LFT33" s="153"/>
      <c r="LFU33" s="153"/>
      <c r="LFV33" s="153"/>
      <c r="LFW33" s="153"/>
      <c r="LFX33" s="153"/>
      <c r="LFY33" s="153"/>
      <c r="LFZ33" s="153"/>
      <c r="LGA33" s="153"/>
      <c r="LGB33" s="153"/>
      <c r="LGC33" s="153"/>
      <c r="LGD33" s="153"/>
      <c r="LGE33" s="153"/>
      <c r="LGF33" s="153"/>
      <c r="LGG33" s="153"/>
      <c r="LGH33" s="153"/>
      <c r="LGI33" s="153"/>
      <c r="LGJ33" s="153"/>
      <c r="LGK33" s="153"/>
      <c r="LGL33" s="153"/>
      <c r="LGM33" s="153"/>
      <c r="LGN33" s="153"/>
      <c r="LGO33" s="153"/>
      <c r="LGP33" s="153"/>
      <c r="LGQ33" s="153"/>
      <c r="LGR33" s="153"/>
      <c r="LGS33" s="153"/>
      <c r="LGT33" s="153"/>
      <c r="LGU33" s="153"/>
      <c r="LGV33" s="153"/>
      <c r="LGW33" s="153"/>
      <c r="LGX33" s="153"/>
      <c r="LGY33" s="153"/>
      <c r="LGZ33" s="153"/>
      <c r="LHA33" s="153"/>
      <c r="LHB33" s="153"/>
      <c r="LHC33" s="153"/>
      <c r="LHD33" s="153"/>
      <c r="LHE33" s="153"/>
      <c r="LHF33" s="153"/>
      <c r="LHG33" s="153"/>
      <c r="LHH33" s="153"/>
      <c r="LHI33" s="153"/>
      <c r="LHJ33" s="153"/>
      <c r="LHK33" s="153"/>
      <c r="LHL33" s="153"/>
      <c r="LHM33" s="153"/>
      <c r="LHN33" s="153"/>
      <c r="LHO33" s="153"/>
      <c r="LHP33" s="153"/>
      <c r="LHQ33" s="153"/>
      <c r="LHR33" s="153"/>
      <c r="LHS33" s="153"/>
      <c r="LHT33" s="153"/>
      <c r="LHU33" s="153"/>
      <c r="LHV33" s="153"/>
      <c r="LHW33" s="153"/>
      <c r="LHX33" s="153"/>
      <c r="LHY33" s="153"/>
      <c r="LHZ33" s="153"/>
      <c r="LIA33" s="153"/>
      <c r="LIB33" s="153"/>
      <c r="LIC33" s="153"/>
      <c r="LID33" s="153"/>
      <c r="LIE33" s="153"/>
      <c r="LIF33" s="153"/>
      <c r="LIG33" s="153"/>
      <c r="LIH33" s="153"/>
      <c r="LII33" s="153"/>
      <c r="LIJ33" s="153"/>
      <c r="LIK33" s="153"/>
      <c r="LIL33" s="153"/>
      <c r="LIM33" s="153"/>
      <c r="LIN33" s="153"/>
      <c r="LIO33" s="153"/>
      <c r="LIP33" s="153"/>
      <c r="LIQ33" s="153"/>
      <c r="LIR33" s="153"/>
      <c r="LIS33" s="153"/>
      <c r="LIT33" s="153"/>
      <c r="LIU33" s="153"/>
      <c r="LIV33" s="153"/>
      <c r="LIW33" s="153"/>
      <c r="LIX33" s="153"/>
      <c r="LIY33" s="153"/>
      <c r="LIZ33" s="153"/>
      <c r="LJA33" s="153"/>
      <c r="LJB33" s="153"/>
      <c r="LJC33" s="153"/>
      <c r="LJD33" s="153"/>
      <c r="LJE33" s="153"/>
      <c r="LJF33" s="153"/>
      <c r="LJG33" s="153"/>
      <c r="LJH33" s="153"/>
      <c r="LJI33" s="153"/>
      <c r="LJJ33" s="153"/>
      <c r="LJK33" s="153"/>
      <c r="LJL33" s="153"/>
      <c r="LJM33" s="153"/>
      <c r="LJN33" s="153"/>
      <c r="LJO33" s="153"/>
      <c r="LJP33" s="153"/>
      <c r="LJQ33" s="153"/>
      <c r="LJR33" s="153"/>
      <c r="LJS33" s="153"/>
      <c r="LJT33" s="153"/>
      <c r="LJU33" s="153"/>
      <c r="LJV33" s="153"/>
      <c r="LJW33" s="153"/>
      <c r="LJX33" s="153"/>
      <c r="LJY33" s="153"/>
      <c r="LJZ33" s="153"/>
      <c r="LKA33" s="153"/>
      <c r="LKB33" s="153"/>
      <c r="LKC33" s="153"/>
      <c r="LKD33" s="153"/>
      <c r="LKE33" s="153"/>
      <c r="LKF33" s="153"/>
      <c r="LKG33" s="153"/>
      <c r="LKH33" s="153"/>
      <c r="LKI33" s="153"/>
      <c r="LKJ33" s="153"/>
      <c r="LKK33" s="153"/>
      <c r="LKL33" s="153"/>
      <c r="LKM33" s="153"/>
      <c r="LKN33" s="153"/>
      <c r="LKO33" s="153"/>
      <c r="LKP33" s="153"/>
      <c r="LKQ33" s="153"/>
      <c r="LKR33" s="153"/>
      <c r="LKS33" s="153"/>
      <c r="LKT33" s="153"/>
      <c r="LKU33" s="153"/>
      <c r="LKV33" s="153"/>
      <c r="LKW33" s="153"/>
      <c r="LKX33" s="153"/>
      <c r="LKY33" s="153"/>
      <c r="LKZ33" s="153"/>
      <c r="LLA33" s="153"/>
      <c r="LLB33" s="153"/>
      <c r="LLC33" s="153"/>
      <c r="LLD33" s="153"/>
      <c r="LLE33" s="153"/>
      <c r="LLF33" s="153"/>
      <c r="LLG33" s="153"/>
      <c r="LLH33" s="153"/>
      <c r="LLI33" s="153"/>
      <c r="LLJ33" s="153"/>
      <c r="LLK33" s="153"/>
      <c r="LLL33" s="153"/>
      <c r="LLM33" s="153"/>
      <c r="LLN33" s="153"/>
      <c r="LLO33" s="153"/>
      <c r="LLP33" s="153"/>
      <c r="LLQ33" s="153"/>
      <c r="LLR33" s="153"/>
      <c r="LLS33" s="153"/>
      <c r="LLT33" s="153"/>
      <c r="LLU33" s="153"/>
      <c r="LLV33" s="153"/>
      <c r="LLW33" s="153"/>
      <c r="LLX33" s="153"/>
      <c r="LLY33" s="153"/>
      <c r="LLZ33" s="153"/>
      <c r="LMA33" s="153"/>
      <c r="LMB33" s="153"/>
      <c r="LMC33" s="153"/>
      <c r="LMD33" s="153"/>
      <c r="LME33" s="153"/>
      <c r="LMF33" s="153"/>
      <c r="LMG33" s="153"/>
      <c r="LMH33" s="153"/>
      <c r="LMI33" s="153"/>
      <c r="LMJ33" s="153"/>
      <c r="LMK33" s="153"/>
      <c r="LML33" s="153"/>
      <c r="LMM33" s="153"/>
      <c r="LMN33" s="153"/>
      <c r="LMO33" s="153"/>
      <c r="LMP33" s="153"/>
      <c r="LMQ33" s="153"/>
      <c r="LMR33" s="153"/>
      <c r="LMS33" s="153"/>
      <c r="LMT33" s="153"/>
      <c r="LMU33" s="153"/>
      <c r="LMV33" s="153"/>
      <c r="LMW33" s="153"/>
      <c r="LMX33" s="153"/>
      <c r="LMY33" s="153"/>
      <c r="LMZ33" s="153"/>
      <c r="LNA33" s="153"/>
      <c r="LNB33" s="153"/>
      <c r="LNC33" s="153"/>
      <c r="LND33" s="153"/>
      <c r="LNE33" s="153"/>
      <c r="LNF33" s="153"/>
      <c r="LNG33" s="153"/>
      <c r="LNH33" s="153"/>
      <c r="LNI33" s="153"/>
      <c r="LNJ33" s="153"/>
      <c r="LNK33" s="153"/>
      <c r="LNL33" s="153"/>
      <c r="LNM33" s="153"/>
      <c r="LNN33" s="153"/>
      <c r="LNO33" s="153"/>
      <c r="LNP33" s="153"/>
      <c r="LNQ33" s="153"/>
      <c r="LNR33" s="153"/>
      <c r="LNS33" s="153"/>
      <c r="LNT33" s="153"/>
      <c r="LNU33" s="153"/>
      <c r="LNV33" s="153"/>
      <c r="LNW33" s="153"/>
      <c r="LNX33" s="153"/>
      <c r="LNY33" s="153"/>
      <c r="LNZ33" s="153"/>
      <c r="LOA33" s="153"/>
      <c r="LOB33" s="153"/>
      <c r="LOC33" s="153"/>
      <c r="LOD33" s="153"/>
      <c r="LOE33" s="153"/>
      <c r="LOF33" s="153"/>
      <c r="LOG33" s="153"/>
      <c r="LOH33" s="153"/>
      <c r="LOI33" s="153"/>
      <c r="LOJ33" s="153"/>
      <c r="LOK33" s="153"/>
      <c r="LOL33" s="153"/>
      <c r="LOM33" s="153"/>
      <c r="LON33" s="153"/>
      <c r="LOO33" s="153"/>
      <c r="LOP33" s="153"/>
      <c r="LOQ33" s="153"/>
      <c r="LOR33" s="153"/>
      <c r="LOS33" s="153"/>
      <c r="LOT33" s="153"/>
      <c r="LOU33" s="153"/>
      <c r="LOV33" s="153"/>
      <c r="LOW33" s="153"/>
      <c r="LOX33" s="153"/>
      <c r="LOY33" s="153"/>
      <c r="LOZ33" s="153"/>
      <c r="LPA33" s="153"/>
      <c r="LPB33" s="153"/>
      <c r="LPC33" s="153"/>
      <c r="LPD33" s="153"/>
      <c r="LPE33" s="153"/>
      <c r="LPF33" s="153"/>
      <c r="LPG33" s="153"/>
      <c r="LPH33" s="153"/>
      <c r="LPI33" s="153"/>
      <c r="LPJ33" s="153"/>
      <c r="LPK33" s="153"/>
      <c r="LPL33" s="153"/>
      <c r="LPM33" s="153"/>
      <c r="LPN33" s="153"/>
      <c r="LPO33" s="153"/>
      <c r="LPP33" s="153"/>
      <c r="LPQ33" s="153"/>
      <c r="LPR33" s="153"/>
      <c r="LPS33" s="153"/>
      <c r="LPT33" s="153"/>
      <c r="LPU33" s="153"/>
      <c r="LPV33" s="153"/>
      <c r="LPW33" s="153"/>
      <c r="LPX33" s="153"/>
      <c r="LPY33" s="153"/>
      <c r="LPZ33" s="153"/>
      <c r="LQA33" s="153"/>
      <c r="LQB33" s="153"/>
      <c r="LQC33" s="153"/>
      <c r="LQD33" s="153"/>
      <c r="LQE33" s="153"/>
      <c r="LQF33" s="153"/>
      <c r="LQG33" s="153"/>
      <c r="LQH33" s="153"/>
      <c r="LQI33" s="153"/>
      <c r="LQJ33" s="153"/>
      <c r="LQK33" s="153"/>
      <c r="LQL33" s="153"/>
      <c r="LQM33" s="153"/>
      <c r="LQN33" s="153"/>
      <c r="LQO33" s="153"/>
      <c r="LQP33" s="153"/>
      <c r="LQQ33" s="153"/>
      <c r="LQR33" s="153"/>
      <c r="LQS33" s="153"/>
      <c r="LQT33" s="153"/>
      <c r="LQU33" s="153"/>
      <c r="LQV33" s="153"/>
      <c r="LQW33" s="153"/>
      <c r="LQX33" s="153"/>
      <c r="LQY33" s="153"/>
      <c r="LQZ33" s="153"/>
      <c r="LRA33" s="153"/>
      <c r="LRB33" s="153"/>
      <c r="LRC33" s="153"/>
      <c r="LRD33" s="153"/>
      <c r="LRE33" s="153"/>
      <c r="LRF33" s="153"/>
      <c r="LRG33" s="153"/>
      <c r="LRH33" s="153"/>
      <c r="LRI33" s="153"/>
      <c r="LRJ33" s="153"/>
      <c r="LRK33" s="153"/>
      <c r="LRL33" s="153"/>
      <c r="LRM33" s="153"/>
      <c r="LRN33" s="153"/>
      <c r="LRO33" s="153"/>
      <c r="LRP33" s="153"/>
      <c r="LRQ33" s="153"/>
      <c r="LRR33" s="153"/>
      <c r="LRS33" s="153"/>
      <c r="LRT33" s="153"/>
      <c r="LRU33" s="153"/>
      <c r="LRV33" s="153"/>
      <c r="LRW33" s="153"/>
      <c r="LRX33" s="153"/>
      <c r="LRY33" s="153"/>
      <c r="LRZ33" s="153"/>
      <c r="LSA33" s="153"/>
      <c r="LSB33" s="153"/>
      <c r="LSC33" s="153"/>
      <c r="LSD33" s="153"/>
      <c r="LSE33" s="153"/>
      <c r="LSF33" s="153"/>
      <c r="LSG33" s="153"/>
      <c r="LSH33" s="153"/>
      <c r="LSI33" s="153"/>
      <c r="LSJ33" s="153"/>
      <c r="LSK33" s="153"/>
      <c r="LSL33" s="153"/>
      <c r="LSM33" s="153"/>
      <c r="LSN33" s="153"/>
      <c r="LSO33" s="153"/>
      <c r="LSP33" s="153"/>
      <c r="LSQ33" s="153"/>
      <c r="LSR33" s="153"/>
      <c r="LSS33" s="153"/>
      <c r="LST33" s="153"/>
      <c r="LSU33" s="153"/>
      <c r="LSV33" s="153"/>
      <c r="LSW33" s="153"/>
      <c r="LSX33" s="153"/>
      <c r="LSY33" s="153"/>
      <c r="LSZ33" s="153"/>
      <c r="LTA33" s="153"/>
      <c r="LTB33" s="153"/>
      <c r="LTC33" s="153"/>
      <c r="LTD33" s="153"/>
      <c r="LTE33" s="153"/>
      <c r="LTF33" s="153"/>
      <c r="LTG33" s="153"/>
      <c r="LTH33" s="153"/>
      <c r="LTI33" s="153"/>
      <c r="LTJ33" s="153"/>
      <c r="LTK33" s="153"/>
      <c r="LTL33" s="153"/>
      <c r="LTM33" s="153"/>
      <c r="LTN33" s="153"/>
      <c r="LTO33" s="153"/>
      <c r="LTP33" s="153"/>
      <c r="LTQ33" s="153"/>
      <c r="LTR33" s="153"/>
      <c r="LTS33" s="153"/>
      <c r="LTT33" s="153"/>
      <c r="LTU33" s="153"/>
      <c r="LTV33" s="153"/>
      <c r="LTW33" s="153"/>
      <c r="LTX33" s="153"/>
      <c r="LTY33" s="153"/>
      <c r="LTZ33" s="153"/>
      <c r="LUA33" s="153"/>
      <c r="LUB33" s="153"/>
      <c r="LUC33" s="153"/>
      <c r="LUD33" s="153"/>
      <c r="LUE33" s="153"/>
      <c r="LUF33" s="153"/>
      <c r="LUG33" s="153"/>
      <c r="LUH33" s="153"/>
      <c r="LUI33" s="153"/>
      <c r="LUJ33" s="153"/>
      <c r="LUK33" s="153"/>
      <c r="LUL33" s="153"/>
      <c r="LUM33" s="153"/>
      <c r="LUN33" s="153"/>
      <c r="LUO33" s="153"/>
      <c r="LUP33" s="153"/>
      <c r="LUQ33" s="153"/>
      <c r="LUR33" s="153"/>
      <c r="LUS33" s="153"/>
      <c r="LUT33" s="153"/>
      <c r="LUU33" s="153"/>
      <c r="LUV33" s="153"/>
      <c r="LUW33" s="153"/>
      <c r="LUX33" s="153"/>
      <c r="LUY33" s="153"/>
      <c r="LUZ33" s="153"/>
      <c r="LVA33" s="153"/>
      <c r="LVB33" s="153"/>
      <c r="LVC33" s="153"/>
      <c r="LVD33" s="153"/>
      <c r="LVE33" s="153"/>
      <c r="LVF33" s="153"/>
      <c r="LVG33" s="153"/>
      <c r="LVH33" s="153"/>
      <c r="LVI33" s="153"/>
      <c r="LVJ33" s="153"/>
      <c r="LVK33" s="153"/>
      <c r="LVL33" s="153"/>
      <c r="LVM33" s="153"/>
      <c r="LVN33" s="153"/>
      <c r="LVO33" s="153"/>
      <c r="LVP33" s="153"/>
      <c r="LVQ33" s="153"/>
      <c r="LVR33" s="153"/>
      <c r="LVS33" s="153"/>
      <c r="LVT33" s="153"/>
      <c r="LVU33" s="153"/>
      <c r="LVV33" s="153"/>
      <c r="LVW33" s="153"/>
      <c r="LVX33" s="153"/>
      <c r="LVY33" s="153"/>
      <c r="LVZ33" s="153"/>
      <c r="LWA33" s="153"/>
      <c r="LWB33" s="153"/>
      <c r="LWC33" s="153"/>
      <c r="LWD33" s="153"/>
      <c r="LWE33" s="153"/>
      <c r="LWF33" s="153"/>
      <c r="LWG33" s="153"/>
      <c r="LWH33" s="153"/>
      <c r="LWI33" s="153"/>
      <c r="LWJ33" s="153"/>
      <c r="LWK33" s="153"/>
      <c r="LWL33" s="153"/>
      <c r="LWM33" s="153"/>
      <c r="LWN33" s="153"/>
      <c r="LWO33" s="153"/>
      <c r="LWP33" s="153"/>
      <c r="LWQ33" s="153"/>
      <c r="LWR33" s="153"/>
      <c r="LWS33" s="153"/>
      <c r="LWT33" s="153"/>
      <c r="LWU33" s="153"/>
      <c r="LWV33" s="153"/>
      <c r="LWW33" s="153"/>
      <c r="LWX33" s="153"/>
      <c r="LWY33" s="153"/>
      <c r="LWZ33" s="153"/>
      <c r="LXA33" s="153"/>
      <c r="LXB33" s="153"/>
      <c r="LXC33" s="153"/>
      <c r="LXD33" s="153"/>
      <c r="LXE33" s="153"/>
      <c r="LXF33" s="153"/>
      <c r="LXG33" s="153"/>
      <c r="LXH33" s="153"/>
      <c r="LXI33" s="153"/>
      <c r="LXJ33" s="153"/>
      <c r="LXK33" s="153"/>
      <c r="LXL33" s="153"/>
      <c r="LXM33" s="153"/>
      <c r="LXN33" s="153"/>
      <c r="LXO33" s="153"/>
      <c r="LXP33" s="153"/>
      <c r="LXQ33" s="153"/>
      <c r="LXR33" s="153"/>
      <c r="LXS33" s="153"/>
      <c r="LXT33" s="153"/>
      <c r="LXU33" s="153"/>
      <c r="LXV33" s="153"/>
      <c r="LXW33" s="153"/>
      <c r="LXX33" s="153"/>
      <c r="LXY33" s="153"/>
      <c r="LXZ33" s="153"/>
      <c r="LYA33" s="153"/>
      <c r="LYB33" s="153"/>
      <c r="LYC33" s="153"/>
      <c r="LYD33" s="153"/>
      <c r="LYE33" s="153"/>
      <c r="LYF33" s="153"/>
      <c r="LYG33" s="153"/>
      <c r="LYH33" s="153"/>
      <c r="LYI33" s="153"/>
      <c r="LYJ33" s="153"/>
      <c r="LYK33" s="153"/>
      <c r="LYL33" s="153"/>
      <c r="LYM33" s="153"/>
      <c r="LYN33" s="153"/>
      <c r="LYO33" s="153"/>
      <c r="LYP33" s="153"/>
      <c r="LYQ33" s="153"/>
      <c r="LYR33" s="153"/>
      <c r="LYS33" s="153"/>
      <c r="LYT33" s="153"/>
      <c r="LYU33" s="153"/>
      <c r="LYV33" s="153"/>
      <c r="LYW33" s="153"/>
      <c r="LYX33" s="153"/>
      <c r="LYY33" s="153"/>
      <c r="LYZ33" s="153"/>
      <c r="LZA33" s="153"/>
      <c r="LZB33" s="153"/>
      <c r="LZC33" s="153"/>
      <c r="LZD33" s="153"/>
      <c r="LZE33" s="153"/>
      <c r="LZF33" s="153"/>
      <c r="LZG33" s="153"/>
      <c r="LZH33" s="153"/>
      <c r="LZI33" s="153"/>
      <c r="LZJ33" s="153"/>
      <c r="LZK33" s="153"/>
      <c r="LZL33" s="153"/>
      <c r="LZM33" s="153"/>
      <c r="LZN33" s="153"/>
      <c r="LZO33" s="153"/>
      <c r="LZP33" s="153"/>
      <c r="LZQ33" s="153"/>
      <c r="LZR33" s="153"/>
      <c r="LZS33" s="153"/>
      <c r="LZT33" s="153"/>
      <c r="LZU33" s="153"/>
      <c r="LZV33" s="153"/>
      <c r="LZW33" s="153"/>
      <c r="LZX33" s="153"/>
      <c r="LZY33" s="153"/>
      <c r="LZZ33" s="153"/>
      <c r="MAA33" s="153"/>
      <c r="MAB33" s="153"/>
      <c r="MAC33" s="153"/>
      <c r="MAD33" s="153"/>
      <c r="MAE33" s="153"/>
      <c r="MAF33" s="153"/>
      <c r="MAG33" s="153"/>
      <c r="MAH33" s="153"/>
      <c r="MAI33" s="153"/>
      <c r="MAJ33" s="153"/>
      <c r="MAK33" s="153"/>
      <c r="MAL33" s="153"/>
      <c r="MAM33" s="153"/>
      <c r="MAN33" s="153"/>
      <c r="MAO33" s="153"/>
      <c r="MAP33" s="153"/>
      <c r="MAQ33" s="153"/>
      <c r="MAR33" s="153"/>
      <c r="MAS33" s="153"/>
      <c r="MAT33" s="153"/>
      <c r="MAU33" s="153"/>
      <c r="MAV33" s="153"/>
      <c r="MAW33" s="153"/>
      <c r="MAX33" s="153"/>
      <c r="MAY33" s="153"/>
      <c r="MAZ33" s="153"/>
      <c r="MBA33" s="153"/>
      <c r="MBB33" s="153"/>
      <c r="MBC33" s="153"/>
      <c r="MBD33" s="153"/>
      <c r="MBE33" s="153"/>
      <c r="MBF33" s="153"/>
      <c r="MBG33" s="153"/>
      <c r="MBH33" s="153"/>
      <c r="MBI33" s="153"/>
      <c r="MBJ33" s="153"/>
      <c r="MBK33" s="153"/>
      <c r="MBL33" s="153"/>
      <c r="MBM33" s="153"/>
      <c r="MBN33" s="153"/>
      <c r="MBO33" s="153"/>
      <c r="MBP33" s="153"/>
      <c r="MBQ33" s="153"/>
      <c r="MBR33" s="153"/>
      <c r="MBS33" s="153"/>
      <c r="MBT33" s="153"/>
      <c r="MBU33" s="153"/>
      <c r="MBV33" s="153"/>
      <c r="MBW33" s="153"/>
      <c r="MBX33" s="153"/>
      <c r="MBY33" s="153"/>
      <c r="MBZ33" s="153"/>
      <c r="MCA33" s="153"/>
      <c r="MCB33" s="153"/>
      <c r="MCC33" s="153"/>
      <c r="MCD33" s="153"/>
      <c r="MCE33" s="153"/>
      <c r="MCF33" s="153"/>
      <c r="MCG33" s="153"/>
      <c r="MCH33" s="153"/>
      <c r="MCI33" s="153"/>
      <c r="MCJ33" s="153"/>
      <c r="MCK33" s="153"/>
      <c r="MCL33" s="153"/>
      <c r="MCM33" s="153"/>
      <c r="MCN33" s="153"/>
      <c r="MCO33" s="153"/>
      <c r="MCP33" s="153"/>
      <c r="MCQ33" s="153"/>
      <c r="MCR33" s="153"/>
      <c r="MCS33" s="153"/>
      <c r="MCT33" s="153"/>
      <c r="MCU33" s="153"/>
      <c r="MCV33" s="153"/>
      <c r="MCW33" s="153"/>
      <c r="MCX33" s="153"/>
      <c r="MCY33" s="153"/>
      <c r="MCZ33" s="153"/>
      <c r="MDA33" s="153"/>
      <c r="MDB33" s="153"/>
      <c r="MDC33" s="153"/>
      <c r="MDD33" s="153"/>
      <c r="MDE33" s="153"/>
      <c r="MDF33" s="153"/>
      <c r="MDG33" s="153"/>
      <c r="MDH33" s="153"/>
      <c r="MDI33" s="153"/>
      <c r="MDJ33" s="153"/>
      <c r="MDK33" s="153"/>
      <c r="MDL33" s="153"/>
      <c r="MDM33" s="153"/>
      <c r="MDN33" s="153"/>
      <c r="MDO33" s="153"/>
      <c r="MDP33" s="153"/>
      <c r="MDQ33" s="153"/>
      <c r="MDR33" s="153"/>
      <c r="MDS33" s="153"/>
      <c r="MDT33" s="153"/>
      <c r="MDU33" s="153"/>
      <c r="MDV33" s="153"/>
      <c r="MDW33" s="153"/>
      <c r="MDX33" s="153"/>
      <c r="MDY33" s="153"/>
      <c r="MDZ33" s="153"/>
      <c r="MEA33" s="153"/>
      <c r="MEB33" s="153"/>
      <c r="MEC33" s="153"/>
      <c r="MED33" s="153"/>
      <c r="MEE33" s="153"/>
      <c r="MEF33" s="153"/>
      <c r="MEG33" s="153"/>
      <c r="MEH33" s="153"/>
      <c r="MEI33" s="153"/>
      <c r="MEJ33" s="153"/>
      <c r="MEK33" s="153"/>
      <c r="MEL33" s="153"/>
      <c r="MEM33" s="153"/>
      <c r="MEN33" s="153"/>
      <c r="MEO33" s="153"/>
      <c r="MEP33" s="153"/>
      <c r="MEQ33" s="153"/>
      <c r="MER33" s="153"/>
      <c r="MES33" s="153"/>
      <c r="MET33" s="153"/>
      <c r="MEU33" s="153"/>
      <c r="MEV33" s="153"/>
      <c r="MEW33" s="153"/>
      <c r="MEX33" s="153"/>
      <c r="MEY33" s="153"/>
      <c r="MEZ33" s="153"/>
      <c r="MFA33" s="153"/>
      <c r="MFB33" s="153"/>
      <c r="MFC33" s="153"/>
      <c r="MFD33" s="153"/>
      <c r="MFE33" s="153"/>
      <c r="MFF33" s="153"/>
      <c r="MFG33" s="153"/>
      <c r="MFH33" s="153"/>
      <c r="MFI33" s="153"/>
      <c r="MFJ33" s="153"/>
      <c r="MFK33" s="153"/>
      <c r="MFL33" s="153"/>
      <c r="MFM33" s="153"/>
      <c r="MFN33" s="153"/>
      <c r="MFO33" s="153"/>
      <c r="MFP33" s="153"/>
      <c r="MFQ33" s="153"/>
      <c r="MFR33" s="153"/>
      <c r="MFS33" s="153"/>
      <c r="MFT33" s="153"/>
      <c r="MFU33" s="153"/>
      <c r="MFV33" s="153"/>
      <c r="MFW33" s="153"/>
      <c r="MFX33" s="153"/>
      <c r="MFY33" s="153"/>
      <c r="MFZ33" s="153"/>
      <c r="MGA33" s="153"/>
      <c r="MGB33" s="153"/>
      <c r="MGC33" s="153"/>
      <c r="MGD33" s="153"/>
      <c r="MGE33" s="153"/>
      <c r="MGF33" s="153"/>
      <c r="MGG33" s="153"/>
      <c r="MGH33" s="153"/>
      <c r="MGI33" s="153"/>
      <c r="MGJ33" s="153"/>
      <c r="MGK33" s="153"/>
      <c r="MGL33" s="153"/>
      <c r="MGM33" s="153"/>
      <c r="MGN33" s="153"/>
      <c r="MGO33" s="153"/>
      <c r="MGP33" s="153"/>
      <c r="MGQ33" s="153"/>
      <c r="MGR33" s="153"/>
      <c r="MGS33" s="153"/>
      <c r="MGT33" s="153"/>
      <c r="MGU33" s="153"/>
      <c r="MGV33" s="153"/>
      <c r="MGW33" s="153"/>
      <c r="MGX33" s="153"/>
      <c r="MGY33" s="153"/>
      <c r="MGZ33" s="153"/>
      <c r="MHA33" s="153"/>
      <c r="MHB33" s="153"/>
      <c r="MHC33" s="153"/>
      <c r="MHD33" s="153"/>
      <c r="MHE33" s="153"/>
      <c r="MHF33" s="153"/>
      <c r="MHG33" s="153"/>
      <c r="MHH33" s="153"/>
      <c r="MHI33" s="153"/>
      <c r="MHJ33" s="153"/>
      <c r="MHK33" s="153"/>
      <c r="MHL33" s="153"/>
      <c r="MHM33" s="153"/>
      <c r="MHN33" s="153"/>
      <c r="MHO33" s="153"/>
      <c r="MHP33" s="153"/>
      <c r="MHQ33" s="153"/>
      <c r="MHR33" s="153"/>
      <c r="MHS33" s="153"/>
      <c r="MHT33" s="153"/>
      <c r="MHU33" s="153"/>
      <c r="MHV33" s="153"/>
      <c r="MHW33" s="153"/>
      <c r="MHX33" s="153"/>
      <c r="MHY33" s="153"/>
      <c r="MHZ33" s="153"/>
      <c r="MIA33" s="153"/>
      <c r="MIB33" s="153"/>
      <c r="MIC33" s="153"/>
      <c r="MID33" s="153"/>
      <c r="MIE33" s="153"/>
      <c r="MIF33" s="153"/>
      <c r="MIG33" s="153"/>
      <c r="MIH33" s="153"/>
      <c r="MII33" s="153"/>
      <c r="MIJ33" s="153"/>
      <c r="MIK33" s="153"/>
      <c r="MIL33" s="153"/>
      <c r="MIM33" s="153"/>
      <c r="MIN33" s="153"/>
      <c r="MIO33" s="153"/>
      <c r="MIP33" s="153"/>
      <c r="MIQ33" s="153"/>
      <c r="MIR33" s="153"/>
      <c r="MIS33" s="153"/>
      <c r="MIT33" s="153"/>
      <c r="MIU33" s="153"/>
      <c r="MIV33" s="153"/>
      <c r="MIW33" s="153"/>
      <c r="MIX33" s="153"/>
      <c r="MIY33" s="153"/>
      <c r="MIZ33" s="153"/>
      <c r="MJA33" s="153"/>
      <c r="MJB33" s="153"/>
      <c r="MJC33" s="153"/>
      <c r="MJD33" s="153"/>
      <c r="MJE33" s="153"/>
      <c r="MJF33" s="153"/>
      <c r="MJG33" s="153"/>
      <c r="MJH33" s="153"/>
      <c r="MJI33" s="153"/>
      <c r="MJJ33" s="153"/>
      <c r="MJK33" s="153"/>
      <c r="MJL33" s="153"/>
      <c r="MJM33" s="153"/>
      <c r="MJN33" s="153"/>
      <c r="MJO33" s="153"/>
      <c r="MJP33" s="153"/>
      <c r="MJQ33" s="153"/>
      <c r="MJR33" s="153"/>
      <c r="MJS33" s="153"/>
      <c r="MJT33" s="153"/>
      <c r="MJU33" s="153"/>
      <c r="MJV33" s="153"/>
      <c r="MJW33" s="153"/>
      <c r="MJX33" s="153"/>
      <c r="MJY33" s="153"/>
      <c r="MJZ33" s="153"/>
      <c r="MKA33" s="153"/>
      <c r="MKB33" s="153"/>
      <c r="MKC33" s="153"/>
      <c r="MKD33" s="153"/>
      <c r="MKE33" s="153"/>
      <c r="MKF33" s="153"/>
      <c r="MKG33" s="153"/>
      <c r="MKH33" s="153"/>
      <c r="MKI33" s="153"/>
      <c r="MKJ33" s="153"/>
      <c r="MKK33" s="153"/>
      <c r="MKL33" s="153"/>
      <c r="MKM33" s="153"/>
      <c r="MKN33" s="153"/>
      <c r="MKO33" s="153"/>
      <c r="MKP33" s="153"/>
      <c r="MKQ33" s="153"/>
      <c r="MKR33" s="153"/>
      <c r="MKS33" s="153"/>
      <c r="MKT33" s="153"/>
      <c r="MKU33" s="153"/>
      <c r="MKV33" s="153"/>
      <c r="MKW33" s="153"/>
      <c r="MKX33" s="153"/>
      <c r="MKY33" s="153"/>
      <c r="MKZ33" s="153"/>
      <c r="MLA33" s="153"/>
      <c r="MLB33" s="153"/>
      <c r="MLC33" s="153"/>
      <c r="MLD33" s="153"/>
      <c r="MLE33" s="153"/>
      <c r="MLF33" s="153"/>
      <c r="MLG33" s="153"/>
      <c r="MLH33" s="153"/>
      <c r="MLI33" s="153"/>
      <c r="MLJ33" s="153"/>
      <c r="MLK33" s="153"/>
      <c r="MLL33" s="153"/>
      <c r="MLM33" s="153"/>
      <c r="MLN33" s="153"/>
      <c r="MLO33" s="153"/>
      <c r="MLP33" s="153"/>
      <c r="MLQ33" s="153"/>
      <c r="MLR33" s="153"/>
      <c r="MLS33" s="153"/>
      <c r="MLT33" s="153"/>
      <c r="MLU33" s="153"/>
      <c r="MLV33" s="153"/>
      <c r="MLW33" s="153"/>
      <c r="MLX33" s="153"/>
      <c r="MLY33" s="153"/>
      <c r="MLZ33" s="153"/>
      <c r="MMA33" s="153"/>
      <c r="MMB33" s="153"/>
      <c r="MMC33" s="153"/>
      <c r="MMD33" s="153"/>
      <c r="MME33" s="153"/>
      <c r="MMF33" s="153"/>
      <c r="MMG33" s="153"/>
      <c r="MMH33" s="153"/>
      <c r="MMI33" s="153"/>
      <c r="MMJ33" s="153"/>
      <c r="MMK33" s="153"/>
      <c r="MML33" s="153"/>
      <c r="MMM33" s="153"/>
      <c r="MMN33" s="153"/>
      <c r="MMO33" s="153"/>
      <c r="MMP33" s="153"/>
      <c r="MMQ33" s="153"/>
      <c r="MMR33" s="153"/>
      <c r="MMS33" s="153"/>
      <c r="MMT33" s="153"/>
      <c r="MMU33" s="153"/>
      <c r="MMV33" s="153"/>
      <c r="MMW33" s="153"/>
      <c r="MMX33" s="153"/>
      <c r="MMY33" s="153"/>
      <c r="MMZ33" s="153"/>
      <c r="MNA33" s="153"/>
      <c r="MNB33" s="153"/>
      <c r="MNC33" s="153"/>
      <c r="MND33" s="153"/>
      <c r="MNE33" s="153"/>
      <c r="MNF33" s="153"/>
      <c r="MNG33" s="153"/>
      <c r="MNH33" s="153"/>
      <c r="MNI33" s="153"/>
      <c r="MNJ33" s="153"/>
      <c r="MNK33" s="153"/>
      <c r="MNL33" s="153"/>
      <c r="MNM33" s="153"/>
      <c r="MNN33" s="153"/>
      <c r="MNO33" s="153"/>
      <c r="MNP33" s="153"/>
      <c r="MNQ33" s="153"/>
      <c r="MNR33" s="153"/>
      <c r="MNS33" s="153"/>
      <c r="MNT33" s="153"/>
      <c r="MNU33" s="153"/>
      <c r="MNV33" s="153"/>
      <c r="MNW33" s="153"/>
      <c r="MNX33" s="153"/>
      <c r="MNY33" s="153"/>
      <c r="MNZ33" s="153"/>
      <c r="MOA33" s="153"/>
      <c r="MOB33" s="153"/>
      <c r="MOC33" s="153"/>
      <c r="MOD33" s="153"/>
      <c r="MOE33" s="153"/>
      <c r="MOF33" s="153"/>
      <c r="MOG33" s="153"/>
      <c r="MOH33" s="153"/>
      <c r="MOI33" s="153"/>
      <c r="MOJ33" s="153"/>
      <c r="MOK33" s="153"/>
      <c r="MOL33" s="153"/>
      <c r="MOM33" s="153"/>
      <c r="MON33" s="153"/>
      <c r="MOO33" s="153"/>
      <c r="MOP33" s="153"/>
      <c r="MOQ33" s="153"/>
      <c r="MOR33" s="153"/>
      <c r="MOS33" s="153"/>
      <c r="MOT33" s="153"/>
      <c r="MOU33" s="153"/>
      <c r="MOV33" s="153"/>
      <c r="MOW33" s="153"/>
      <c r="MOX33" s="153"/>
      <c r="MOY33" s="153"/>
      <c r="MOZ33" s="153"/>
      <c r="MPA33" s="153"/>
      <c r="MPB33" s="153"/>
      <c r="MPC33" s="153"/>
      <c r="MPD33" s="153"/>
      <c r="MPE33" s="153"/>
      <c r="MPF33" s="153"/>
      <c r="MPG33" s="153"/>
      <c r="MPH33" s="153"/>
      <c r="MPI33" s="153"/>
      <c r="MPJ33" s="153"/>
      <c r="MPK33" s="153"/>
      <c r="MPL33" s="153"/>
      <c r="MPM33" s="153"/>
      <c r="MPN33" s="153"/>
      <c r="MPO33" s="153"/>
      <c r="MPP33" s="153"/>
      <c r="MPQ33" s="153"/>
      <c r="MPR33" s="153"/>
      <c r="MPS33" s="153"/>
      <c r="MPT33" s="153"/>
      <c r="MPU33" s="153"/>
      <c r="MPV33" s="153"/>
      <c r="MPW33" s="153"/>
      <c r="MPX33" s="153"/>
      <c r="MPY33" s="153"/>
      <c r="MPZ33" s="153"/>
      <c r="MQA33" s="153"/>
      <c r="MQB33" s="153"/>
      <c r="MQC33" s="153"/>
      <c r="MQD33" s="153"/>
      <c r="MQE33" s="153"/>
      <c r="MQF33" s="153"/>
      <c r="MQG33" s="153"/>
      <c r="MQH33" s="153"/>
      <c r="MQI33" s="153"/>
      <c r="MQJ33" s="153"/>
      <c r="MQK33" s="153"/>
      <c r="MQL33" s="153"/>
      <c r="MQM33" s="153"/>
      <c r="MQN33" s="153"/>
      <c r="MQO33" s="153"/>
      <c r="MQP33" s="153"/>
      <c r="MQQ33" s="153"/>
      <c r="MQR33" s="153"/>
      <c r="MQS33" s="153"/>
      <c r="MQT33" s="153"/>
      <c r="MQU33" s="153"/>
      <c r="MQV33" s="153"/>
      <c r="MQW33" s="153"/>
      <c r="MQX33" s="153"/>
      <c r="MQY33" s="153"/>
      <c r="MQZ33" s="153"/>
      <c r="MRA33" s="153"/>
      <c r="MRB33" s="153"/>
      <c r="MRC33" s="153"/>
      <c r="MRD33" s="153"/>
      <c r="MRE33" s="153"/>
      <c r="MRF33" s="153"/>
      <c r="MRG33" s="153"/>
      <c r="MRH33" s="153"/>
      <c r="MRI33" s="153"/>
      <c r="MRJ33" s="153"/>
      <c r="MRK33" s="153"/>
      <c r="MRL33" s="153"/>
      <c r="MRM33" s="153"/>
      <c r="MRN33" s="153"/>
      <c r="MRO33" s="153"/>
      <c r="MRP33" s="153"/>
      <c r="MRQ33" s="153"/>
      <c r="MRR33" s="153"/>
      <c r="MRS33" s="153"/>
      <c r="MRT33" s="153"/>
      <c r="MRU33" s="153"/>
      <c r="MRV33" s="153"/>
      <c r="MRW33" s="153"/>
      <c r="MRX33" s="153"/>
      <c r="MRY33" s="153"/>
      <c r="MRZ33" s="153"/>
      <c r="MSA33" s="153"/>
      <c r="MSB33" s="153"/>
      <c r="MSC33" s="153"/>
      <c r="MSD33" s="153"/>
      <c r="MSE33" s="153"/>
      <c r="MSF33" s="153"/>
      <c r="MSG33" s="153"/>
      <c r="MSH33" s="153"/>
      <c r="MSI33" s="153"/>
      <c r="MSJ33" s="153"/>
      <c r="MSK33" s="153"/>
      <c r="MSL33" s="153"/>
      <c r="MSM33" s="153"/>
      <c r="MSN33" s="153"/>
      <c r="MSO33" s="153"/>
      <c r="MSP33" s="153"/>
      <c r="MSQ33" s="153"/>
      <c r="MSR33" s="153"/>
      <c r="MSS33" s="153"/>
      <c r="MST33" s="153"/>
      <c r="MSU33" s="153"/>
      <c r="MSV33" s="153"/>
      <c r="MSW33" s="153"/>
      <c r="MSX33" s="153"/>
      <c r="MSY33" s="153"/>
      <c r="MSZ33" s="153"/>
      <c r="MTA33" s="153"/>
      <c r="MTB33" s="153"/>
      <c r="MTC33" s="153"/>
      <c r="MTD33" s="153"/>
      <c r="MTE33" s="153"/>
      <c r="MTF33" s="153"/>
      <c r="MTG33" s="153"/>
      <c r="MTH33" s="153"/>
      <c r="MTI33" s="153"/>
      <c r="MTJ33" s="153"/>
      <c r="MTK33" s="153"/>
      <c r="MTL33" s="153"/>
      <c r="MTM33" s="153"/>
      <c r="MTN33" s="153"/>
      <c r="MTO33" s="153"/>
      <c r="MTP33" s="153"/>
      <c r="MTQ33" s="153"/>
      <c r="MTR33" s="153"/>
      <c r="MTS33" s="153"/>
      <c r="MTT33" s="153"/>
      <c r="MTU33" s="153"/>
      <c r="MTV33" s="153"/>
      <c r="MTW33" s="153"/>
      <c r="MTX33" s="153"/>
      <c r="MTY33" s="153"/>
      <c r="MTZ33" s="153"/>
      <c r="MUA33" s="153"/>
      <c r="MUB33" s="153"/>
      <c r="MUC33" s="153"/>
      <c r="MUD33" s="153"/>
      <c r="MUE33" s="153"/>
      <c r="MUF33" s="153"/>
      <c r="MUG33" s="153"/>
      <c r="MUH33" s="153"/>
      <c r="MUI33" s="153"/>
      <c r="MUJ33" s="153"/>
      <c r="MUK33" s="153"/>
      <c r="MUL33" s="153"/>
      <c r="MUM33" s="153"/>
      <c r="MUN33" s="153"/>
      <c r="MUO33" s="153"/>
      <c r="MUP33" s="153"/>
      <c r="MUQ33" s="153"/>
      <c r="MUR33" s="153"/>
      <c r="MUS33" s="153"/>
      <c r="MUT33" s="153"/>
      <c r="MUU33" s="153"/>
      <c r="MUV33" s="153"/>
      <c r="MUW33" s="153"/>
      <c r="MUX33" s="153"/>
      <c r="MUY33" s="153"/>
      <c r="MUZ33" s="153"/>
      <c r="MVA33" s="153"/>
      <c r="MVB33" s="153"/>
      <c r="MVC33" s="153"/>
      <c r="MVD33" s="153"/>
      <c r="MVE33" s="153"/>
      <c r="MVF33" s="153"/>
      <c r="MVG33" s="153"/>
      <c r="MVH33" s="153"/>
      <c r="MVI33" s="153"/>
      <c r="MVJ33" s="153"/>
      <c r="MVK33" s="153"/>
      <c r="MVL33" s="153"/>
      <c r="MVM33" s="153"/>
      <c r="MVN33" s="153"/>
      <c r="MVO33" s="153"/>
      <c r="MVP33" s="153"/>
      <c r="MVQ33" s="153"/>
      <c r="MVR33" s="153"/>
      <c r="MVS33" s="153"/>
      <c r="MVT33" s="153"/>
      <c r="MVU33" s="153"/>
      <c r="MVV33" s="153"/>
      <c r="MVW33" s="153"/>
      <c r="MVX33" s="153"/>
      <c r="MVY33" s="153"/>
      <c r="MVZ33" s="153"/>
      <c r="MWA33" s="153"/>
      <c r="MWB33" s="153"/>
      <c r="MWC33" s="153"/>
      <c r="MWD33" s="153"/>
      <c r="MWE33" s="153"/>
      <c r="MWF33" s="153"/>
      <c r="MWG33" s="153"/>
      <c r="MWH33" s="153"/>
      <c r="MWI33" s="153"/>
      <c r="MWJ33" s="153"/>
      <c r="MWK33" s="153"/>
      <c r="MWL33" s="153"/>
      <c r="MWM33" s="153"/>
      <c r="MWN33" s="153"/>
      <c r="MWO33" s="153"/>
      <c r="MWP33" s="153"/>
      <c r="MWQ33" s="153"/>
      <c r="MWR33" s="153"/>
      <c r="MWS33" s="153"/>
      <c r="MWT33" s="153"/>
      <c r="MWU33" s="153"/>
      <c r="MWV33" s="153"/>
      <c r="MWW33" s="153"/>
      <c r="MWX33" s="153"/>
      <c r="MWY33" s="153"/>
      <c r="MWZ33" s="153"/>
      <c r="MXA33" s="153"/>
      <c r="MXB33" s="153"/>
      <c r="MXC33" s="153"/>
      <c r="MXD33" s="153"/>
      <c r="MXE33" s="153"/>
      <c r="MXF33" s="153"/>
      <c r="MXG33" s="153"/>
      <c r="MXH33" s="153"/>
      <c r="MXI33" s="153"/>
      <c r="MXJ33" s="153"/>
      <c r="MXK33" s="153"/>
      <c r="MXL33" s="153"/>
      <c r="MXM33" s="153"/>
      <c r="MXN33" s="153"/>
      <c r="MXO33" s="153"/>
      <c r="MXP33" s="153"/>
      <c r="MXQ33" s="153"/>
      <c r="MXR33" s="153"/>
      <c r="MXS33" s="153"/>
      <c r="MXT33" s="153"/>
      <c r="MXU33" s="153"/>
      <c r="MXV33" s="153"/>
      <c r="MXW33" s="153"/>
      <c r="MXX33" s="153"/>
      <c r="MXY33" s="153"/>
      <c r="MXZ33" s="153"/>
      <c r="MYA33" s="153"/>
      <c r="MYB33" s="153"/>
      <c r="MYC33" s="153"/>
      <c r="MYD33" s="153"/>
      <c r="MYE33" s="153"/>
      <c r="MYF33" s="153"/>
      <c r="MYG33" s="153"/>
      <c r="MYH33" s="153"/>
      <c r="MYI33" s="153"/>
      <c r="MYJ33" s="153"/>
      <c r="MYK33" s="153"/>
      <c r="MYL33" s="153"/>
      <c r="MYM33" s="153"/>
      <c r="MYN33" s="153"/>
      <c r="MYO33" s="153"/>
      <c r="MYP33" s="153"/>
      <c r="MYQ33" s="153"/>
      <c r="MYR33" s="153"/>
      <c r="MYS33" s="153"/>
      <c r="MYT33" s="153"/>
      <c r="MYU33" s="153"/>
      <c r="MYV33" s="153"/>
      <c r="MYW33" s="153"/>
      <c r="MYX33" s="153"/>
      <c r="MYY33" s="153"/>
      <c r="MYZ33" s="153"/>
      <c r="MZA33" s="153"/>
      <c r="MZB33" s="153"/>
      <c r="MZC33" s="153"/>
      <c r="MZD33" s="153"/>
      <c r="MZE33" s="153"/>
      <c r="MZF33" s="153"/>
      <c r="MZG33" s="153"/>
      <c r="MZH33" s="153"/>
      <c r="MZI33" s="153"/>
      <c r="MZJ33" s="153"/>
      <c r="MZK33" s="153"/>
      <c r="MZL33" s="153"/>
      <c r="MZM33" s="153"/>
      <c r="MZN33" s="153"/>
      <c r="MZO33" s="153"/>
      <c r="MZP33" s="153"/>
      <c r="MZQ33" s="153"/>
      <c r="MZR33" s="153"/>
      <c r="MZS33" s="153"/>
      <c r="MZT33" s="153"/>
      <c r="MZU33" s="153"/>
      <c r="MZV33" s="153"/>
      <c r="MZW33" s="153"/>
      <c r="MZX33" s="153"/>
      <c r="MZY33" s="153"/>
      <c r="MZZ33" s="153"/>
      <c r="NAA33" s="153"/>
      <c r="NAB33" s="153"/>
      <c r="NAC33" s="153"/>
      <c r="NAD33" s="153"/>
      <c r="NAE33" s="153"/>
      <c r="NAF33" s="153"/>
      <c r="NAG33" s="153"/>
      <c r="NAH33" s="153"/>
      <c r="NAI33" s="153"/>
      <c r="NAJ33" s="153"/>
      <c r="NAK33" s="153"/>
      <c r="NAL33" s="153"/>
      <c r="NAM33" s="153"/>
      <c r="NAN33" s="153"/>
      <c r="NAO33" s="153"/>
      <c r="NAP33" s="153"/>
      <c r="NAQ33" s="153"/>
      <c r="NAR33" s="153"/>
      <c r="NAS33" s="153"/>
      <c r="NAT33" s="153"/>
      <c r="NAU33" s="153"/>
      <c r="NAV33" s="153"/>
      <c r="NAW33" s="153"/>
      <c r="NAX33" s="153"/>
      <c r="NAY33" s="153"/>
      <c r="NAZ33" s="153"/>
      <c r="NBA33" s="153"/>
      <c r="NBB33" s="153"/>
      <c r="NBC33" s="153"/>
      <c r="NBD33" s="153"/>
      <c r="NBE33" s="153"/>
      <c r="NBF33" s="153"/>
      <c r="NBG33" s="153"/>
      <c r="NBH33" s="153"/>
      <c r="NBI33" s="153"/>
      <c r="NBJ33" s="153"/>
      <c r="NBK33" s="153"/>
      <c r="NBL33" s="153"/>
      <c r="NBM33" s="153"/>
      <c r="NBN33" s="153"/>
      <c r="NBO33" s="153"/>
      <c r="NBP33" s="153"/>
      <c r="NBQ33" s="153"/>
      <c r="NBR33" s="153"/>
      <c r="NBS33" s="153"/>
      <c r="NBT33" s="153"/>
      <c r="NBU33" s="153"/>
      <c r="NBV33" s="153"/>
      <c r="NBW33" s="153"/>
      <c r="NBX33" s="153"/>
      <c r="NBY33" s="153"/>
      <c r="NBZ33" s="153"/>
      <c r="NCA33" s="153"/>
      <c r="NCB33" s="153"/>
      <c r="NCC33" s="153"/>
      <c r="NCD33" s="153"/>
      <c r="NCE33" s="153"/>
      <c r="NCF33" s="153"/>
      <c r="NCG33" s="153"/>
      <c r="NCH33" s="153"/>
      <c r="NCI33" s="153"/>
      <c r="NCJ33" s="153"/>
      <c r="NCK33" s="153"/>
      <c r="NCL33" s="153"/>
      <c r="NCM33" s="153"/>
      <c r="NCN33" s="153"/>
      <c r="NCO33" s="153"/>
      <c r="NCP33" s="153"/>
      <c r="NCQ33" s="153"/>
      <c r="NCR33" s="153"/>
      <c r="NCS33" s="153"/>
      <c r="NCT33" s="153"/>
      <c r="NCU33" s="153"/>
      <c r="NCV33" s="153"/>
      <c r="NCW33" s="153"/>
      <c r="NCX33" s="153"/>
      <c r="NCY33" s="153"/>
      <c r="NCZ33" s="153"/>
      <c r="NDA33" s="153"/>
      <c r="NDB33" s="153"/>
      <c r="NDC33" s="153"/>
      <c r="NDD33" s="153"/>
      <c r="NDE33" s="153"/>
      <c r="NDF33" s="153"/>
      <c r="NDG33" s="153"/>
      <c r="NDH33" s="153"/>
      <c r="NDI33" s="153"/>
      <c r="NDJ33" s="153"/>
      <c r="NDK33" s="153"/>
      <c r="NDL33" s="153"/>
      <c r="NDM33" s="153"/>
      <c r="NDN33" s="153"/>
      <c r="NDO33" s="153"/>
      <c r="NDP33" s="153"/>
      <c r="NDQ33" s="153"/>
      <c r="NDR33" s="153"/>
      <c r="NDS33" s="153"/>
      <c r="NDT33" s="153"/>
      <c r="NDU33" s="153"/>
      <c r="NDV33" s="153"/>
      <c r="NDW33" s="153"/>
      <c r="NDX33" s="153"/>
      <c r="NDY33" s="153"/>
      <c r="NDZ33" s="153"/>
      <c r="NEA33" s="153"/>
      <c r="NEB33" s="153"/>
      <c r="NEC33" s="153"/>
      <c r="NED33" s="153"/>
      <c r="NEE33" s="153"/>
      <c r="NEF33" s="153"/>
      <c r="NEG33" s="153"/>
      <c r="NEH33" s="153"/>
      <c r="NEI33" s="153"/>
      <c r="NEJ33" s="153"/>
      <c r="NEK33" s="153"/>
      <c r="NEL33" s="153"/>
      <c r="NEM33" s="153"/>
      <c r="NEN33" s="153"/>
      <c r="NEO33" s="153"/>
      <c r="NEP33" s="153"/>
      <c r="NEQ33" s="153"/>
      <c r="NER33" s="153"/>
      <c r="NES33" s="153"/>
      <c r="NET33" s="153"/>
      <c r="NEU33" s="153"/>
      <c r="NEV33" s="153"/>
      <c r="NEW33" s="153"/>
      <c r="NEX33" s="153"/>
      <c r="NEY33" s="153"/>
      <c r="NEZ33" s="153"/>
      <c r="NFA33" s="153"/>
      <c r="NFB33" s="153"/>
      <c r="NFC33" s="153"/>
      <c r="NFD33" s="153"/>
      <c r="NFE33" s="153"/>
      <c r="NFF33" s="153"/>
      <c r="NFG33" s="153"/>
      <c r="NFH33" s="153"/>
      <c r="NFI33" s="153"/>
      <c r="NFJ33" s="153"/>
      <c r="NFK33" s="153"/>
      <c r="NFL33" s="153"/>
      <c r="NFM33" s="153"/>
      <c r="NFN33" s="153"/>
      <c r="NFO33" s="153"/>
      <c r="NFP33" s="153"/>
      <c r="NFQ33" s="153"/>
      <c r="NFR33" s="153"/>
      <c r="NFS33" s="153"/>
      <c r="NFT33" s="153"/>
      <c r="NFU33" s="153"/>
      <c r="NFV33" s="153"/>
      <c r="NFW33" s="153"/>
      <c r="NFX33" s="153"/>
      <c r="NFY33" s="153"/>
      <c r="NFZ33" s="153"/>
      <c r="NGA33" s="153"/>
      <c r="NGB33" s="153"/>
      <c r="NGC33" s="153"/>
      <c r="NGD33" s="153"/>
      <c r="NGE33" s="153"/>
      <c r="NGF33" s="153"/>
      <c r="NGG33" s="153"/>
      <c r="NGH33" s="153"/>
      <c r="NGI33" s="153"/>
      <c r="NGJ33" s="153"/>
      <c r="NGK33" s="153"/>
      <c r="NGL33" s="153"/>
      <c r="NGM33" s="153"/>
      <c r="NGN33" s="153"/>
      <c r="NGO33" s="153"/>
      <c r="NGP33" s="153"/>
      <c r="NGQ33" s="153"/>
      <c r="NGR33" s="153"/>
      <c r="NGS33" s="153"/>
      <c r="NGT33" s="153"/>
      <c r="NGU33" s="153"/>
      <c r="NGV33" s="153"/>
      <c r="NGW33" s="153"/>
      <c r="NGX33" s="153"/>
      <c r="NGY33" s="153"/>
      <c r="NGZ33" s="153"/>
      <c r="NHA33" s="153"/>
      <c r="NHB33" s="153"/>
      <c r="NHC33" s="153"/>
      <c r="NHD33" s="153"/>
      <c r="NHE33" s="153"/>
      <c r="NHF33" s="153"/>
      <c r="NHG33" s="153"/>
      <c r="NHH33" s="153"/>
      <c r="NHI33" s="153"/>
      <c r="NHJ33" s="153"/>
      <c r="NHK33" s="153"/>
      <c r="NHL33" s="153"/>
      <c r="NHM33" s="153"/>
      <c r="NHN33" s="153"/>
      <c r="NHO33" s="153"/>
      <c r="NHP33" s="153"/>
      <c r="NHQ33" s="153"/>
      <c r="NHR33" s="153"/>
      <c r="NHS33" s="153"/>
      <c r="NHT33" s="153"/>
      <c r="NHU33" s="153"/>
      <c r="NHV33" s="153"/>
      <c r="NHW33" s="153"/>
      <c r="NHX33" s="153"/>
      <c r="NHY33" s="153"/>
      <c r="NHZ33" s="153"/>
      <c r="NIA33" s="153"/>
      <c r="NIB33" s="153"/>
      <c r="NIC33" s="153"/>
      <c r="NID33" s="153"/>
      <c r="NIE33" s="153"/>
      <c r="NIF33" s="153"/>
      <c r="NIG33" s="153"/>
      <c r="NIH33" s="153"/>
      <c r="NII33" s="153"/>
      <c r="NIJ33" s="153"/>
      <c r="NIK33" s="153"/>
      <c r="NIL33" s="153"/>
      <c r="NIM33" s="153"/>
      <c r="NIN33" s="153"/>
      <c r="NIO33" s="153"/>
      <c r="NIP33" s="153"/>
      <c r="NIQ33" s="153"/>
      <c r="NIR33" s="153"/>
      <c r="NIS33" s="153"/>
      <c r="NIT33" s="153"/>
      <c r="NIU33" s="153"/>
      <c r="NIV33" s="153"/>
      <c r="NIW33" s="153"/>
      <c r="NIX33" s="153"/>
      <c r="NIY33" s="153"/>
      <c r="NIZ33" s="153"/>
      <c r="NJA33" s="153"/>
      <c r="NJB33" s="153"/>
      <c r="NJC33" s="153"/>
      <c r="NJD33" s="153"/>
      <c r="NJE33" s="153"/>
      <c r="NJF33" s="153"/>
      <c r="NJG33" s="153"/>
      <c r="NJH33" s="153"/>
      <c r="NJI33" s="153"/>
      <c r="NJJ33" s="153"/>
      <c r="NJK33" s="153"/>
      <c r="NJL33" s="153"/>
      <c r="NJM33" s="153"/>
      <c r="NJN33" s="153"/>
      <c r="NJO33" s="153"/>
      <c r="NJP33" s="153"/>
      <c r="NJQ33" s="153"/>
      <c r="NJR33" s="153"/>
      <c r="NJS33" s="153"/>
      <c r="NJT33" s="153"/>
      <c r="NJU33" s="153"/>
      <c r="NJV33" s="153"/>
      <c r="NJW33" s="153"/>
      <c r="NJX33" s="153"/>
      <c r="NJY33" s="153"/>
      <c r="NJZ33" s="153"/>
      <c r="NKA33" s="153"/>
      <c r="NKB33" s="153"/>
      <c r="NKC33" s="153"/>
      <c r="NKD33" s="153"/>
      <c r="NKE33" s="153"/>
      <c r="NKF33" s="153"/>
      <c r="NKG33" s="153"/>
      <c r="NKH33" s="153"/>
      <c r="NKI33" s="153"/>
      <c r="NKJ33" s="153"/>
      <c r="NKK33" s="153"/>
      <c r="NKL33" s="153"/>
      <c r="NKM33" s="153"/>
      <c r="NKN33" s="153"/>
      <c r="NKO33" s="153"/>
      <c r="NKP33" s="153"/>
      <c r="NKQ33" s="153"/>
      <c r="NKR33" s="153"/>
      <c r="NKS33" s="153"/>
      <c r="NKT33" s="153"/>
      <c r="NKU33" s="153"/>
      <c r="NKV33" s="153"/>
      <c r="NKW33" s="153"/>
      <c r="NKX33" s="153"/>
      <c r="NKY33" s="153"/>
      <c r="NKZ33" s="153"/>
      <c r="NLA33" s="153"/>
      <c r="NLB33" s="153"/>
      <c r="NLC33" s="153"/>
      <c r="NLD33" s="153"/>
      <c r="NLE33" s="153"/>
      <c r="NLF33" s="153"/>
      <c r="NLG33" s="153"/>
      <c r="NLH33" s="153"/>
      <c r="NLI33" s="153"/>
      <c r="NLJ33" s="153"/>
      <c r="NLK33" s="153"/>
      <c r="NLL33" s="153"/>
      <c r="NLM33" s="153"/>
      <c r="NLN33" s="153"/>
      <c r="NLO33" s="153"/>
      <c r="NLP33" s="153"/>
      <c r="NLQ33" s="153"/>
      <c r="NLR33" s="153"/>
      <c r="NLS33" s="153"/>
      <c r="NLT33" s="153"/>
      <c r="NLU33" s="153"/>
      <c r="NLV33" s="153"/>
      <c r="NLW33" s="153"/>
      <c r="NLX33" s="153"/>
      <c r="NLY33" s="153"/>
      <c r="NLZ33" s="153"/>
      <c r="NMA33" s="153"/>
      <c r="NMB33" s="153"/>
      <c r="NMC33" s="153"/>
      <c r="NMD33" s="153"/>
      <c r="NME33" s="153"/>
      <c r="NMF33" s="153"/>
      <c r="NMG33" s="153"/>
      <c r="NMH33" s="153"/>
      <c r="NMI33" s="153"/>
      <c r="NMJ33" s="153"/>
      <c r="NMK33" s="153"/>
      <c r="NML33" s="153"/>
      <c r="NMM33" s="153"/>
      <c r="NMN33" s="153"/>
      <c r="NMO33" s="153"/>
      <c r="NMP33" s="153"/>
      <c r="NMQ33" s="153"/>
      <c r="NMR33" s="153"/>
      <c r="NMS33" s="153"/>
      <c r="NMT33" s="153"/>
      <c r="NMU33" s="153"/>
      <c r="NMV33" s="153"/>
      <c r="NMW33" s="153"/>
      <c r="NMX33" s="153"/>
      <c r="NMY33" s="153"/>
      <c r="NMZ33" s="153"/>
      <c r="NNA33" s="153"/>
      <c r="NNB33" s="153"/>
      <c r="NNC33" s="153"/>
      <c r="NND33" s="153"/>
      <c r="NNE33" s="153"/>
      <c r="NNF33" s="153"/>
      <c r="NNG33" s="153"/>
      <c r="NNH33" s="153"/>
      <c r="NNI33" s="153"/>
      <c r="NNJ33" s="153"/>
      <c r="NNK33" s="153"/>
      <c r="NNL33" s="153"/>
      <c r="NNM33" s="153"/>
      <c r="NNN33" s="153"/>
      <c r="NNO33" s="153"/>
      <c r="NNP33" s="153"/>
      <c r="NNQ33" s="153"/>
      <c r="NNR33" s="153"/>
      <c r="NNS33" s="153"/>
      <c r="NNT33" s="153"/>
      <c r="NNU33" s="153"/>
      <c r="NNV33" s="153"/>
      <c r="NNW33" s="153"/>
      <c r="NNX33" s="153"/>
      <c r="NNY33" s="153"/>
      <c r="NNZ33" s="153"/>
      <c r="NOA33" s="153"/>
      <c r="NOB33" s="153"/>
      <c r="NOC33" s="153"/>
      <c r="NOD33" s="153"/>
      <c r="NOE33" s="153"/>
      <c r="NOF33" s="153"/>
      <c r="NOG33" s="153"/>
      <c r="NOH33" s="153"/>
      <c r="NOI33" s="153"/>
      <c r="NOJ33" s="153"/>
      <c r="NOK33" s="153"/>
      <c r="NOL33" s="153"/>
      <c r="NOM33" s="153"/>
      <c r="NON33" s="153"/>
      <c r="NOO33" s="153"/>
      <c r="NOP33" s="153"/>
      <c r="NOQ33" s="153"/>
      <c r="NOR33" s="153"/>
      <c r="NOS33" s="153"/>
      <c r="NOT33" s="153"/>
      <c r="NOU33" s="153"/>
      <c r="NOV33" s="153"/>
      <c r="NOW33" s="153"/>
      <c r="NOX33" s="153"/>
      <c r="NOY33" s="153"/>
      <c r="NOZ33" s="153"/>
      <c r="NPA33" s="153"/>
      <c r="NPB33" s="153"/>
      <c r="NPC33" s="153"/>
      <c r="NPD33" s="153"/>
      <c r="NPE33" s="153"/>
      <c r="NPF33" s="153"/>
      <c r="NPG33" s="153"/>
      <c r="NPH33" s="153"/>
      <c r="NPI33" s="153"/>
      <c r="NPJ33" s="153"/>
      <c r="NPK33" s="153"/>
      <c r="NPL33" s="153"/>
      <c r="NPM33" s="153"/>
      <c r="NPN33" s="153"/>
      <c r="NPO33" s="153"/>
      <c r="NPP33" s="153"/>
      <c r="NPQ33" s="153"/>
      <c r="NPR33" s="153"/>
      <c r="NPS33" s="153"/>
      <c r="NPT33" s="153"/>
      <c r="NPU33" s="153"/>
      <c r="NPV33" s="153"/>
      <c r="NPW33" s="153"/>
      <c r="NPX33" s="153"/>
      <c r="NPY33" s="153"/>
      <c r="NPZ33" s="153"/>
      <c r="NQA33" s="153"/>
      <c r="NQB33" s="153"/>
      <c r="NQC33" s="153"/>
      <c r="NQD33" s="153"/>
      <c r="NQE33" s="153"/>
      <c r="NQF33" s="153"/>
      <c r="NQG33" s="153"/>
      <c r="NQH33" s="153"/>
      <c r="NQI33" s="153"/>
      <c r="NQJ33" s="153"/>
      <c r="NQK33" s="153"/>
      <c r="NQL33" s="153"/>
      <c r="NQM33" s="153"/>
      <c r="NQN33" s="153"/>
      <c r="NQO33" s="153"/>
      <c r="NQP33" s="153"/>
      <c r="NQQ33" s="153"/>
      <c r="NQR33" s="153"/>
      <c r="NQS33" s="153"/>
      <c r="NQT33" s="153"/>
      <c r="NQU33" s="153"/>
      <c r="NQV33" s="153"/>
      <c r="NQW33" s="153"/>
      <c r="NQX33" s="153"/>
      <c r="NQY33" s="153"/>
      <c r="NQZ33" s="153"/>
      <c r="NRA33" s="153"/>
      <c r="NRB33" s="153"/>
      <c r="NRC33" s="153"/>
      <c r="NRD33" s="153"/>
      <c r="NRE33" s="153"/>
      <c r="NRF33" s="153"/>
      <c r="NRG33" s="153"/>
      <c r="NRH33" s="153"/>
      <c r="NRI33" s="153"/>
      <c r="NRJ33" s="153"/>
      <c r="NRK33" s="153"/>
      <c r="NRL33" s="153"/>
      <c r="NRM33" s="153"/>
      <c r="NRN33" s="153"/>
      <c r="NRO33" s="153"/>
      <c r="NRP33" s="153"/>
      <c r="NRQ33" s="153"/>
      <c r="NRR33" s="153"/>
      <c r="NRS33" s="153"/>
      <c r="NRT33" s="153"/>
      <c r="NRU33" s="153"/>
      <c r="NRV33" s="153"/>
      <c r="NRW33" s="153"/>
      <c r="NRX33" s="153"/>
      <c r="NRY33" s="153"/>
      <c r="NRZ33" s="153"/>
      <c r="NSA33" s="153"/>
      <c r="NSB33" s="153"/>
      <c r="NSC33" s="153"/>
      <c r="NSD33" s="153"/>
      <c r="NSE33" s="153"/>
      <c r="NSF33" s="153"/>
      <c r="NSG33" s="153"/>
      <c r="NSH33" s="153"/>
      <c r="NSI33" s="153"/>
      <c r="NSJ33" s="153"/>
      <c r="NSK33" s="153"/>
      <c r="NSL33" s="153"/>
      <c r="NSM33" s="153"/>
      <c r="NSN33" s="153"/>
      <c r="NSO33" s="153"/>
      <c r="NSP33" s="153"/>
      <c r="NSQ33" s="153"/>
      <c r="NSR33" s="153"/>
      <c r="NSS33" s="153"/>
      <c r="NST33" s="153"/>
      <c r="NSU33" s="153"/>
      <c r="NSV33" s="153"/>
      <c r="NSW33" s="153"/>
      <c r="NSX33" s="153"/>
      <c r="NSY33" s="153"/>
      <c r="NSZ33" s="153"/>
      <c r="NTA33" s="153"/>
      <c r="NTB33" s="153"/>
      <c r="NTC33" s="153"/>
      <c r="NTD33" s="153"/>
      <c r="NTE33" s="153"/>
      <c r="NTF33" s="153"/>
      <c r="NTG33" s="153"/>
      <c r="NTH33" s="153"/>
      <c r="NTI33" s="153"/>
      <c r="NTJ33" s="153"/>
      <c r="NTK33" s="153"/>
      <c r="NTL33" s="153"/>
      <c r="NTM33" s="153"/>
      <c r="NTN33" s="153"/>
      <c r="NTO33" s="153"/>
      <c r="NTP33" s="153"/>
      <c r="NTQ33" s="153"/>
      <c r="NTR33" s="153"/>
      <c r="NTS33" s="153"/>
      <c r="NTT33" s="153"/>
      <c r="NTU33" s="153"/>
      <c r="NTV33" s="153"/>
      <c r="NTW33" s="153"/>
      <c r="NTX33" s="153"/>
      <c r="NTY33" s="153"/>
      <c r="NTZ33" s="153"/>
      <c r="NUA33" s="153"/>
      <c r="NUB33" s="153"/>
      <c r="NUC33" s="153"/>
      <c r="NUD33" s="153"/>
      <c r="NUE33" s="153"/>
      <c r="NUF33" s="153"/>
      <c r="NUG33" s="153"/>
      <c r="NUH33" s="153"/>
      <c r="NUI33" s="153"/>
      <c r="NUJ33" s="153"/>
      <c r="NUK33" s="153"/>
      <c r="NUL33" s="153"/>
      <c r="NUM33" s="153"/>
      <c r="NUN33" s="153"/>
      <c r="NUO33" s="153"/>
      <c r="NUP33" s="153"/>
      <c r="NUQ33" s="153"/>
      <c r="NUR33" s="153"/>
      <c r="NUS33" s="153"/>
      <c r="NUT33" s="153"/>
      <c r="NUU33" s="153"/>
      <c r="NUV33" s="153"/>
      <c r="NUW33" s="153"/>
      <c r="NUX33" s="153"/>
      <c r="NUY33" s="153"/>
      <c r="NUZ33" s="153"/>
      <c r="NVA33" s="153"/>
      <c r="NVB33" s="153"/>
      <c r="NVC33" s="153"/>
      <c r="NVD33" s="153"/>
      <c r="NVE33" s="153"/>
      <c r="NVF33" s="153"/>
      <c r="NVG33" s="153"/>
      <c r="NVH33" s="153"/>
      <c r="NVI33" s="153"/>
      <c r="NVJ33" s="153"/>
      <c r="NVK33" s="153"/>
      <c r="NVL33" s="153"/>
      <c r="NVM33" s="153"/>
      <c r="NVN33" s="153"/>
      <c r="NVO33" s="153"/>
      <c r="NVP33" s="153"/>
      <c r="NVQ33" s="153"/>
      <c r="NVR33" s="153"/>
      <c r="NVS33" s="153"/>
      <c r="NVT33" s="153"/>
      <c r="NVU33" s="153"/>
      <c r="NVV33" s="153"/>
      <c r="NVW33" s="153"/>
      <c r="NVX33" s="153"/>
      <c r="NVY33" s="153"/>
      <c r="NVZ33" s="153"/>
      <c r="NWA33" s="153"/>
      <c r="NWB33" s="153"/>
      <c r="NWC33" s="153"/>
      <c r="NWD33" s="153"/>
      <c r="NWE33" s="153"/>
      <c r="NWF33" s="153"/>
      <c r="NWG33" s="153"/>
      <c r="NWH33" s="153"/>
      <c r="NWI33" s="153"/>
      <c r="NWJ33" s="153"/>
      <c r="NWK33" s="153"/>
      <c r="NWL33" s="153"/>
      <c r="NWM33" s="153"/>
      <c r="NWN33" s="153"/>
      <c r="NWO33" s="153"/>
      <c r="NWP33" s="153"/>
      <c r="NWQ33" s="153"/>
      <c r="NWR33" s="153"/>
      <c r="NWS33" s="153"/>
      <c r="NWT33" s="153"/>
      <c r="NWU33" s="153"/>
      <c r="NWV33" s="153"/>
      <c r="NWW33" s="153"/>
      <c r="NWX33" s="153"/>
      <c r="NWY33" s="153"/>
      <c r="NWZ33" s="153"/>
      <c r="NXA33" s="153"/>
      <c r="NXB33" s="153"/>
      <c r="NXC33" s="153"/>
      <c r="NXD33" s="153"/>
      <c r="NXE33" s="153"/>
      <c r="NXF33" s="153"/>
      <c r="NXG33" s="153"/>
      <c r="NXH33" s="153"/>
      <c r="NXI33" s="153"/>
      <c r="NXJ33" s="153"/>
      <c r="NXK33" s="153"/>
      <c r="NXL33" s="153"/>
      <c r="NXM33" s="153"/>
      <c r="NXN33" s="153"/>
      <c r="NXO33" s="153"/>
      <c r="NXP33" s="153"/>
      <c r="NXQ33" s="153"/>
      <c r="NXR33" s="153"/>
      <c r="NXS33" s="153"/>
      <c r="NXT33" s="153"/>
      <c r="NXU33" s="153"/>
      <c r="NXV33" s="153"/>
      <c r="NXW33" s="153"/>
      <c r="NXX33" s="153"/>
      <c r="NXY33" s="153"/>
      <c r="NXZ33" s="153"/>
      <c r="NYA33" s="153"/>
      <c r="NYB33" s="153"/>
      <c r="NYC33" s="153"/>
      <c r="NYD33" s="153"/>
      <c r="NYE33" s="153"/>
      <c r="NYF33" s="153"/>
      <c r="NYG33" s="153"/>
      <c r="NYH33" s="153"/>
      <c r="NYI33" s="153"/>
      <c r="NYJ33" s="153"/>
      <c r="NYK33" s="153"/>
      <c r="NYL33" s="153"/>
      <c r="NYM33" s="153"/>
      <c r="NYN33" s="153"/>
      <c r="NYO33" s="153"/>
      <c r="NYP33" s="153"/>
      <c r="NYQ33" s="153"/>
      <c r="NYR33" s="153"/>
      <c r="NYS33" s="153"/>
      <c r="NYT33" s="153"/>
      <c r="NYU33" s="153"/>
      <c r="NYV33" s="153"/>
      <c r="NYW33" s="153"/>
      <c r="NYX33" s="153"/>
      <c r="NYY33" s="153"/>
      <c r="NYZ33" s="153"/>
      <c r="NZA33" s="153"/>
      <c r="NZB33" s="153"/>
      <c r="NZC33" s="153"/>
      <c r="NZD33" s="153"/>
      <c r="NZE33" s="153"/>
      <c r="NZF33" s="153"/>
      <c r="NZG33" s="153"/>
      <c r="NZH33" s="153"/>
      <c r="NZI33" s="153"/>
      <c r="NZJ33" s="153"/>
      <c r="NZK33" s="153"/>
      <c r="NZL33" s="153"/>
      <c r="NZM33" s="153"/>
      <c r="NZN33" s="153"/>
      <c r="NZO33" s="153"/>
      <c r="NZP33" s="153"/>
      <c r="NZQ33" s="153"/>
      <c r="NZR33" s="153"/>
      <c r="NZS33" s="153"/>
      <c r="NZT33" s="153"/>
      <c r="NZU33" s="153"/>
      <c r="NZV33" s="153"/>
      <c r="NZW33" s="153"/>
      <c r="NZX33" s="153"/>
      <c r="NZY33" s="153"/>
      <c r="NZZ33" s="153"/>
      <c r="OAA33" s="153"/>
      <c r="OAB33" s="153"/>
      <c r="OAC33" s="153"/>
      <c r="OAD33" s="153"/>
      <c r="OAE33" s="153"/>
      <c r="OAF33" s="153"/>
      <c r="OAG33" s="153"/>
      <c r="OAH33" s="153"/>
      <c r="OAI33" s="153"/>
      <c r="OAJ33" s="153"/>
      <c r="OAK33" s="153"/>
      <c r="OAL33" s="153"/>
      <c r="OAM33" s="153"/>
      <c r="OAN33" s="153"/>
      <c r="OAO33" s="153"/>
      <c r="OAP33" s="153"/>
      <c r="OAQ33" s="153"/>
      <c r="OAR33" s="153"/>
      <c r="OAS33" s="153"/>
      <c r="OAT33" s="153"/>
      <c r="OAU33" s="153"/>
      <c r="OAV33" s="153"/>
      <c r="OAW33" s="153"/>
      <c r="OAX33" s="153"/>
      <c r="OAY33" s="153"/>
      <c r="OAZ33" s="153"/>
      <c r="OBA33" s="153"/>
      <c r="OBB33" s="153"/>
      <c r="OBC33" s="153"/>
      <c r="OBD33" s="153"/>
      <c r="OBE33" s="153"/>
      <c r="OBF33" s="153"/>
      <c r="OBG33" s="153"/>
      <c r="OBH33" s="153"/>
      <c r="OBI33" s="153"/>
      <c r="OBJ33" s="153"/>
      <c r="OBK33" s="153"/>
      <c r="OBL33" s="153"/>
      <c r="OBM33" s="153"/>
      <c r="OBN33" s="153"/>
      <c r="OBO33" s="153"/>
      <c r="OBP33" s="153"/>
      <c r="OBQ33" s="153"/>
      <c r="OBR33" s="153"/>
      <c r="OBS33" s="153"/>
      <c r="OBT33" s="153"/>
      <c r="OBU33" s="153"/>
      <c r="OBV33" s="153"/>
      <c r="OBW33" s="153"/>
      <c r="OBX33" s="153"/>
      <c r="OBY33" s="153"/>
      <c r="OBZ33" s="153"/>
      <c r="OCA33" s="153"/>
      <c r="OCB33" s="153"/>
      <c r="OCC33" s="153"/>
      <c r="OCD33" s="153"/>
      <c r="OCE33" s="153"/>
      <c r="OCF33" s="153"/>
      <c r="OCG33" s="153"/>
      <c r="OCH33" s="153"/>
      <c r="OCI33" s="153"/>
      <c r="OCJ33" s="153"/>
      <c r="OCK33" s="153"/>
      <c r="OCL33" s="153"/>
      <c r="OCM33" s="153"/>
      <c r="OCN33" s="153"/>
      <c r="OCO33" s="153"/>
      <c r="OCP33" s="153"/>
      <c r="OCQ33" s="153"/>
      <c r="OCR33" s="153"/>
      <c r="OCS33" s="153"/>
      <c r="OCT33" s="153"/>
      <c r="OCU33" s="153"/>
      <c r="OCV33" s="153"/>
      <c r="OCW33" s="153"/>
      <c r="OCX33" s="153"/>
      <c r="OCY33" s="153"/>
      <c r="OCZ33" s="153"/>
      <c r="ODA33" s="153"/>
      <c r="ODB33" s="153"/>
      <c r="ODC33" s="153"/>
      <c r="ODD33" s="153"/>
      <c r="ODE33" s="153"/>
      <c r="ODF33" s="153"/>
      <c r="ODG33" s="153"/>
      <c r="ODH33" s="153"/>
      <c r="ODI33" s="153"/>
      <c r="ODJ33" s="153"/>
      <c r="ODK33" s="153"/>
      <c r="ODL33" s="153"/>
      <c r="ODM33" s="153"/>
      <c r="ODN33" s="153"/>
      <c r="ODO33" s="153"/>
      <c r="ODP33" s="153"/>
      <c r="ODQ33" s="153"/>
      <c r="ODR33" s="153"/>
      <c r="ODS33" s="153"/>
      <c r="ODT33" s="153"/>
      <c r="ODU33" s="153"/>
      <c r="ODV33" s="153"/>
      <c r="ODW33" s="153"/>
      <c r="ODX33" s="153"/>
      <c r="ODY33" s="153"/>
      <c r="ODZ33" s="153"/>
      <c r="OEA33" s="153"/>
      <c r="OEB33" s="153"/>
      <c r="OEC33" s="153"/>
      <c r="OED33" s="153"/>
      <c r="OEE33" s="153"/>
      <c r="OEF33" s="153"/>
      <c r="OEG33" s="153"/>
      <c r="OEH33" s="153"/>
      <c r="OEI33" s="153"/>
      <c r="OEJ33" s="153"/>
      <c r="OEK33" s="153"/>
      <c r="OEL33" s="153"/>
      <c r="OEM33" s="153"/>
      <c r="OEN33" s="153"/>
      <c r="OEO33" s="153"/>
      <c r="OEP33" s="153"/>
      <c r="OEQ33" s="153"/>
      <c r="OER33" s="153"/>
      <c r="OES33" s="153"/>
      <c r="OET33" s="153"/>
      <c r="OEU33" s="153"/>
      <c r="OEV33" s="153"/>
      <c r="OEW33" s="153"/>
      <c r="OEX33" s="153"/>
      <c r="OEY33" s="153"/>
      <c r="OEZ33" s="153"/>
      <c r="OFA33" s="153"/>
      <c r="OFB33" s="153"/>
      <c r="OFC33" s="153"/>
      <c r="OFD33" s="153"/>
      <c r="OFE33" s="153"/>
      <c r="OFF33" s="153"/>
      <c r="OFG33" s="153"/>
      <c r="OFH33" s="153"/>
      <c r="OFI33" s="153"/>
      <c r="OFJ33" s="153"/>
      <c r="OFK33" s="153"/>
      <c r="OFL33" s="153"/>
      <c r="OFM33" s="153"/>
      <c r="OFN33" s="153"/>
      <c r="OFO33" s="153"/>
      <c r="OFP33" s="153"/>
      <c r="OFQ33" s="153"/>
      <c r="OFR33" s="153"/>
      <c r="OFS33" s="153"/>
      <c r="OFT33" s="153"/>
      <c r="OFU33" s="153"/>
      <c r="OFV33" s="153"/>
      <c r="OFW33" s="153"/>
      <c r="OFX33" s="153"/>
      <c r="OFY33" s="153"/>
      <c r="OFZ33" s="153"/>
      <c r="OGA33" s="153"/>
      <c r="OGB33" s="153"/>
      <c r="OGC33" s="153"/>
      <c r="OGD33" s="153"/>
      <c r="OGE33" s="153"/>
      <c r="OGF33" s="153"/>
      <c r="OGG33" s="153"/>
      <c r="OGH33" s="153"/>
      <c r="OGI33" s="153"/>
      <c r="OGJ33" s="153"/>
      <c r="OGK33" s="153"/>
      <c r="OGL33" s="153"/>
      <c r="OGM33" s="153"/>
      <c r="OGN33" s="153"/>
      <c r="OGO33" s="153"/>
      <c r="OGP33" s="153"/>
      <c r="OGQ33" s="153"/>
      <c r="OGR33" s="153"/>
      <c r="OGS33" s="153"/>
      <c r="OGT33" s="153"/>
      <c r="OGU33" s="153"/>
      <c r="OGV33" s="153"/>
      <c r="OGW33" s="153"/>
      <c r="OGX33" s="153"/>
      <c r="OGY33" s="153"/>
      <c r="OGZ33" s="153"/>
      <c r="OHA33" s="153"/>
      <c r="OHB33" s="153"/>
      <c r="OHC33" s="153"/>
      <c r="OHD33" s="153"/>
      <c r="OHE33" s="153"/>
      <c r="OHF33" s="153"/>
      <c r="OHG33" s="153"/>
      <c r="OHH33" s="153"/>
      <c r="OHI33" s="153"/>
      <c r="OHJ33" s="153"/>
      <c r="OHK33" s="153"/>
      <c r="OHL33" s="153"/>
      <c r="OHM33" s="153"/>
      <c r="OHN33" s="153"/>
      <c r="OHO33" s="153"/>
      <c r="OHP33" s="153"/>
      <c r="OHQ33" s="153"/>
      <c r="OHR33" s="153"/>
      <c r="OHS33" s="153"/>
      <c r="OHT33" s="153"/>
      <c r="OHU33" s="153"/>
      <c r="OHV33" s="153"/>
      <c r="OHW33" s="153"/>
      <c r="OHX33" s="153"/>
      <c r="OHY33" s="153"/>
      <c r="OHZ33" s="153"/>
      <c r="OIA33" s="153"/>
      <c r="OIB33" s="153"/>
      <c r="OIC33" s="153"/>
      <c r="OID33" s="153"/>
      <c r="OIE33" s="153"/>
      <c r="OIF33" s="153"/>
      <c r="OIG33" s="153"/>
      <c r="OIH33" s="153"/>
      <c r="OII33" s="153"/>
      <c r="OIJ33" s="153"/>
      <c r="OIK33" s="153"/>
      <c r="OIL33" s="153"/>
      <c r="OIM33" s="153"/>
      <c r="OIN33" s="153"/>
      <c r="OIO33" s="153"/>
      <c r="OIP33" s="153"/>
      <c r="OIQ33" s="153"/>
      <c r="OIR33" s="153"/>
      <c r="OIS33" s="153"/>
      <c r="OIT33" s="153"/>
      <c r="OIU33" s="153"/>
      <c r="OIV33" s="153"/>
      <c r="OIW33" s="153"/>
      <c r="OIX33" s="153"/>
      <c r="OIY33" s="153"/>
      <c r="OIZ33" s="153"/>
      <c r="OJA33" s="153"/>
      <c r="OJB33" s="153"/>
      <c r="OJC33" s="153"/>
      <c r="OJD33" s="153"/>
      <c r="OJE33" s="153"/>
      <c r="OJF33" s="153"/>
      <c r="OJG33" s="153"/>
      <c r="OJH33" s="153"/>
      <c r="OJI33" s="153"/>
      <c r="OJJ33" s="153"/>
      <c r="OJK33" s="153"/>
      <c r="OJL33" s="153"/>
      <c r="OJM33" s="153"/>
      <c r="OJN33" s="153"/>
      <c r="OJO33" s="153"/>
      <c r="OJP33" s="153"/>
      <c r="OJQ33" s="153"/>
      <c r="OJR33" s="153"/>
      <c r="OJS33" s="153"/>
      <c r="OJT33" s="153"/>
      <c r="OJU33" s="153"/>
      <c r="OJV33" s="153"/>
      <c r="OJW33" s="153"/>
      <c r="OJX33" s="153"/>
      <c r="OJY33" s="153"/>
      <c r="OJZ33" s="153"/>
      <c r="OKA33" s="153"/>
      <c r="OKB33" s="153"/>
      <c r="OKC33" s="153"/>
      <c r="OKD33" s="153"/>
      <c r="OKE33" s="153"/>
      <c r="OKF33" s="153"/>
      <c r="OKG33" s="153"/>
      <c r="OKH33" s="153"/>
      <c r="OKI33" s="153"/>
      <c r="OKJ33" s="153"/>
      <c r="OKK33" s="153"/>
      <c r="OKL33" s="153"/>
      <c r="OKM33" s="153"/>
      <c r="OKN33" s="153"/>
      <c r="OKO33" s="153"/>
      <c r="OKP33" s="153"/>
      <c r="OKQ33" s="153"/>
      <c r="OKR33" s="153"/>
      <c r="OKS33" s="153"/>
      <c r="OKT33" s="153"/>
      <c r="OKU33" s="153"/>
      <c r="OKV33" s="153"/>
      <c r="OKW33" s="153"/>
      <c r="OKX33" s="153"/>
      <c r="OKY33" s="153"/>
      <c r="OKZ33" s="153"/>
      <c r="OLA33" s="153"/>
      <c r="OLB33" s="153"/>
      <c r="OLC33" s="153"/>
      <c r="OLD33" s="153"/>
      <c r="OLE33" s="153"/>
      <c r="OLF33" s="153"/>
      <c r="OLG33" s="153"/>
      <c r="OLH33" s="153"/>
      <c r="OLI33" s="153"/>
      <c r="OLJ33" s="153"/>
      <c r="OLK33" s="153"/>
      <c r="OLL33" s="153"/>
      <c r="OLM33" s="153"/>
      <c r="OLN33" s="153"/>
      <c r="OLO33" s="153"/>
      <c r="OLP33" s="153"/>
      <c r="OLQ33" s="153"/>
      <c r="OLR33" s="153"/>
      <c r="OLS33" s="153"/>
      <c r="OLT33" s="153"/>
      <c r="OLU33" s="153"/>
      <c r="OLV33" s="153"/>
      <c r="OLW33" s="153"/>
      <c r="OLX33" s="153"/>
      <c r="OLY33" s="153"/>
      <c r="OLZ33" s="153"/>
      <c r="OMA33" s="153"/>
      <c r="OMB33" s="153"/>
      <c r="OMC33" s="153"/>
      <c r="OMD33" s="153"/>
      <c r="OME33" s="153"/>
      <c r="OMF33" s="153"/>
      <c r="OMG33" s="153"/>
      <c r="OMH33" s="153"/>
      <c r="OMI33" s="153"/>
      <c r="OMJ33" s="153"/>
      <c r="OMK33" s="153"/>
      <c r="OML33" s="153"/>
      <c r="OMM33" s="153"/>
      <c r="OMN33" s="153"/>
      <c r="OMO33" s="153"/>
      <c r="OMP33" s="153"/>
      <c r="OMQ33" s="153"/>
      <c r="OMR33" s="153"/>
      <c r="OMS33" s="153"/>
      <c r="OMT33" s="153"/>
      <c r="OMU33" s="153"/>
      <c r="OMV33" s="153"/>
      <c r="OMW33" s="153"/>
      <c r="OMX33" s="153"/>
      <c r="OMY33" s="153"/>
      <c r="OMZ33" s="153"/>
      <c r="ONA33" s="153"/>
      <c r="ONB33" s="153"/>
      <c r="ONC33" s="153"/>
      <c r="OND33" s="153"/>
      <c r="ONE33" s="153"/>
      <c r="ONF33" s="153"/>
      <c r="ONG33" s="153"/>
      <c r="ONH33" s="153"/>
      <c r="ONI33" s="153"/>
      <c r="ONJ33" s="153"/>
      <c r="ONK33" s="153"/>
      <c r="ONL33" s="153"/>
      <c r="ONM33" s="153"/>
      <c r="ONN33" s="153"/>
      <c r="ONO33" s="153"/>
      <c r="ONP33" s="153"/>
      <c r="ONQ33" s="153"/>
      <c r="ONR33" s="153"/>
      <c r="ONS33" s="153"/>
      <c r="ONT33" s="153"/>
      <c r="ONU33" s="153"/>
      <c r="ONV33" s="153"/>
      <c r="ONW33" s="153"/>
      <c r="ONX33" s="153"/>
      <c r="ONY33" s="153"/>
      <c r="ONZ33" s="153"/>
      <c r="OOA33" s="153"/>
      <c r="OOB33" s="153"/>
      <c r="OOC33" s="153"/>
      <c r="OOD33" s="153"/>
      <c r="OOE33" s="153"/>
      <c r="OOF33" s="153"/>
      <c r="OOG33" s="153"/>
      <c r="OOH33" s="153"/>
      <c r="OOI33" s="153"/>
      <c r="OOJ33" s="153"/>
      <c r="OOK33" s="153"/>
      <c r="OOL33" s="153"/>
      <c r="OOM33" s="153"/>
      <c r="OON33" s="153"/>
      <c r="OOO33" s="153"/>
      <c r="OOP33" s="153"/>
      <c r="OOQ33" s="153"/>
      <c r="OOR33" s="153"/>
      <c r="OOS33" s="153"/>
      <c r="OOT33" s="153"/>
      <c r="OOU33" s="153"/>
      <c r="OOV33" s="153"/>
      <c r="OOW33" s="153"/>
      <c r="OOX33" s="153"/>
      <c r="OOY33" s="153"/>
      <c r="OOZ33" s="153"/>
      <c r="OPA33" s="153"/>
      <c r="OPB33" s="153"/>
      <c r="OPC33" s="153"/>
      <c r="OPD33" s="153"/>
      <c r="OPE33" s="153"/>
      <c r="OPF33" s="153"/>
      <c r="OPG33" s="153"/>
      <c r="OPH33" s="153"/>
      <c r="OPI33" s="153"/>
      <c r="OPJ33" s="153"/>
      <c r="OPK33" s="153"/>
      <c r="OPL33" s="153"/>
      <c r="OPM33" s="153"/>
      <c r="OPN33" s="153"/>
      <c r="OPO33" s="153"/>
      <c r="OPP33" s="153"/>
      <c r="OPQ33" s="153"/>
      <c r="OPR33" s="153"/>
      <c r="OPS33" s="153"/>
      <c r="OPT33" s="153"/>
      <c r="OPU33" s="153"/>
      <c r="OPV33" s="153"/>
      <c r="OPW33" s="153"/>
      <c r="OPX33" s="153"/>
      <c r="OPY33" s="153"/>
      <c r="OPZ33" s="153"/>
      <c r="OQA33" s="153"/>
      <c r="OQB33" s="153"/>
      <c r="OQC33" s="153"/>
      <c r="OQD33" s="153"/>
      <c r="OQE33" s="153"/>
      <c r="OQF33" s="153"/>
      <c r="OQG33" s="153"/>
      <c r="OQH33" s="153"/>
      <c r="OQI33" s="153"/>
      <c r="OQJ33" s="153"/>
      <c r="OQK33" s="153"/>
      <c r="OQL33" s="153"/>
      <c r="OQM33" s="153"/>
      <c r="OQN33" s="153"/>
      <c r="OQO33" s="153"/>
      <c r="OQP33" s="153"/>
      <c r="OQQ33" s="153"/>
      <c r="OQR33" s="153"/>
      <c r="OQS33" s="153"/>
      <c r="OQT33" s="153"/>
      <c r="OQU33" s="153"/>
      <c r="OQV33" s="153"/>
      <c r="OQW33" s="153"/>
      <c r="OQX33" s="153"/>
      <c r="OQY33" s="153"/>
      <c r="OQZ33" s="153"/>
      <c r="ORA33" s="153"/>
      <c r="ORB33" s="153"/>
      <c r="ORC33" s="153"/>
      <c r="ORD33" s="153"/>
      <c r="ORE33" s="153"/>
      <c r="ORF33" s="153"/>
      <c r="ORG33" s="153"/>
      <c r="ORH33" s="153"/>
      <c r="ORI33" s="153"/>
      <c r="ORJ33" s="153"/>
      <c r="ORK33" s="153"/>
      <c r="ORL33" s="153"/>
      <c r="ORM33" s="153"/>
      <c r="ORN33" s="153"/>
      <c r="ORO33" s="153"/>
      <c r="ORP33" s="153"/>
      <c r="ORQ33" s="153"/>
      <c r="ORR33" s="153"/>
      <c r="ORS33" s="153"/>
      <c r="ORT33" s="153"/>
      <c r="ORU33" s="153"/>
      <c r="ORV33" s="153"/>
      <c r="ORW33" s="153"/>
      <c r="ORX33" s="153"/>
      <c r="ORY33" s="153"/>
      <c r="ORZ33" s="153"/>
      <c r="OSA33" s="153"/>
      <c r="OSB33" s="153"/>
      <c r="OSC33" s="153"/>
      <c r="OSD33" s="153"/>
      <c r="OSE33" s="153"/>
      <c r="OSF33" s="153"/>
      <c r="OSG33" s="153"/>
      <c r="OSH33" s="153"/>
      <c r="OSI33" s="153"/>
      <c r="OSJ33" s="153"/>
      <c r="OSK33" s="153"/>
      <c r="OSL33" s="153"/>
      <c r="OSM33" s="153"/>
      <c r="OSN33" s="153"/>
      <c r="OSO33" s="153"/>
      <c r="OSP33" s="153"/>
      <c r="OSQ33" s="153"/>
      <c r="OSR33" s="153"/>
      <c r="OSS33" s="153"/>
      <c r="OST33" s="153"/>
      <c r="OSU33" s="153"/>
      <c r="OSV33" s="153"/>
      <c r="OSW33" s="153"/>
      <c r="OSX33" s="153"/>
      <c r="OSY33" s="153"/>
      <c r="OSZ33" s="153"/>
      <c r="OTA33" s="153"/>
      <c r="OTB33" s="153"/>
      <c r="OTC33" s="153"/>
      <c r="OTD33" s="153"/>
      <c r="OTE33" s="153"/>
      <c r="OTF33" s="153"/>
      <c r="OTG33" s="153"/>
      <c r="OTH33" s="153"/>
      <c r="OTI33" s="153"/>
      <c r="OTJ33" s="153"/>
      <c r="OTK33" s="153"/>
      <c r="OTL33" s="153"/>
      <c r="OTM33" s="153"/>
      <c r="OTN33" s="153"/>
      <c r="OTO33" s="153"/>
      <c r="OTP33" s="153"/>
      <c r="OTQ33" s="153"/>
      <c r="OTR33" s="153"/>
      <c r="OTS33" s="153"/>
      <c r="OTT33" s="153"/>
      <c r="OTU33" s="153"/>
      <c r="OTV33" s="153"/>
      <c r="OTW33" s="153"/>
      <c r="OTX33" s="153"/>
      <c r="OTY33" s="153"/>
      <c r="OTZ33" s="153"/>
      <c r="OUA33" s="153"/>
      <c r="OUB33" s="153"/>
      <c r="OUC33" s="153"/>
      <c r="OUD33" s="153"/>
      <c r="OUE33" s="153"/>
      <c r="OUF33" s="153"/>
      <c r="OUG33" s="153"/>
      <c r="OUH33" s="153"/>
      <c r="OUI33" s="153"/>
      <c r="OUJ33" s="153"/>
      <c r="OUK33" s="153"/>
      <c r="OUL33" s="153"/>
      <c r="OUM33" s="153"/>
      <c r="OUN33" s="153"/>
      <c r="OUO33" s="153"/>
      <c r="OUP33" s="153"/>
      <c r="OUQ33" s="153"/>
      <c r="OUR33" s="153"/>
      <c r="OUS33" s="153"/>
      <c r="OUT33" s="153"/>
      <c r="OUU33" s="153"/>
      <c r="OUV33" s="153"/>
      <c r="OUW33" s="153"/>
      <c r="OUX33" s="153"/>
      <c r="OUY33" s="153"/>
      <c r="OUZ33" s="153"/>
      <c r="OVA33" s="153"/>
      <c r="OVB33" s="153"/>
      <c r="OVC33" s="153"/>
      <c r="OVD33" s="153"/>
      <c r="OVE33" s="153"/>
      <c r="OVF33" s="153"/>
      <c r="OVG33" s="153"/>
      <c r="OVH33" s="153"/>
      <c r="OVI33" s="153"/>
      <c r="OVJ33" s="153"/>
      <c r="OVK33" s="153"/>
      <c r="OVL33" s="153"/>
      <c r="OVM33" s="153"/>
      <c r="OVN33" s="153"/>
      <c r="OVO33" s="153"/>
      <c r="OVP33" s="153"/>
      <c r="OVQ33" s="153"/>
      <c r="OVR33" s="153"/>
      <c r="OVS33" s="153"/>
      <c r="OVT33" s="153"/>
      <c r="OVU33" s="153"/>
      <c r="OVV33" s="153"/>
      <c r="OVW33" s="153"/>
      <c r="OVX33" s="153"/>
      <c r="OVY33" s="153"/>
      <c r="OVZ33" s="153"/>
      <c r="OWA33" s="153"/>
      <c r="OWB33" s="153"/>
      <c r="OWC33" s="153"/>
      <c r="OWD33" s="153"/>
      <c r="OWE33" s="153"/>
      <c r="OWF33" s="153"/>
      <c r="OWG33" s="153"/>
      <c r="OWH33" s="153"/>
      <c r="OWI33" s="153"/>
      <c r="OWJ33" s="153"/>
      <c r="OWK33" s="153"/>
      <c r="OWL33" s="153"/>
      <c r="OWM33" s="153"/>
      <c r="OWN33" s="153"/>
      <c r="OWO33" s="153"/>
      <c r="OWP33" s="153"/>
      <c r="OWQ33" s="153"/>
      <c r="OWR33" s="153"/>
      <c r="OWS33" s="153"/>
      <c r="OWT33" s="153"/>
      <c r="OWU33" s="153"/>
      <c r="OWV33" s="153"/>
      <c r="OWW33" s="153"/>
      <c r="OWX33" s="153"/>
      <c r="OWY33" s="153"/>
      <c r="OWZ33" s="153"/>
      <c r="OXA33" s="153"/>
      <c r="OXB33" s="153"/>
      <c r="OXC33" s="153"/>
      <c r="OXD33" s="153"/>
      <c r="OXE33" s="153"/>
      <c r="OXF33" s="153"/>
      <c r="OXG33" s="153"/>
      <c r="OXH33" s="153"/>
      <c r="OXI33" s="153"/>
      <c r="OXJ33" s="153"/>
      <c r="OXK33" s="153"/>
      <c r="OXL33" s="153"/>
      <c r="OXM33" s="153"/>
      <c r="OXN33" s="153"/>
      <c r="OXO33" s="153"/>
      <c r="OXP33" s="153"/>
      <c r="OXQ33" s="153"/>
      <c r="OXR33" s="153"/>
      <c r="OXS33" s="153"/>
      <c r="OXT33" s="153"/>
      <c r="OXU33" s="153"/>
      <c r="OXV33" s="153"/>
      <c r="OXW33" s="153"/>
      <c r="OXX33" s="153"/>
      <c r="OXY33" s="153"/>
      <c r="OXZ33" s="153"/>
      <c r="OYA33" s="153"/>
      <c r="OYB33" s="153"/>
      <c r="OYC33" s="153"/>
      <c r="OYD33" s="153"/>
      <c r="OYE33" s="153"/>
      <c r="OYF33" s="153"/>
      <c r="OYG33" s="153"/>
      <c r="OYH33" s="153"/>
      <c r="OYI33" s="153"/>
      <c r="OYJ33" s="153"/>
      <c r="OYK33" s="153"/>
      <c r="OYL33" s="153"/>
      <c r="OYM33" s="153"/>
      <c r="OYN33" s="153"/>
      <c r="OYO33" s="153"/>
      <c r="OYP33" s="153"/>
      <c r="OYQ33" s="153"/>
      <c r="OYR33" s="153"/>
      <c r="OYS33" s="153"/>
      <c r="OYT33" s="153"/>
      <c r="OYU33" s="153"/>
      <c r="OYV33" s="153"/>
      <c r="OYW33" s="153"/>
      <c r="OYX33" s="153"/>
      <c r="OYY33" s="153"/>
      <c r="OYZ33" s="153"/>
      <c r="OZA33" s="153"/>
      <c r="OZB33" s="153"/>
      <c r="OZC33" s="153"/>
      <c r="OZD33" s="153"/>
      <c r="OZE33" s="153"/>
      <c r="OZF33" s="153"/>
      <c r="OZG33" s="153"/>
      <c r="OZH33" s="153"/>
      <c r="OZI33" s="153"/>
      <c r="OZJ33" s="153"/>
      <c r="OZK33" s="153"/>
      <c r="OZL33" s="153"/>
      <c r="OZM33" s="153"/>
      <c r="OZN33" s="153"/>
      <c r="OZO33" s="153"/>
      <c r="OZP33" s="153"/>
      <c r="OZQ33" s="153"/>
      <c r="OZR33" s="153"/>
      <c r="OZS33" s="153"/>
      <c r="OZT33" s="153"/>
      <c r="OZU33" s="153"/>
      <c r="OZV33" s="153"/>
      <c r="OZW33" s="153"/>
      <c r="OZX33" s="153"/>
      <c r="OZY33" s="153"/>
      <c r="OZZ33" s="153"/>
      <c r="PAA33" s="153"/>
      <c r="PAB33" s="153"/>
      <c r="PAC33" s="153"/>
      <c r="PAD33" s="153"/>
      <c r="PAE33" s="153"/>
      <c r="PAF33" s="153"/>
      <c r="PAG33" s="153"/>
      <c r="PAH33" s="153"/>
      <c r="PAI33" s="153"/>
      <c r="PAJ33" s="153"/>
      <c r="PAK33" s="153"/>
      <c r="PAL33" s="153"/>
      <c r="PAM33" s="153"/>
      <c r="PAN33" s="153"/>
      <c r="PAO33" s="153"/>
      <c r="PAP33" s="153"/>
      <c r="PAQ33" s="153"/>
      <c r="PAR33" s="153"/>
      <c r="PAS33" s="153"/>
      <c r="PAT33" s="153"/>
      <c r="PAU33" s="153"/>
      <c r="PAV33" s="153"/>
      <c r="PAW33" s="153"/>
      <c r="PAX33" s="153"/>
      <c r="PAY33" s="153"/>
      <c r="PAZ33" s="153"/>
      <c r="PBA33" s="153"/>
      <c r="PBB33" s="153"/>
      <c r="PBC33" s="153"/>
      <c r="PBD33" s="153"/>
      <c r="PBE33" s="153"/>
      <c r="PBF33" s="153"/>
      <c r="PBG33" s="153"/>
      <c r="PBH33" s="153"/>
      <c r="PBI33" s="153"/>
      <c r="PBJ33" s="153"/>
      <c r="PBK33" s="153"/>
      <c r="PBL33" s="153"/>
      <c r="PBM33" s="153"/>
      <c r="PBN33" s="153"/>
      <c r="PBO33" s="153"/>
      <c r="PBP33" s="153"/>
      <c r="PBQ33" s="153"/>
      <c r="PBR33" s="153"/>
      <c r="PBS33" s="153"/>
      <c r="PBT33" s="153"/>
      <c r="PBU33" s="153"/>
      <c r="PBV33" s="153"/>
      <c r="PBW33" s="153"/>
      <c r="PBX33" s="153"/>
      <c r="PBY33" s="153"/>
      <c r="PBZ33" s="153"/>
      <c r="PCA33" s="153"/>
      <c r="PCB33" s="153"/>
      <c r="PCC33" s="153"/>
      <c r="PCD33" s="153"/>
      <c r="PCE33" s="153"/>
      <c r="PCF33" s="153"/>
      <c r="PCG33" s="153"/>
      <c r="PCH33" s="153"/>
      <c r="PCI33" s="153"/>
      <c r="PCJ33" s="153"/>
      <c r="PCK33" s="153"/>
      <c r="PCL33" s="153"/>
      <c r="PCM33" s="153"/>
      <c r="PCN33" s="153"/>
      <c r="PCO33" s="153"/>
      <c r="PCP33" s="153"/>
      <c r="PCQ33" s="153"/>
      <c r="PCR33" s="153"/>
      <c r="PCS33" s="153"/>
      <c r="PCT33" s="153"/>
      <c r="PCU33" s="153"/>
      <c r="PCV33" s="153"/>
      <c r="PCW33" s="153"/>
      <c r="PCX33" s="153"/>
      <c r="PCY33" s="153"/>
      <c r="PCZ33" s="153"/>
      <c r="PDA33" s="153"/>
      <c r="PDB33" s="153"/>
      <c r="PDC33" s="153"/>
      <c r="PDD33" s="153"/>
      <c r="PDE33" s="153"/>
      <c r="PDF33" s="153"/>
      <c r="PDG33" s="153"/>
      <c r="PDH33" s="153"/>
      <c r="PDI33" s="153"/>
      <c r="PDJ33" s="153"/>
      <c r="PDK33" s="153"/>
      <c r="PDL33" s="153"/>
      <c r="PDM33" s="153"/>
      <c r="PDN33" s="153"/>
      <c r="PDO33" s="153"/>
      <c r="PDP33" s="153"/>
      <c r="PDQ33" s="153"/>
      <c r="PDR33" s="153"/>
      <c r="PDS33" s="153"/>
      <c r="PDT33" s="153"/>
      <c r="PDU33" s="153"/>
      <c r="PDV33" s="153"/>
      <c r="PDW33" s="153"/>
      <c r="PDX33" s="153"/>
      <c r="PDY33" s="153"/>
      <c r="PDZ33" s="153"/>
      <c r="PEA33" s="153"/>
      <c r="PEB33" s="153"/>
      <c r="PEC33" s="153"/>
      <c r="PED33" s="153"/>
      <c r="PEE33" s="153"/>
      <c r="PEF33" s="153"/>
      <c r="PEG33" s="153"/>
      <c r="PEH33" s="153"/>
      <c r="PEI33" s="153"/>
      <c r="PEJ33" s="153"/>
      <c r="PEK33" s="153"/>
      <c r="PEL33" s="153"/>
      <c r="PEM33" s="153"/>
      <c r="PEN33" s="153"/>
      <c r="PEO33" s="153"/>
      <c r="PEP33" s="153"/>
      <c r="PEQ33" s="153"/>
      <c r="PER33" s="153"/>
      <c r="PES33" s="153"/>
      <c r="PET33" s="153"/>
      <c r="PEU33" s="153"/>
      <c r="PEV33" s="153"/>
      <c r="PEW33" s="153"/>
      <c r="PEX33" s="153"/>
      <c r="PEY33" s="153"/>
      <c r="PEZ33" s="153"/>
      <c r="PFA33" s="153"/>
      <c r="PFB33" s="153"/>
      <c r="PFC33" s="153"/>
      <c r="PFD33" s="153"/>
      <c r="PFE33" s="153"/>
      <c r="PFF33" s="153"/>
      <c r="PFG33" s="153"/>
      <c r="PFH33" s="153"/>
      <c r="PFI33" s="153"/>
      <c r="PFJ33" s="153"/>
      <c r="PFK33" s="153"/>
      <c r="PFL33" s="153"/>
      <c r="PFM33" s="153"/>
      <c r="PFN33" s="153"/>
      <c r="PFO33" s="153"/>
      <c r="PFP33" s="153"/>
      <c r="PFQ33" s="153"/>
      <c r="PFR33" s="153"/>
      <c r="PFS33" s="153"/>
      <c r="PFT33" s="153"/>
      <c r="PFU33" s="153"/>
      <c r="PFV33" s="153"/>
      <c r="PFW33" s="153"/>
      <c r="PFX33" s="153"/>
      <c r="PFY33" s="153"/>
      <c r="PFZ33" s="153"/>
      <c r="PGA33" s="153"/>
      <c r="PGB33" s="153"/>
      <c r="PGC33" s="153"/>
      <c r="PGD33" s="153"/>
      <c r="PGE33" s="153"/>
      <c r="PGF33" s="153"/>
      <c r="PGG33" s="153"/>
      <c r="PGH33" s="153"/>
      <c r="PGI33" s="153"/>
      <c r="PGJ33" s="153"/>
      <c r="PGK33" s="153"/>
      <c r="PGL33" s="153"/>
      <c r="PGM33" s="153"/>
      <c r="PGN33" s="153"/>
      <c r="PGO33" s="153"/>
      <c r="PGP33" s="153"/>
      <c r="PGQ33" s="153"/>
      <c r="PGR33" s="153"/>
      <c r="PGS33" s="153"/>
      <c r="PGT33" s="153"/>
      <c r="PGU33" s="153"/>
      <c r="PGV33" s="153"/>
      <c r="PGW33" s="153"/>
      <c r="PGX33" s="153"/>
      <c r="PGY33" s="153"/>
      <c r="PGZ33" s="153"/>
      <c r="PHA33" s="153"/>
      <c r="PHB33" s="153"/>
      <c r="PHC33" s="153"/>
      <c r="PHD33" s="153"/>
      <c r="PHE33" s="153"/>
      <c r="PHF33" s="153"/>
      <c r="PHG33" s="153"/>
      <c r="PHH33" s="153"/>
      <c r="PHI33" s="153"/>
      <c r="PHJ33" s="153"/>
      <c r="PHK33" s="153"/>
      <c r="PHL33" s="153"/>
      <c r="PHM33" s="153"/>
      <c r="PHN33" s="153"/>
      <c r="PHO33" s="153"/>
      <c r="PHP33" s="153"/>
      <c r="PHQ33" s="153"/>
      <c r="PHR33" s="153"/>
      <c r="PHS33" s="153"/>
      <c r="PHT33" s="153"/>
      <c r="PHU33" s="153"/>
      <c r="PHV33" s="153"/>
      <c r="PHW33" s="153"/>
      <c r="PHX33" s="153"/>
      <c r="PHY33" s="153"/>
      <c r="PHZ33" s="153"/>
      <c r="PIA33" s="153"/>
      <c r="PIB33" s="153"/>
      <c r="PIC33" s="153"/>
      <c r="PID33" s="153"/>
      <c r="PIE33" s="153"/>
      <c r="PIF33" s="153"/>
      <c r="PIG33" s="153"/>
      <c r="PIH33" s="153"/>
      <c r="PII33" s="153"/>
      <c r="PIJ33" s="153"/>
      <c r="PIK33" s="153"/>
      <c r="PIL33" s="153"/>
      <c r="PIM33" s="153"/>
      <c r="PIN33" s="153"/>
      <c r="PIO33" s="153"/>
      <c r="PIP33" s="153"/>
      <c r="PIQ33" s="153"/>
      <c r="PIR33" s="153"/>
      <c r="PIS33" s="153"/>
      <c r="PIT33" s="153"/>
      <c r="PIU33" s="153"/>
      <c r="PIV33" s="153"/>
      <c r="PIW33" s="153"/>
      <c r="PIX33" s="153"/>
      <c r="PIY33" s="153"/>
      <c r="PIZ33" s="153"/>
      <c r="PJA33" s="153"/>
      <c r="PJB33" s="153"/>
      <c r="PJC33" s="153"/>
      <c r="PJD33" s="153"/>
      <c r="PJE33" s="153"/>
      <c r="PJF33" s="153"/>
      <c r="PJG33" s="153"/>
      <c r="PJH33" s="153"/>
      <c r="PJI33" s="153"/>
      <c r="PJJ33" s="153"/>
      <c r="PJK33" s="153"/>
      <c r="PJL33" s="153"/>
      <c r="PJM33" s="153"/>
      <c r="PJN33" s="153"/>
      <c r="PJO33" s="153"/>
      <c r="PJP33" s="153"/>
      <c r="PJQ33" s="153"/>
      <c r="PJR33" s="153"/>
      <c r="PJS33" s="153"/>
      <c r="PJT33" s="153"/>
      <c r="PJU33" s="153"/>
      <c r="PJV33" s="153"/>
      <c r="PJW33" s="153"/>
      <c r="PJX33" s="153"/>
      <c r="PJY33" s="153"/>
      <c r="PJZ33" s="153"/>
      <c r="PKA33" s="153"/>
      <c r="PKB33" s="153"/>
      <c r="PKC33" s="153"/>
      <c r="PKD33" s="153"/>
      <c r="PKE33" s="153"/>
      <c r="PKF33" s="153"/>
      <c r="PKG33" s="153"/>
      <c r="PKH33" s="153"/>
      <c r="PKI33" s="153"/>
      <c r="PKJ33" s="153"/>
      <c r="PKK33" s="153"/>
      <c r="PKL33" s="153"/>
      <c r="PKM33" s="153"/>
      <c r="PKN33" s="153"/>
      <c r="PKO33" s="153"/>
      <c r="PKP33" s="153"/>
      <c r="PKQ33" s="153"/>
      <c r="PKR33" s="153"/>
      <c r="PKS33" s="153"/>
      <c r="PKT33" s="153"/>
      <c r="PKU33" s="153"/>
      <c r="PKV33" s="153"/>
      <c r="PKW33" s="153"/>
      <c r="PKX33" s="153"/>
      <c r="PKY33" s="153"/>
      <c r="PKZ33" s="153"/>
      <c r="PLA33" s="153"/>
      <c r="PLB33" s="153"/>
      <c r="PLC33" s="153"/>
      <c r="PLD33" s="153"/>
      <c r="PLE33" s="153"/>
      <c r="PLF33" s="153"/>
      <c r="PLG33" s="153"/>
      <c r="PLH33" s="153"/>
      <c r="PLI33" s="153"/>
      <c r="PLJ33" s="153"/>
      <c r="PLK33" s="153"/>
      <c r="PLL33" s="153"/>
      <c r="PLM33" s="153"/>
      <c r="PLN33" s="153"/>
      <c r="PLO33" s="153"/>
      <c r="PLP33" s="153"/>
      <c r="PLQ33" s="153"/>
      <c r="PLR33" s="153"/>
      <c r="PLS33" s="153"/>
      <c r="PLT33" s="153"/>
      <c r="PLU33" s="153"/>
      <c r="PLV33" s="153"/>
      <c r="PLW33" s="153"/>
      <c r="PLX33" s="153"/>
      <c r="PLY33" s="153"/>
      <c r="PLZ33" s="153"/>
      <c r="PMA33" s="153"/>
      <c r="PMB33" s="153"/>
      <c r="PMC33" s="153"/>
      <c r="PMD33" s="153"/>
      <c r="PME33" s="153"/>
      <c r="PMF33" s="153"/>
      <c r="PMG33" s="153"/>
      <c r="PMH33" s="153"/>
      <c r="PMI33" s="153"/>
      <c r="PMJ33" s="153"/>
      <c r="PMK33" s="153"/>
      <c r="PML33" s="153"/>
      <c r="PMM33" s="153"/>
      <c r="PMN33" s="153"/>
      <c r="PMO33" s="153"/>
      <c r="PMP33" s="153"/>
      <c r="PMQ33" s="153"/>
      <c r="PMR33" s="153"/>
      <c r="PMS33" s="153"/>
      <c r="PMT33" s="153"/>
      <c r="PMU33" s="153"/>
      <c r="PMV33" s="153"/>
      <c r="PMW33" s="153"/>
      <c r="PMX33" s="153"/>
      <c r="PMY33" s="153"/>
      <c r="PMZ33" s="153"/>
      <c r="PNA33" s="153"/>
      <c r="PNB33" s="153"/>
      <c r="PNC33" s="153"/>
      <c r="PND33" s="153"/>
      <c r="PNE33" s="153"/>
      <c r="PNF33" s="153"/>
      <c r="PNG33" s="153"/>
      <c r="PNH33" s="153"/>
      <c r="PNI33" s="153"/>
      <c r="PNJ33" s="153"/>
      <c r="PNK33" s="153"/>
      <c r="PNL33" s="153"/>
      <c r="PNM33" s="153"/>
      <c r="PNN33" s="153"/>
      <c r="PNO33" s="153"/>
      <c r="PNP33" s="153"/>
      <c r="PNQ33" s="153"/>
      <c r="PNR33" s="153"/>
      <c r="PNS33" s="153"/>
      <c r="PNT33" s="153"/>
      <c r="PNU33" s="153"/>
      <c r="PNV33" s="153"/>
      <c r="PNW33" s="153"/>
      <c r="PNX33" s="153"/>
      <c r="PNY33" s="153"/>
      <c r="PNZ33" s="153"/>
      <c r="POA33" s="153"/>
      <c r="POB33" s="153"/>
      <c r="POC33" s="153"/>
      <c r="POD33" s="153"/>
      <c r="POE33" s="153"/>
      <c r="POF33" s="153"/>
      <c r="POG33" s="153"/>
      <c r="POH33" s="153"/>
      <c r="POI33" s="153"/>
      <c r="POJ33" s="153"/>
      <c r="POK33" s="153"/>
      <c r="POL33" s="153"/>
      <c r="POM33" s="153"/>
      <c r="PON33" s="153"/>
      <c r="POO33" s="153"/>
      <c r="POP33" s="153"/>
      <c r="POQ33" s="153"/>
      <c r="POR33" s="153"/>
      <c r="POS33" s="153"/>
      <c r="POT33" s="153"/>
      <c r="POU33" s="153"/>
      <c r="POV33" s="153"/>
      <c r="POW33" s="153"/>
      <c r="POX33" s="153"/>
      <c r="POY33" s="153"/>
      <c r="POZ33" s="153"/>
      <c r="PPA33" s="153"/>
      <c r="PPB33" s="153"/>
      <c r="PPC33" s="153"/>
      <c r="PPD33" s="153"/>
      <c r="PPE33" s="153"/>
      <c r="PPF33" s="153"/>
      <c r="PPG33" s="153"/>
      <c r="PPH33" s="153"/>
      <c r="PPI33" s="153"/>
      <c r="PPJ33" s="153"/>
      <c r="PPK33" s="153"/>
      <c r="PPL33" s="153"/>
      <c r="PPM33" s="153"/>
      <c r="PPN33" s="153"/>
      <c r="PPO33" s="153"/>
      <c r="PPP33" s="153"/>
      <c r="PPQ33" s="153"/>
      <c r="PPR33" s="153"/>
      <c r="PPS33" s="153"/>
      <c r="PPT33" s="153"/>
      <c r="PPU33" s="153"/>
      <c r="PPV33" s="153"/>
      <c r="PPW33" s="153"/>
      <c r="PPX33" s="153"/>
      <c r="PPY33" s="153"/>
      <c r="PPZ33" s="153"/>
      <c r="PQA33" s="153"/>
      <c r="PQB33" s="153"/>
      <c r="PQC33" s="153"/>
      <c r="PQD33" s="153"/>
      <c r="PQE33" s="153"/>
      <c r="PQF33" s="153"/>
      <c r="PQG33" s="153"/>
      <c r="PQH33" s="153"/>
      <c r="PQI33" s="153"/>
      <c r="PQJ33" s="153"/>
      <c r="PQK33" s="153"/>
      <c r="PQL33" s="153"/>
      <c r="PQM33" s="153"/>
      <c r="PQN33" s="153"/>
      <c r="PQO33" s="153"/>
      <c r="PQP33" s="153"/>
      <c r="PQQ33" s="153"/>
      <c r="PQR33" s="153"/>
      <c r="PQS33" s="153"/>
      <c r="PQT33" s="153"/>
      <c r="PQU33" s="153"/>
      <c r="PQV33" s="153"/>
      <c r="PQW33" s="153"/>
      <c r="PQX33" s="153"/>
      <c r="PQY33" s="153"/>
      <c r="PQZ33" s="153"/>
      <c r="PRA33" s="153"/>
      <c r="PRB33" s="153"/>
      <c r="PRC33" s="153"/>
      <c r="PRD33" s="153"/>
      <c r="PRE33" s="153"/>
      <c r="PRF33" s="153"/>
      <c r="PRG33" s="153"/>
      <c r="PRH33" s="153"/>
      <c r="PRI33" s="153"/>
      <c r="PRJ33" s="153"/>
      <c r="PRK33" s="153"/>
      <c r="PRL33" s="153"/>
      <c r="PRM33" s="153"/>
      <c r="PRN33" s="153"/>
      <c r="PRO33" s="153"/>
      <c r="PRP33" s="153"/>
      <c r="PRQ33" s="153"/>
      <c r="PRR33" s="153"/>
      <c r="PRS33" s="153"/>
      <c r="PRT33" s="153"/>
      <c r="PRU33" s="153"/>
      <c r="PRV33" s="153"/>
      <c r="PRW33" s="153"/>
      <c r="PRX33" s="153"/>
      <c r="PRY33" s="153"/>
      <c r="PRZ33" s="153"/>
      <c r="PSA33" s="153"/>
      <c r="PSB33" s="153"/>
      <c r="PSC33" s="153"/>
      <c r="PSD33" s="153"/>
      <c r="PSE33" s="153"/>
      <c r="PSF33" s="153"/>
      <c r="PSG33" s="153"/>
      <c r="PSH33" s="153"/>
      <c r="PSI33" s="153"/>
      <c r="PSJ33" s="153"/>
      <c r="PSK33" s="153"/>
      <c r="PSL33" s="153"/>
      <c r="PSM33" s="153"/>
      <c r="PSN33" s="153"/>
      <c r="PSO33" s="153"/>
      <c r="PSP33" s="153"/>
      <c r="PSQ33" s="153"/>
      <c r="PSR33" s="153"/>
      <c r="PSS33" s="153"/>
      <c r="PST33" s="153"/>
      <c r="PSU33" s="153"/>
      <c r="PSV33" s="153"/>
      <c r="PSW33" s="153"/>
      <c r="PSX33" s="153"/>
      <c r="PSY33" s="153"/>
      <c r="PSZ33" s="153"/>
      <c r="PTA33" s="153"/>
      <c r="PTB33" s="153"/>
      <c r="PTC33" s="153"/>
      <c r="PTD33" s="153"/>
      <c r="PTE33" s="153"/>
      <c r="PTF33" s="153"/>
      <c r="PTG33" s="153"/>
      <c r="PTH33" s="153"/>
      <c r="PTI33" s="153"/>
      <c r="PTJ33" s="153"/>
      <c r="PTK33" s="153"/>
      <c r="PTL33" s="153"/>
      <c r="PTM33" s="153"/>
      <c r="PTN33" s="153"/>
      <c r="PTO33" s="153"/>
      <c r="PTP33" s="153"/>
      <c r="PTQ33" s="153"/>
      <c r="PTR33" s="153"/>
      <c r="PTS33" s="153"/>
      <c r="PTT33" s="153"/>
      <c r="PTU33" s="153"/>
      <c r="PTV33" s="153"/>
      <c r="PTW33" s="153"/>
      <c r="PTX33" s="153"/>
      <c r="PTY33" s="153"/>
      <c r="PTZ33" s="153"/>
      <c r="PUA33" s="153"/>
      <c r="PUB33" s="153"/>
      <c r="PUC33" s="153"/>
      <c r="PUD33" s="153"/>
      <c r="PUE33" s="153"/>
      <c r="PUF33" s="153"/>
      <c r="PUG33" s="153"/>
      <c r="PUH33" s="153"/>
      <c r="PUI33" s="153"/>
      <c r="PUJ33" s="153"/>
      <c r="PUK33" s="153"/>
      <c r="PUL33" s="153"/>
      <c r="PUM33" s="153"/>
      <c r="PUN33" s="153"/>
      <c r="PUO33" s="153"/>
      <c r="PUP33" s="153"/>
      <c r="PUQ33" s="153"/>
      <c r="PUR33" s="153"/>
      <c r="PUS33" s="153"/>
      <c r="PUT33" s="153"/>
      <c r="PUU33" s="153"/>
      <c r="PUV33" s="153"/>
      <c r="PUW33" s="153"/>
      <c r="PUX33" s="153"/>
      <c r="PUY33" s="153"/>
      <c r="PUZ33" s="153"/>
      <c r="PVA33" s="153"/>
      <c r="PVB33" s="153"/>
      <c r="PVC33" s="153"/>
      <c r="PVD33" s="153"/>
      <c r="PVE33" s="153"/>
      <c r="PVF33" s="153"/>
      <c r="PVG33" s="153"/>
      <c r="PVH33" s="153"/>
      <c r="PVI33" s="153"/>
      <c r="PVJ33" s="153"/>
      <c r="PVK33" s="153"/>
      <c r="PVL33" s="153"/>
      <c r="PVM33" s="153"/>
      <c r="PVN33" s="153"/>
      <c r="PVO33" s="153"/>
      <c r="PVP33" s="153"/>
      <c r="PVQ33" s="153"/>
      <c r="PVR33" s="153"/>
      <c r="PVS33" s="153"/>
      <c r="PVT33" s="153"/>
      <c r="PVU33" s="153"/>
      <c r="PVV33" s="153"/>
      <c r="PVW33" s="153"/>
      <c r="PVX33" s="153"/>
      <c r="PVY33" s="153"/>
      <c r="PVZ33" s="153"/>
      <c r="PWA33" s="153"/>
      <c r="PWB33" s="153"/>
      <c r="PWC33" s="153"/>
      <c r="PWD33" s="153"/>
      <c r="PWE33" s="153"/>
      <c r="PWF33" s="153"/>
      <c r="PWG33" s="153"/>
      <c r="PWH33" s="153"/>
      <c r="PWI33" s="153"/>
      <c r="PWJ33" s="153"/>
      <c r="PWK33" s="153"/>
      <c r="PWL33" s="153"/>
      <c r="PWM33" s="153"/>
      <c r="PWN33" s="153"/>
      <c r="PWO33" s="153"/>
      <c r="PWP33" s="153"/>
      <c r="PWQ33" s="153"/>
      <c r="PWR33" s="153"/>
      <c r="PWS33" s="153"/>
      <c r="PWT33" s="153"/>
      <c r="PWU33" s="153"/>
      <c r="PWV33" s="153"/>
      <c r="PWW33" s="153"/>
      <c r="PWX33" s="153"/>
      <c r="PWY33" s="153"/>
      <c r="PWZ33" s="153"/>
      <c r="PXA33" s="153"/>
      <c r="PXB33" s="153"/>
      <c r="PXC33" s="153"/>
      <c r="PXD33" s="153"/>
      <c r="PXE33" s="153"/>
      <c r="PXF33" s="153"/>
      <c r="PXG33" s="153"/>
      <c r="PXH33" s="153"/>
      <c r="PXI33" s="153"/>
      <c r="PXJ33" s="153"/>
      <c r="PXK33" s="153"/>
      <c r="PXL33" s="153"/>
      <c r="PXM33" s="153"/>
      <c r="PXN33" s="153"/>
      <c r="PXO33" s="153"/>
      <c r="PXP33" s="153"/>
      <c r="PXQ33" s="153"/>
      <c r="PXR33" s="153"/>
      <c r="PXS33" s="153"/>
      <c r="PXT33" s="153"/>
      <c r="PXU33" s="153"/>
      <c r="PXV33" s="153"/>
      <c r="PXW33" s="153"/>
      <c r="PXX33" s="153"/>
      <c r="PXY33" s="153"/>
      <c r="PXZ33" s="153"/>
      <c r="PYA33" s="153"/>
      <c r="PYB33" s="153"/>
      <c r="PYC33" s="153"/>
      <c r="PYD33" s="153"/>
      <c r="PYE33" s="153"/>
      <c r="PYF33" s="153"/>
      <c r="PYG33" s="153"/>
      <c r="PYH33" s="153"/>
      <c r="PYI33" s="153"/>
      <c r="PYJ33" s="153"/>
      <c r="PYK33" s="153"/>
      <c r="PYL33" s="153"/>
      <c r="PYM33" s="153"/>
      <c r="PYN33" s="153"/>
      <c r="PYO33" s="153"/>
      <c r="PYP33" s="153"/>
      <c r="PYQ33" s="153"/>
      <c r="PYR33" s="153"/>
      <c r="PYS33" s="153"/>
      <c r="PYT33" s="153"/>
      <c r="PYU33" s="153"/>
      <c r="PYV33" s="153"/>
      <c r="PYW33" s="153"/>
      <c r="PYX33" s="153"/>
      <c r="PYY33" s="153"/>
      <c r="PYZ33" s="153"/>
      <c r="PZA33" s="153"/>
      <c r="PZB33" s="153"/>
      <c r="PZC33" s="153"/>
      <c r="PZD33" s="153"/>
      <c r="PZE33" s="153"/>
      <c r="PZF33" s="153"/>
      <c r="PZG33" s="153"/>
      <c r="PZH33" s="153"/>
      <c r="PZI33" s="153"/>
      <c r="PZJ33" s="153"/>
      <c r="PZK33" s="153"/>
      <c r="PZL33" s="153"/>
      <c r="PZM33" s="153"/>
      <c r="PZN33" s="153"/>
      <c r="PZO33" s="153"/>
      <c r="PZP33" s="153"/>
      <c r="PZQ33" s="153"/>
      <c r="PZR33" s="153"/>
      <c r="PZS33" s="153"/>
      <c r="PZT33" s="153"/>
      <c r="PZU33" s="153"/>
      <c r="PZV33" s="153"/>
      <c r="PZW33" s="153"/>
      <c r="PZX33" s="153"/>
      <c r="PZY33" s="153"/>
      <c r="PZZ33" s="153"/>
      <c r="QAA33" s="153"/>
      <c r="QAB33" s="153"/>
      <c r="QAC33" s="153"/>
      <c r="QAD33" s="153"/>
      <c r="QAE33" s="153"/>
      <c r="QAF33" s="153"/>
      <c r="QAG33" s="153"/>
      <c r="QAH33" s="153"/>
      <c r="QAI33" s="153"/>
      <c r="QAJ33" s="153"/>
      <c r="QAK33" s="153"/>
      <c r="QAL33" s="153"/>
      <c r="QAM33" s="153"/>
      <c r="QAN33" s="153"/>
      <c r="QAO33" s="153"/>
      <c r="QAP33" s="153"/>
      <c r="QAQ33" s="153"/>
      <c r="QAR33" s="153"/>
      <c r="QAS33" s="153"/>
      <c r="QAT33" s="153"/>
      <c r="QAU33" s="153"/>
      <c r="QAV33" s="153"/>
      <c r="QAW33" s="153"/>
      <c r="QAX33" s="153"/>
      <c r="QAY33" s="153"/>
      <c r="QAZ33" s="153"/>
      <c r="QBA33" s="153"/>
      <c r="QBB33" s="153"/>
      <c r="QBC33" s="153"/>
      <c r="QBD33" s="153"/>
      <c r="QBE33" s="153"/>
      <c r="QBF33" s="153"/>
      <c r="QBG33" s="153"/>
      <c r="QBH33" s="153"/>
      <c r="QBI33" s="153"/>
      <c r="QBJ33" s="153"/>
      <c r="QBK33" s="153"/>
      <c r="QBL33" s="153"/>
      <c r="QBM33" s="153"/>
      <c r="QBN33" s="153"/>
      <c r="QBO33" s="153"/>
      <c r="QBP33" s="153"/>
      <c r="QBQ33" s="153"/>
      <c r="QBR33" s="153"/>
      <c r="QBS33" s="153"/>
      <c r="QBT33" s="153"/>
      <c r="QBU33" s="153"/>
      <c r="QBV33" s="153"/>
      <c r="QBW33" s="153"/>
      <c r="QBX33" s="153"/>
      <c r="QBY33" s="153"/>
      <c r="QBZ33" s="153"/>
      <c r="QCA33" s="153"/>
      <c r="QCB33" s="153"/>
      <c r="QCC33" s="153"/>
      <c r="QCD33" s="153"/>
      <c r="QCE33" s="153"/>
      <c r="QCF33" s="153"/>
      <c r="QCG33" s="153"/>
      <c r="QCH33" s="153"/>
      <c r="QCI33" s="153"/>
      <c r="QCJ33" s="153"/>
      <c r="QCK33" s="153"/>
      <c r="QCL33" s="153"/>
      <c r="QCM33" s="153"/>
      <c r="QCN33" s="153"/>
      <c r="QCO33" s="153"/>
      <c r="QCP33" s="153"/>
      <c r="QCQ33" s="153"/>
      <c r="QCR33" s="153"/>
      <c r="QCS33" s="153"/>
      <c r="QCT33" s="153"/>
      <c r="QCU33" s="153"/>
      <c r="QCV33" s="153"/>
      <c r="QCW33" s="153"/>
      <c r="QCX33" s="153"/>
      <c r="QCY33" s="153"/>
      <c r="QCZ33" s="153"/>
      <c r="QDA33" s="153"/>
      <c r="QDB33" s="153"/>
      <c r="QDC33" s="153"/>
      <c r="QDD33" s="153"/>
      <c r="QDE33" s="153"/>
      <c r="QDF33" s="153"/>
      <c r="QDG33" s="153"/>
      <c r="QDH33" s="153"/>
      <c r="QDI33" s="153"/>
      <c r="QDJ33" s="153"/>
      <c r="QDK33" s="153"/>
      <c r="QDL33" s="153"/>
      <c r="QDM33" s="153"/>
      <c r="QDN33" s="153"/>
      <c r="QDO33" s="153"/>
      <c r="QDP33" s="153"/>
      <c r="QDQ33" s="153"/>
      <c r="QDR33" s="153"/>
      <c r="QDS33" s="153"/>
      <c r="QDT33" s="153"/>
      <c r="QDU33" s="153"/>
      <c r="QDV33" s="153"/>
      <c r="QDW33" s="153"/>
      <c r="QDX33" s="153"/>
      <c r="QDY33" s="153"/>
      <c r="QDZ33" s="153"/>
      <c r="QEA33" s="153"/>
      <c r="QEB33" s="153"/>
      <c r="QEC33" s="153"/>
      <c r="QED33" s="153"/>
      <c r="QEE33" s="153"/>
      <c r="QEF33" s="153"/>
      <c r="QEG33" s="153"/>
      <c r="QEH33" s="153"/>
      <c r="QEI33" s="153"/>
      <c r="QEJ33" s="153"/>
      <c r="QEK33" s="153"/>
      <c r="QEL33" s="153"/>
      <c r="QEM33" s="153"/>
      <c r="QEN33" s="153"/>
      <c r="QEO33" s="153"/>
      <c r="QEP33" s="153"/>
      <c r="QEQ33" s="153"/>
      <c r="QER33" s="153"/>
      <c r="QES33" s="153"/>
      <c r="QET33" s="153"/>
      <c r="QEU33" s="153"/>
      <c r="QEV33" s="153"/>
      <c r="QEW33" s="153"/>
      <c r="QEX33" s="153"/>
      <c r="QEY33" s="153"/>
      <c r="QEZ33" s="153"/>
      <c r="QFA33" s="153"/>
      <c r="QFB33" s="153"/>
      <c r="QFC33" s="153"/>
      <c r="QFD33" s="153"/>
      <c r="QFE33" s="153"/>
      <c r="QFF33" s="153"/>
      <c r="QFG33" s="153"/>
      <c r="QFH33" s="153"/>
      <c r="QFI33" s="153"/>
      <c r="QFJ33" s="153"/>
      <c r="QFK33" s="153"/>
      <c r="QFL33" s="153"/>
      <c r="QFM33" s="153"/>
      <c r="QFN33" s="153"/>
      <c r="QFO33" s="153"/>
      <c r="QFP33" s="153"/>
      <c r="QFQ33" s="153"/>
      <c r="QFR33" s="153"/>
      <c r="QFS33" s="153"/>
      <c r="QFT33" s="153"/>
      <c r="QFU33" s="153"/>
      <c r="QFV33" s="153"/>
      <c r="QFW33" s="153"/>
      <c r="QFX33" s="153"/>
      <c r="QFY33" s="153"/>
      <c r="QFZ33" s="153"/>
      <c r="QGA33" s="153"/>
      <c r="QGB33" s="153"/>
      <c r="QGC33" s="153"/>
      <c r="QGD33" s="153"/>
      <c r="QGE33" s="153"/>
      <c r="QGF33" s="153"/>
      <c r="QGG33" s="153"/>
      <c r="QGH33" s="153"/>
      <c r="QGI33" s="153"/>
      <c r="QGJ33" s="153"/>
      <c r="QGK33" s="153"/>
      <c r="QGL33" s="153"/>
      <c r="QGM33" s="153"/>
      <c r="QGN33" s="153"/>
      <c r="QGO33" s="153"/>
      <c r="QGP33" s="153"/>
      <c r="QGQ33" s="153"/>
      <c r="QGR33" s="153"/>
      <c r="QGS33" s="153"/>
      <c r="QGT33" s="153"/>
      <c r="QGU33" s="153"/>
      <c r="QGV33" s="153"/>
      <c r="QGW33" s="153"/>
      <c r="QGX33" s="153"/>
      <c r="QGY33" s="153"/>
      <c r="QGZ33" s="153"/>
      <c r="QHA33" s="153"/>
      <c r="QHB33" s="153"/>
      <c r="QHC33" s="153"/>
      <c r="QHD33" s="153"/>
      <c r="QHE33" s="153"/>
      <c r="QHF33" s="153"/>
      <c r="QHG33" s="153"/>
      <c r="QHH33" s="153"/>
      <c r="QHI33" s="153"/>
      <c r="QHJ33" s="153"/>
      <c r="QHK33" s="153"/>
      <c r="QHL33" s="153"/>
      <c r="QHM33" s="153"/>
      <c r="QHN33" s="153"/>
      <c r="QHO33" s="153"/>
      <c r="QHP33" s="153"/>
      <c r="QHQ33" s="153"/>
      <c r="QHR33" s="153"/>
      <c r="QHS33" s="153"/>
      <c r="QHT33" s="153"/>
      <c r="QHU33" s="153"/>
      <c r="QHV33" s="153"/>
      <c r="QHW33" s="153"/>
      <c r="QHX33" s="153"/>
      <c r="QHY33" s="153"/>
      <c r="QHZ33" s="153"/>
      <c r="QIA33" s="153"/>
      <c r="QIB33" s="153"/>
      <c r="QIC33" s="153"/>
      <c r="QID33" s="153"/>
      <c r="QIE33" s="153"/>
      <c r="QIF33" s="153"/>
      <c r="QIG33" s="153"/>
      <c r="QIH33" s="153"/>
      <c r="QII33" s="153"/>
      <c r="QIJ33" s="153"/>
      <c r="QIK33" s="153"/>
      <c r="QIL33" s="153"/>
      <c r="QIM33" s="153"/>
      <c r="QIN33" s="153"/>
      <c r="QIO33" s="153"/>
      <c r="QIP33" s="153"/>
      <c r="QIQ33" s="153"/>
      <c r="QIR33" s="153"/>
      <c r="QIS33" s="153"/>
      <c r="QIT33" s="153"/>
      <c r="QIU33" s="153"/>
      <c r="QIV33" s="153"/>
      <c r="QIW33" s="153"/>
      <c r="QIX33" s="153"/>
      <c r="QIY33" s="153"/>
      <c r="QIZ33" s="153"/>
      <c r="QJA33" s="153"/>
      <c r="QJB33" s="153"/>
      <c r="QJC33" s="153"/>
      <c r="QJD33" s="153"/>
      <c r="QJE33" s="153"/>
      <c r="QJF33" s="153"/>
      <c r="QJG33" s="153"/>
      <c r="QJH33" s="153"/>
      <c r="QJI33" s="153"/>
      <c r="QJJ33" s="153"/>
      <c r="QJK33" s="153"/>
      <c r="QJL33" s="153"/>
      <c r="QJM33" s="153"/>
      <c r="QJN33" s="153"/>
      <c r="QJO33" s="153"/>
      <c r="QJP33" s="153"/>
      <c r="QJQ33" s="153"/>
      <c r="QJR33" s="153"/>
      <c r="QJS33" s="153"/>
      <c r="QJT33" s="153"/>
      <c r="QJU33" s="153"/>
      <c r="QJV33" s="153"/>
      <c r="QJW33" s="153"/>
      <c r="QJX33" s="153"/>
      <c r="QJY33" s="153"/>
      <c r="QJZ33" s="153"/>
      <c r="QKA33" s="153"/>
      <c r="QKB33" s="153"/>
      <c r="QKC33" s="153"/>
      <c r="QKD33" s="153"/>
      <c r="QKE33" s="153"/>
      <c r="QKF33" s="153"/>
      <c r="QKG33" s="153"/>
      <c r="QKH33" s="153"/>
      <c r="QKI33" s="153"/>
      <c r="QKJ33" s="153"/>
      <c r="QKK33" s="153"/>
      <c r="QKL33" s="153"/>
      <c r="QKM33" s="153"/>
      <c r="QKN33" s="153"/>
      <c r="QKO33" s="153"/>
      <c r="QKP33" s="153"/>
      <c r="QKQ33" s="153"/>
      <c r="QKR33" s="153"/>
      <c r="QKS33" s="153"/>
      <c r="QKT33" s="153"/>
      <c r="QKU33" s="153"/>
      <c r="QKV33" s="153"/>
      <c r="QKW33" s="153"/>
      <c r="QKX33" s="153"/>
      <c r="QKY33" s="153"/>
      <c r="QKZ33" s="153"/>
      <c r="QLA33" s="153"/>
      <c r="QLB33" s="153"/>
      <c r="QLC33" s="153"/>
      <c r="QLD33" s="153"/>
      <c r="QLE33" s="153"/>
      <c r="QLF33" s="153"/>
      <c r="QLG33" s="153"/>
      <c r="QLH33" s="153"/>
      <c r="QLI33" s="153"/>
      <c r="QLJ33" s="153"/>
      <c r="QLK33" s="153"/>
      <c r="QLL33" s="153"/>
      <c r="QLM33" s="153"/>
      <c r="QLN33" s="153"/>
      <c r="QLO33" s="153"/>
      <c r="QLP33" s="153"/>
      <c r="QLQ33" s="153"/>
      <c r="QLR33" s="153"/>
      <c r="QLS33" s="153"/>
      <c r="QLT33" s="153"/>
      <c r="QLU33" s="153"/>
      <c r="QLV33" s="153"/>
      <c r="QLW33" s="153"/>
      <c r="QLX33" s="153"/>
      <c r="QLY33" s="153"/>
      <c r="QLZ33" s="153"/>
      <c r="QMA33" s="153"/>
      <c r="QMB33" s="153"/>
      <c r="QMC33" s="153"/>
      <c r="QMD33" s="153"/>
      <c r="QME33" s="153"/>
      <c r="QMF33" s="153"/>
      <c r="QMG33" s="153"/>
      <c r="QMH33" s="153"/>
      <c r="QMI33" s="153"/>
      <c r="QMJ33" s="153"/>
      <c r="QMK33" s="153"/>
      <c r="QML33" s="153"/>
      <c r="QMM33" s="153"/>
      <c r="QMN33" s="153"/>
      <c r="QMO33" s="153"/>
      <c r="QMP33" s="153"/>
      <c r="QMQ33" s="153"/>
      <c r="QMR33" s="153"/>
      <c r="QMS33" s="153"/>
      <c r="QMT33" s="153"/>
      <c r="QMU33" s="153"/>
      <c r="QMV33" s="153"/>
      <c r="QMW33" s="153"/>
      <c r="QMX33" s="153"/>
      <c r="QMY33" s="153"/>
      <c r="QMZ33" s="153"/>
      <c r="QNA33" s="153"/>
      <c r="QNB33" s="153"/>
      <c r="QNC33" s="153"/>
      <c r="QND33" s="153"/>
      <c r="QNE33" s="153"/>
      <c r="QNF33" s="153"/>
      <c r="QNG33" s="153"/>
      <c r="QNH33" s="153"/>
      <c r="QNI33" s="153"/>
      <c r="QNJ33" s="153"/>
      <c r="QNK33" s="153"/>
      <c r="QNL33" s="153"/>
      <c r="QNM33" s="153"/>
      <c r="QNN33" s="153"/>
      <c r="QNO33" s="153"/>
      <c r="QNP33" s="153"/>
      <c r="QNQ33" s="153"/>
      <c r="QNR33" s="153"/>
      <c r="QNS33" s="153"/>
      <c r="QNT33" s="153"/>
      <c r="QNU33" s="153"/>
      <c r="QNV33" s="153"/>
      <c r="QNW33" s="153"/>
      <c r="QNX33" s="153"/>
      <c r="QNY33" s="153"/>
      <c r="QNZ33" s="153"/>
      <c r="QOA33" s="153"/>
      <c r="QOB33" s="153"/>
      <c r="QOC33" s="153"/>
      <c r="QOD33" s="153"/>
      <c r="QOE33" s="153"/>
      <c r="QOF33" s="153"/>
      <c r="QOG33" s="153"/>
      <c r="QOH33" s="153"/>
      <c r="QOI33" s="153"/>
      <c r="QOJ33" s="153"/>
      <c r="QOK33" s="153"/>
      <c r="QOL33" s="153"/>
      <c r="QOM33" s="153"/>
      <c r="QON33" s="153"/>
      <c r="QOO33" s="153"/>
      <c r="QOP33" s="153"/>
      <c r="QOQ33" s="153"/>
      <c r="QOR33" s="153"/>
      <c r="QOS33" s="153"/>
      <c r="QOT33" s="153"/>
      <c r="QOU33" s="153"/>
      <c r="QOV33" s="153"/>
      <c r="QOW33" s="153"/>
      <c r="QOX33" s="153"/>
      <c r="QOY33" s="153"/>
      <c r="QOZ33" s="153"/>
      <c r="QPA33" s="153"/>
      <c r="QPB33" s="153"/>
      <c r="QPC33" s="153"/>
      <c r="QPD33" s="153"/>
      <c r="QPE33" s="153"/>
      <c r="QPF33" s="153"/>
      <c r="QPG33" s="153"/>
      <c r="QPH33" s="153"/>
      <c r="QPI33" s="153"/>
      <c r="QPJ33" s="153"/>
      <c r="QPK33" s="153"/>
      <c r="QPL33" s="153"/>
      <c r="QPM33" s="153"/>
      <c r="QPN33" s="153"/>
      <c r="QPO33" s="153"/>
      <c r="QPP33" s="153"/>
      <c r="QPQ33" s="153"/>
      <c r="QPR33" s="153"/>
      <c r="QPS33" s="153"/>
      <c r="QPT33" s="153"/>
      <c r="QPU33" s="153"/>
      <c r="QPV33" s="153"/>
      <c r="QPW33" s="153"/>
      <c r="QPX33" s="153"/>
      <c r="QPY33" s="153"/>
      <c r="QPZ33" s="153"/>
      <c r="QQA33" s="153"/>
      <c r="QQB33" s="153"/>
      <c r="QQC33" s="153"/>
      <c r="QQD33" s="153"/>
      <c r="QQE33" s="153"/>
      <c r="QQF33" s="153"/>
      <c r="QQG33" s="153"/>
      <c r="QQH33" s="153"/>
      <c r="QQI33" s="153"/>
      <c r="QQJ33" s="153"/>
      <c r="QQK33" s="153"/>
      <c r="QQL33" s="153"/>
      <c r="QQM33" s="153"/>
      <c r="QQN33" s="153"/>
      <c r="QQO33" s="153"/>
      <c r="QQP33" s="153"/>
      <c r="QQQ33" s="153"/>
      <c r="QQR33" s="153"/>
      <c r="QQS33" s="153"/>
      <c r="QQT33" s="153"/>
      <c r="QQU33" s="153"/>
      <c r="QQV33" s="153"/>
      <c r="QQW33" s="153"/>
      <c r="QQX33" s="153"/>
      <c r="QQY33" s="153"/>
      <c r="QQZ33" s="153"/>
      <c r="QRA33" s="153"/>
      <c r="QRB33" s="153"/>
      <c r="QRC33" s="153"/>
      <c r="QRD33" s="153"/>
      <c r="QRE33" s="153"/>
      <c r="QRF33" s="153"/>
      <c r="QRG33" s="153"/>
      <c r="QRH33" s="153"/>
      <c r="QRI33" s="153"/>
      <c r="QRJ33" s="153"/>
      <c r="QRK33" s="153"/>
      <c r="QRL33" s="153"/>
      <c r="QRM33" s="153"/>
      <c r="QRN33" s="153"/>
      <c r="QRO33" s="153"/>
      <c r="QRP33" s="153"/>
      <c r="QRQ33" s="153"/>
      <c r="QRR33" s="153"/>
      <c r="QRS33" s="153"/>
      <c r="QRT33" s="153"/>
      <c r="QRU33" s="153"/>
      <c r="QRV33" s="153"/>
      <c r="QRW33" s="153"/>
      <c r="QRX33" s="153"/>
      <c r="QRY33" s="153"/>
      <c r="QRZ33" s="153"/>
      <c r="QSA33" s="153"/>
      <c r="QSB33" s="153"/>
      <c r="QSC33" s="153"/>
      <c r="QSD33" s="153"/>
      <c r="QSE33" s="153"/>
      <c r="QSF33" s="153"/>
      <c r="QSG33" s="153"/>
      <c r="QSH33" s="153"/>
      <c r="QSI33" s="153"/>
      <c r="QSJ33" s="153"/>
      <c r="QSK33" s="153"/>
      <c r="QSL33" s="153"/>
      <c r="QSM33" s="153"/>
      <c r="QSN33" s="153"/>
      <c r="QSO33" s="153"/>
      <c r="QSP33" s="153"/>
      <c r="QSQ33" s="153"/>
      <c r="QSR33" s="153"/>
      <c r="QSS33" s="153"/>
      <c r="QST33" s="153"/>
      <c r="QSU33" s="153"/>
      <c r="QSV33" s="153"/>
      <c r="QSW33" s="153"/>
      <c r="QSX33" s="153"/>
      <c r="QSY33" s="153"/>
      <c r="QSZ33" s="153"/>
      <c r="QTA33" s="153"/>
      <c r="QTB33" s="153"/>
      <c r="QTC33" s="153"/>
      <c r="QTD33" s="153"/>
      <c r="QTE33" s="153"/>
      <c r="QTF33" s="153"/>
      <c r="QTG33" s="153"/>
      <c r="QTH33" s="153"/>
      <c r="QTI33" s="153"/>
      <c r="QTJ33" s="153"/>
      <c r="QTK33" s="153"/>
      <c r="QTL33" s="153"/>
      <c r="QTM33" s="153"/>
      <c r="QTN33" s="153"/>
      <c r="QTO33" s="153"/>
      <c r="QTP33" s="153"/>
      <c r="QTQ33" s="153"/>
      <c r="QTR33" s="153"/>
      <c r="QTS33" s="153"/>
      <c r="QTT33" s="153"/>
      <c r="QTU33" s="153"/>
      <c r="QTV33" s="153"/>
      <c r="QTW33" s="153"/>
      <c r="QTX33" s="153"/>
      <c r="QTY33" s="153"/>
      <c r="QTZ33" s="153"/>
      <c r="QUA33" s="153"/>
      <c r="QUB33" s="153"/>
      <c r="QUC33" s="153"/>
      <c r="QUD33" s="153"/>
      <c r="QUE33" s="153"/>
      <c r="QUF33" s="153"/>
      <c r="QUG33" s="153"/>
      <c r="QUH33" s="153"/>
      <c r="QUI33" s="153"/>
      <c r="QUJ33" s="153"/>
      <c r="QUK33" s="153"/>
      <c r="QUL33" s="153"/>
      <c r="QUM33" s="153"/>
      <c r="QUN33" s="153"/>
      <c r="QUO33" s="153"/>
      <c r="QUP33" s="153"/>
      <c r="QUQ33" s="153"/>
      <c r="QUR33" s="153"/>
      <c r="QUS33" s="153"/>
      <c r="QUT33" s="153"/>
      <c r="QUU33" s="153"/>
      <c r="QUV33" s="153"/>
      <c r="QUW33" s="153"/>
      <c r="QUX33" s="153"/>
      <c r="QUY33" s="153"/>
      <c r="QUZ33" s="153"/>
      <c r="QVA33" s="153"/>
      <c r="QVB33" s="153"/>
      <c r="QVC33" s="153"/>
      <c r="QVD33" s="153"/>
      <c r="QVE33" s="153"/>
      <c r="QVF33" s="153"/>
      <c r="QVG33" s="153"/>
      <c r="QVH33" s="153"/>
      <c r="QVI33" s="153"/>
      <c r="QVJ33" s="153"/>
      <c r="QVK33" s="153"/>
      <c r="QVL33" s="153"/>
      <c r="QVM33" s="153"/>
      <c r="QVN33" s="153"/>
      <c r="QVO33" s="153"/>
      <c r="QVP33" s="153"/>
      <c r="QVQ33" s="153"/>
      <c r="QVR33" s="153"/>
      <c r="QVS33" s="153"/>
      <c r="QVT33" s="153"/>
      <c r="QVU33" s="153"/>
      <c r="QVV33" s="153"/>
      <c r="QVW33" s="153"/>
      <c r="QVX33" s="153"/>
      <c r="QVY33" s="153"/>
      <c r="QVZ33" s="153"/>
      <c r="QWA33" s="153"/>
      <c r="QWB33" s="153"/>
      <c r="QWC33" s="153"/>
      <c r="QWD33" s="153"/>
      <c r="QWE33" s="153"/>
      <c r="QWF33" s="153"/>
      <c r="QWG33" s="153"/>
      <c r="QWH33" s="153"/>
      <c r="QWI33" s="153"/>
      <c r="QWJ33" s="153"/>
      <c r="QWK33" s="153"/>
      <c r="QWL33" s="153"/>
      <c r="QWM33" s="153"/>
      <c r="QWN33" s="153"/>
      <c r="QWO33" s="153"/>
      <c r="QWP33" s="153"/>
      <c r="QWQ33" s="153"/>
      <c r="QWR33" s="153"/>
      <c r="QWS33" s="153"/>
      <c r="QWT33" s="153"/>
      <c r="QWU33" s="153"/>
      <c r="QWV33" s="153"/>
      <c r="QWW33" s="153"/>
      <c r="QWX33" s="153"/>
      <c r="QWY33" s="153"/>
      <c r="QWZ33" s="153"/>
      <c r="QXA33" s="153"/>
      <c r="QXB33" s="153"/>
      <c r="QXC33" s="153"/>
      <c r="QXD33" s="153"/>
      <c r="QXE33" s="153"/>
      <c r="QXF33" s="153"/>
      <c r="QXG33" s="153"/>
      <c r="QXH33" s="153"/>
      <c r="QXI33" s="153"/>
      <c r="QXJ33" s="153"/>
      <c r="QXK33" s="153"/>
      <c r="QXL33" s="153"/>
      <c r="QXM33" s="153"/>
      <c r="QXN33" s="153"/>
      <c r="QXO33" s="153"/>
      <c r="QXP33" s="153"/>
      <c r="QXQ33" s="153"/>
      <c r="QXR33" s="153"/>
      <c r="QXS33" s="153"/>
      <c r="QXT33" s="153"/>
      <c r="QXU33" s="153"/>
      <c r="QXV33" s="153"/>
      <c r="QXW33" s="153"/>
      <c r="QXX33" s="153"/>
      <c r="QXY33" s="153"/>
      <c r="QXZ33" s="153"/>
      <c r="QYA33" s="153"/>
      <c r="QYB33" s="153"/>
      <c r="QYC33" s="153"/>
      <c r="QYD33" s="153"/>
      <c r="QYE33" s="153"/>
      <c r="QYF33" s="153"/>
      <c r="QYG33" s="153"/>
      <c r="QYH33" s="153"/>
      <c r="QYI33" s="153"/>
      <c r="QYJ33" s="153"/>
      <c r="QYK33" s="153"/>
      <c r="QYL33" s="153"/>
      <c r="QYM33" s="153"/>
      <c r="QYN33" s="153"/>
      <c r="QYO33" s="153"/>
      <c r="QYP33" s="153"/>
      <c r="QYQ33" s="153"/>
      <c r="QYR33" s="153"/>
      <c r="QYS33" s="153"/>
      <c r="QYT33" s="153"/>
      <c r="QYU33" s="153"/>
      <c r="QYV33" s="153"/>
      <c r="QYW33" s="153"/>
      <c r="QYX33" s="153"/>
      <c r="QYY33" s="153"/>
      <c r="QYZ33" s="153"/>
      <c r="QZA33" s="153"/>
      <c r="QZB33" s="153"/>
      <c r="QZC33" s="153"/>
      <c r="QZD33" s="153"/>
      <c r="QZE33" s="153"/>
      <c r="QZF33" s="153"/>
      <c r="QZG33" s="153"/>
      <c r="QZH33" s="153"/>
      <c r="QZI33" s="153"/>
      <c r="QZJ33" s="153"/>
      <c r="QZK33" s="153"/>
      <c r="QZL33" s="153"/>
      <c r="QZM33" s="153"/>
      <c r="QZN33" s="153"/>
      <c r="QZO33" s="153"/>
      <c r="QZP33" s="153"/>
      <c r="QZQ33" s="153"/>
      <c r="QZR33" s="153"/>
      <c r="QZS33" s="153"/>
      <c r="QZT33" s="153"/>
      <c r="QZU33" s="153"/>
      <c r="QZV33" s="153"/>
      <c r="QZW33" s="153"/>
      <c r="QZX33" s="153"/>
      <c r="QZY33" s="153"/>
      <c r="QZZ33" s="153"/>
      <c r="RAA33" s="153"/>
      <c r="RAB33" s="153"/>
      <c r="RAC33" s="153"/>
      <c r="RAD33" s="153"/>
      <c r="RAE33" s="153"/>
      <c r="RAF33" s="153"/>
      <c r="RAG33" s="153"/>
      <c r="RAH33" s="153"/>
      <c r="RAI33" s="153"/>
      <c r="RAJ33" s="153"/>
      <c r="RAK33" s="153"/>
      <c r="RAL33" s="153"/>
      <c r="RAM33" s="153"/>
      <c r="RAN33" s="153"/>
      <c r="RAO33" s="153"/>
      <c r="RAP33" s="153"/>
      <c r="RAQ33" s="153"/>
      <c r="RAR33" s="153"/>
      <c r="RAS33" s="153"/>
      <c r="RAT33" s="153"/>
      <c r="RAU33" s="153"/>
      <c r="RAV33" s="153"/>
      <c r="RAW33" s="153"/>
      <c r="RAX33" s="153"/>
      <c r="RAY33" s="153"/>
      <c r="RAZ33" s="153"/>
      <c r="RBA33" s="153"/>
      <c r="RBB33" s="153"/>
      <c r="RBC33" s="153"/>
      <c r="RBD33" s="153"/>
      <c r="RBE33" s="153"/>
      <c r="RBF33" s="153"/>
      <c r="RBG33" s="153"/>
      <c r="RBH33" s="153"/>
      <c r="RBI33" s="153"/>
      <c r="RBJ33" s="153"/>
      <c r="RBK33" s="153"/>
      <c r="RBL33" s="153"/>
      <c r="RBM33" s="153"/>
      <c r="RBN33" s="153"/>
      <c r="RBO33" s="153"/>
      <c r="RBP33" s="153"/>
      <c r="RBQ33" s="153"/>
      <c r="RBR33" s="153"/>
      <c r="RBS33" s="153"/>
      <c r="RBT33" s="153"/>
      <c r="RBU33" s="153"/>
      <c r="RBV33" s="153"/>
      <c r="RBW33" s="153"/>
      <c r="RBX33" s="153"/>
      <c r="RBY33" s="153"/>
      <c r="RBZ33" s="153"/>
      <c r="RCA33" s="153"/>
      <c r="RCB33" s="153"/>
      <c r="RCC33" s="153"/>
      <c r="RCD33" s="153"/>
      <c r="RCE33" s="153"/>
      <c r="RCF33" s="153"/>
      <c r="RCG33" s="153"/>
      <c r="RCH33" s="153"/>
      <c r="RCI33" s="153"/>
      <c r="RCJ33" s="153"/>
      <c r="RCK33" s="153"/>
      <c r="RCL33" s="153"/>
      <c r="RCM33" s="153"/>
      <c r="RCN33" s="153"/>
      <c r="RCO33" s="153"/>
      <c r="RCP33" s="153"/>
      <c r="RCQ33" s="153"/>
      <c r="RCR33" s="153"/>
      <c r="RCS33" s="153"/>
      <c r="RCT33" s="153"/>
      <c r="RCU33" s="153"/>
      <c r="RCV33" s="153"/>
      <c r="RCW33" s="153"/>
      <c r="RCX33" s="153"/>
      <c r="RCY33" s="153"/>
      <c r="RCZ33" s="153"/>
      <c r="RDA33" s="153"/>
      <c r="RDB33" s="153"/>
      <c r="RDC33" s="153"/>
      <c r="RDD33" s="153"/>
      <c r="RDE33" s="153"/>
      <c r="RDF33" s="153"/>
      <c r="RDG33" s="153"/>
      <c r="RDH33" s="153"/>
      <c r="RDI33" s="153"/>
      <c r="RDJ33" s="153"/>
      <c r="RDK33" s="153"/>
      <c r="RDL33" s="153"/>
      <c r="RDM33" s="153"/>
      <c r="RDN33" s="153"/>
      <c r="RDO33" s="153"/>
      <c r="RDP33" s="153"/>
      <c r="RDQ33" s="153"/>
      <c r="RDR33" s="153"/>
      <c r="RDS33" s="153"/>
      <c r="RDT33" s="153"/>
      <c r="RDU33" s="153"/>
      <c r="RDV33" s="153"/>
      <c r="RDW33" s="153"/>
      <c r="RDX33" s="153"/>
      <c r="RDY33" s="153"/>
      <c r="RDZ33" s="153"/>
      <c r="REA33" s="153"/>
      <c r="REB33" s="153"/>
      <c r="REC33" s="153"/>
      <c r="RED33" s="153"/>
      <c r="REE33" s="153"/>
      <c r="REF33" s="153"/>
      <c r="REG33" s="153"/>
      <c r="REH33" s="153"/>
      <c r="REI33" s="153"/>
      <c r="REJ33" s="153"/>
      <c r="REK33" s="153"/>
      <c r="REL33" s="153"/>
      <c r="REM33" s="153"/>
      <c r="REN33" s="153"/>
      <c r="REO33" s="153"/>
      <c r="REP33" s="153"/>
      <c r="REQ33" s="153"/>
      <c r="RER33" s="153"/>
      <c r="RES33" s="153"/>
      <c r="RET33" s="153"/>
      <c r="REU33" s="153"/>
      <c r="REV33" s="153"/>
      <c r="REW33" s="153"/>
      <c r="REX33" s="153"/>
      <c r="REY33" s="153"/>
      <c r="REZ33" s="153"/>
      <c r="RFA33" s="153"/>
      <c r="RFB33" s="153"/>
      <c r="RFC33" s="153"/>
      <c r="RFD33" s="153"/>
      <c r="RFE33" s="153"/>
      <c r="RFF33" s="153"/>
      <c r="RFG33" s="153"/>
      <c r="RFH33" s="153"/>
      <c r="RFI33" s="153"/>
      <c r="RFJ33" s="153"/>
      <c r="RFK33" s="153"/>
      <c r="RFL33" s="153"/>
      <c r="RFM33" s="153"/>
      <c r="RFN33" s="153"/>
      <c r="RFO33" s="153"/>
      <c r="RFP33" s="153"/>
      <c r="RFQ33" s="153"/>
      <c r="RFR33" s="153"/>
      <c r="RFS33" s="153"/>
      <c r="RFT33" s="153"/>
      <c r="RFU33" s="153"/>
      <c r="RFV33" s="153"/>
      <c r="RFW33" s="153"/>
      <c r="RFX33" s="153"/>
      <c r="RFY33" s="153"/>
      <c r="RFZ33" s="153"/>
      <c r="RGA33" s="153"/>
      <c r="RGB33" s="153"/>
      <c r="RGC33" s="153"/>
      <c r="RGD33" s="153"/>
      <c r="RGE33" s="153"/>
      <c r="RGF33" s="153"/>
      <c r="RGG33" s="153"/>
      <c r="RGH33" s="153"/>
      <c r="RGI33" s="153"/>
      <c r="RGJ33" s="153"/>
      <c r="RGK33" s="153"/>
      <c r="RGL33" s="153"/>
      <c r="RGM33" s="153"/>
      <c r="RGN33" s="153"/>
      <c r="RGO33" s="153"/>
      <c r="RGP33" s="153"/>
      <c r="RGQ33" s="153"/>
      <c r="RGR33" s="153"/>
      <c r="RGS33" s="153"/>
      <c r="RGT33" s="153"/>
      <c r="RGU33" s="153"/>
      <c r="RGV33" s="153"/>
      <c r="RGW33" s="153"/>
      <c r="RGX33" s="153"/>
      <c r="RGY33" s="153"/>
      <c r="RGZ33" s="153"/>
      <c r="RHA33" s="153"/>
      <c r="RHB33" s="153"/>
      <c r="RHC33" s="153"/>
      <c r="RHD33" s="153"/>
      <c r="RHE33" s="153"/>
      <c r="RHF33" s="153"/>
      <c r="RHG33" s="153"/>
      <c r="RHH33" s="153"/>
      <c r="RHI33" s="153"/>
      <c r="RHJ33" s="153"/>
      <c r="RHK33" s="153"/>
      <c r="RHL33" s="153"/>
      <c r="RHM33" s="153"/>
      <c r="RHN33" s="153"/>
      <c r="RHO33" s="153"/>
      <c r="RHP33" s="153"/>
      <c r="RHQ33" s="153"/>
      <c r="RHR33" s="153"/>
      <c r="RHS33" s="153"/>
      <c r="RHT33" s="153"/>
      <c r="RHU33" s="153"/>
      <c r="RHV33" s="153"/>
      <c r="RHW33" s="153"/>
      <c r="RHX33" s="153"/>
      <c r="RHY33" s="153"/>
      <c r="RHZ33" s="153"/>
      <c r="RIA33" s="153"/>
      <c r="RIB33" s="153"/>
      <c r="RIC33" s="153"/>
      <c r="RID33" s="153"/>
      <c r="RIE33" s="153"/>
      <c r="RIF33" s="153"/>
      <c r="RIG33" s="153"/>
      <c r="RIH33" s="153"/>
      <c r="RII33" s="153"/>
      <c r="RIJ33" s="153"/>
      <c r="RIK33" s="153"/>
      <c r="RIL33" s="153"/>
      <c r="RIM33" s="153"/>
      <c r="RIN33" s="153"/>
      <c r="RIO33" s="153"/>
      <c r="RIP33" s="153"/>
      <c r="RIQ33" s="153"/>
      <c r="RIR33" s="153"/>
      <c r="RIS33" s="153"/>
      <c r="RIT33" s="153"/>
      <c r="RIU33" s="153"/>
      <c r="RIV33" s="153"/>
      <c r="RIW33" s="153"/>
      <c r="RIX33" s="153"/>
      <c r="RIY33" s="153"/>
      <c r="RIZ33" s="153"/>
      <c r="RJA33" s="153"/>
      <c r="RJB33" s="153"/>
      <c r="RJC33" s="153"/>
      <c r="RJD33" s="153"/>
      <c r="RJE33" s="153"/>
      <c r="RJF33" s="153"/>
      <c r="RJG33" s="153"/>
      <c r="RJH33" s="153"/>
      <c r="RJI33" s="153"/>
      <c r="RJJ33" s="153"/>
      <c r="RJK33" s="153"/>
      <c r="RJL33" s="153"/>
      <c r="RJM33" s="153"/>
      <c r="RJN33" s="153"/>
      <c r="RJO33" s="153"/>
      <c r="RJP33" s="153"/>
      <c r="RJQ33" s="153"/>
      <c r="RJR33" s="153"/>
      <c r="RJS33" s="153"/>
      <c r="RJT33" s="153"/>
      <c r="RJU33" s="153"/>
      <c r="RJV33" s="153"/>
      <c r="RJW33" s="153"/>
      <c r="RJX33" s="153"/>
      <c r="RJY33" s="153"/>
      <c r="RJZ33" s="153"/>
      <c r="RKA33" s="153"/>
      <c r="RKB33" s="153"/>
      <c r="RKC33" s="153"/>
      <c r="RKD33" s="153"/>
      <c r="RKE33" s="153"/>
      <c r="RKF33" s="153"/>
      <c r="RKG33" s="153"/>
      <c r="RKH33" s="153"/>
      <c r="RKI33" s="153"/>
      <c r="RKJ33" s="153"/>
      <c r="RKK33" s="153"/>
      <c r="RKL33" s="153"/>
      <c r="RKM33" s="153"/>
      <c r="RKN33" s="153"/>
      <c r="RKO33" s="153"/>
      <c r="RKP33" s="153"/>
      <c r="RKQ33" s="153"/>
      <c r="RKR33" s="153"/>
      <c r="RKS33" s="153"/>
      <c r="RKT33" s="153"/>
      <c r="RKU33" s="153"/>
      <c r="RKV33" s="153"/>
      <c r="RKW33" s="153"/>
      <c r="RKX33" s="153"/>
      <c r="RKY33" s="153"/>
      <c r="RKZ33" s="153"/>
      <c r="RLA33" s="153"/>
      <c r="RLB33" s="153"/>
      <c r="RLC33" s="153"/>
      <c r="RLD33" s="153"/>
      <c r="RLE33" s="153"/>
      <c r="RLF33" s="153"/>
      <c r="RLG33" s="153"/>
      <c r="RLH33" s="153"/>
      <c r="RLI33" s="153"/>
      <c r="RLJ33" s="153"/>
      <c r="RLK33" s="153"/>
      <c r="RLL33" s="153"/>
      <c r="RLM33" s="153"/>
      <c r="RLN33" s="153"/>
      <c r="RLO33" s="153"/>
      <c r="RLP33" s="153"/>
      <c r="RLQ33" s="153"/>
      <c r="RLR33" s="153"/>
      <c r="RLS33" s="153"/>
      <c r="RLT33" s="153"/>
      <c r="RLU33" s="153"/>
      <c r="RLV33" s="153"/>
      <c r="RLW33" s="153"/>
      <c r="RLX33" s="153"/>
      <c r="RLY33" s="153"/>
      <c r="RLZ33" s="153"/>
      <c r="RMA33" s="153"/>
      <c r="RMB33" s="153"/>
      <c r="RMC33" s="153"/>
      <c r="RMD33" s="153"/>
      <c r="RME33" s="153"/>
      <c r="RMF33" s="153"/>
      <c r="RMG33" s="153"/>
      <c r="RMH33" s="153"/>
      <c r="RMI33" s="153"/>
      <c r="RMJ33" s="153"/>
      <c r="RMK33" s="153"/>
      <c r="RML33" s="153"/>
      <c r="RMM33" s="153"/>
      <c r="RMN33" s="153"/>
      <c r="RMO33" s="153"/>
      <c r="RMP33" s="153"/>
      <c r="RMQ33" s="153"/>
      <c r="RMR33" s="153"/>
      <c r="RMS33" s="153"/>
      <c r="RMT33" s="153"/>
      <c r="RMU33" s="153"/>
      <c r="RMV33" s="153"/>
      <c r="RMW33" s="153"/>
      <c r="RMX33" s="153"/>
      <c r="RMY33" s="153"/>
      <c r="RMZ33" s="153"/>
      <c r="RNA33" s="153"/>
      <c r="RNB33" s="153"/>
      <c r="RNC33" s="153"/>
      <c r="RND33" s="153"/>
      <c r="RNE33" s="153"/>
      <c r="RNF33" s="153"/>
      <c r="RNG33" s="153"/>
      <c r="RNH33" s="153"/>
      <c r="RNI33" s="153"/>
      <c r="RNJ33" s="153"/>
      <c r="RNK33" s="153"/>
      <c r="RNL33" s="153"/>
      <c r="RNM33" s="153"/>
      <c r="RNN33" s="153"/>
      <c r="RNO33" s="153"/>
      <c r="RNP33" s="153"/>
      <c r="RNQ33" s="153"/>
      <c r="RNR33" s="153"/>
      <c r="RNS33" s="153"/>
      <c r="RNT33" s="153"/>
      <c r="RNU33" s="153"/>
      <c r="RNV33" s="153"/>
      <c r="RNW33" s="153"/>
      <c r="RNX33" s="153"/>
      <c r="RNY33" s="153"/>
      <c r="RNZ33" s="153"/>
      <c r="ROA33" s="153"/>
      <c r="ROB33" s="153"/>
      <c r="ROC33" s="153"/>
      <c r="ROD33" s="153"/>
      <c r="ROE33" s="153"/>
      <c r="ROF33" s="153"/>
      <c r="ROG33" s="153"/>
      <c r="ROH33" s="153"/>
      <c r="ROI33" s="153"/>
      <c r="ROJ33" s="153"/>
      <c r="ROK33" s="153"/>
      <c r="ROL33" s="153"/>
      <c r="ROM33" s="153"/>
      <c r="RON33" s="153"/>
      <c r="ROO33" s="153"/>
      <c r="ROP33" s="153"/>
      <c r="ROQ33" s="153"/>
      <c r="ROR33" s="153"/>
      <c r="ROS33" s="153"/>
      <c r="ROT33" s="153"/>
      <c r="ROU33" s="153"/>
      <c r="ROV33" s="153"/>
      <c r="ROW33" s="153"/>
      <c r="ROX33" s="153"/>
      <c r="ROY33" s="153"/>
      <c r="ROZ33" s="153"/>
      <c r="RPA33" s="153"/>
      <c r="RPB33" s="153"/>
      <c r="RPC33" s="153"/>
      <c r="RPD33" s="153"/>
      <c r="RPE33" s="153"/>
      <c r="RPF33" s="153"/>
      <c r="RPG33" s="153"/>
      <c r="RPH33" s="153"/>
      <c r="RPI33" s="153"/>
      <c r="RPJ33" s="153"/>
      <c r="RPK33" s="153"/>
      <c r="RPL33" s="153"/>
      <c r="RPM33" s="153"/>
      <c r="RPN33" s="153"/>
      <c r="RPO33" s="153"/>
      <c r="RPP33" s="153"/>
      <c r="RPQ33" s="153"/>
      <c r="RPR33" s="153"/>
      <c r="RPS33" s="153"/>
      <c r="RPT33" s="153"/>
      <c r="RPU33" s="153"/>
      <c r="RPV33" s="153"/>
      <c r="RPW33" s="153"/>
      <c r="RPX33" s="153"/>
      <c r="RPY33" s="153"/>
      <c r="RPZ33" s="153"/>
      <c r="RQA33" s="153"/>
      <c r="RQB33" s="153"/>
      <c r="RQC33" s="153"/>
      <c r="RQD33" s="153"/>
      <c r="RQE33" s="153"/>
      <c r="RQF33" s="153"/>
      <c r="RQG33" s="153"/>
      <c r="RQH33" s="153"/>
      <c r="RQI33" s="153"/>
      <c r="RQJ33" s="153"/>
      <c r="RQK33" s="153"/>
      <c r="RQL33" s="153"/>
      <c r="RQM33" s="153"/>
      <c r="RQN33" s="153"/>
      <c r="RQO33" s="153"/>
      <c r="RQP33" s="153"/>
      <c r="RQQ33" s="153"/>
      <c r="RQR33" s="153"/>
      <c r="RQS33" s="153"/>
      <c r="RQT33" s="153"/>
      <c r="RQU33" s="153"/>
      <c r="RQV33" s="153"/>
      <c r="RQW33" s="153"/>
      <c r="RQX33" s="153"/>
      <c r="RQY33" s="153"/>
      <c r="RQZ33" s="153"/>
      <c r="RRA33" s="153"/>
      <c r="RRB33" s="153"/>
      <c r="RRC33" s="153"/>
      <c r="RRD33" s="153"/>
      <c r="RRE33" s="153"/>
      <c r="RRF33" s="153"/>
      <c r="RRG33" s="153"/>
      <c r="RRH33" s="153"/>
      <c r="RRI33" s="153"/>
      <c r="RRJ33" s="153"/>
      <c r="RRK33" s="153"/>
      <c r="RRL33" s="153"/>
      <c r="RRM33" s="153"/>
      <c r="RRN33" s="153"/>
      <c r="RRO33" s="153"/>
      <c r="RRP33" s="153"/>
      <c r="RRQ33" s="153"/>
      <c r="RRR33" s="153"/>
      <c r="RRS33" s="153"/>
      <c r="RRT33" s="153"/>
      <c r="RRU33" s="153"/>
      <c r="RRV33" s="153"/>
      <c r="RRW33" s="153"/>
      <c r="RRX33" s="153"/>
      <c r="RRY33" s="153"/>
      <c r="RRZ33" s="153"/>
      <c r="RSA33" s="153"/>
      <c r="RSB33" s="153"/>
      <c r="RSC33" s="153"/>
      <c r="RSD33" s="153"/>
      <c r="RSE33" s="153"/>
      <c r="RSF33" s="153"/>
      <c r="RSG33" s="153"/>
      <c r="RSH33" s="153"/>
      <c r="RSI33" s="153"/>
      <c r="RSJ33" s="153"/>
      <c r="RSK33" s="153"/>
      <c r="RSL33" s="153"/>
      <c r="RSM33" s="153"/>
      <c r="RSN33" s="153"/>
      <c r="RSO33" s="153"/>
      <c r="RSP33" s="153"/>
      <c r="RSQ33" s="153"/>
      <c r="RSR33" s="153"/>
      <c r="RSS33" s="153"/>
      <c r="RST33" s="153"/>
      <c r="RSU33" s="153"/>
      <c r="RSV33" s="153"/>
      <c r="RSW33" s="153"/>
      <c r="RSX33" s="153"/>
      <c r="RSY33" s="153"/>
      <c r="RSZ33" s="153"/>
      <c r="RTA33" s="153"/>
      <c r="RTB33" s="153"/>
      <c r="RTC33" s="153"/>
      <c r="RTD33" s="153"/>
      <c r="RTE33" s="153"/>
      <c r="RTF33" s="153"/>
      <c r="RTG33" s="153"/>
      <c r="RTH33" s="153"/>
      <c r="RTI33" s="153"/>
      <c r="RTJ33" s="153"/>
      <c r="RTK33" s="153"/>
      <c r="RTL33" s="153"/>
      <c r="RTM33" s="153"/>
      <c r="RTN33" s="153"/>
      <c r="RTO33" s="153"/>
      <c r="RTP33" s="153"/>
      <c r="RTQ33" s="153"/>
      <c r="RTR33" s="153"/>
      <c r="RTS33" s="153"/>
      <c r="RTT33" s="153"/>
      <c r="RTU33" s="153"/>
      <c r="RTV33" s="153"/>
      <c r="RTW33" s="153"/>
      <c r="RTX33" s="153"/>
      <c r="RTY33" s="153"/>
      <c r="RTZ33" s="153"/>
      <c r="RUA33" s="153"/>
      <c r="RUB33" s="153"/>
      <c r="RUC33" s="153"/>
      <c r="RUD33" s="153"/>
      <c r="RUE33" s="153"/>
      <c r="RUF33" s="153"/>
      <c r="RUG33" s="153"/>
      <c r="RUH33" s="153"/>
      <c r="RUI33" s="153"/>
      <c r="RUJ33" s="153"/>
      <c r="RUK33" s="153"/>
      <c r="RUL33" s="153"/>
      <c r="RUM33" s="153"/>
      <c r="RUN33" s="153"/>
      <c r="RUO33" s="153"/>
      <c r="RUP33" s="153"/>
      <c r="RUQ33" s="153"/>
      <c r="RUR33" s="153"/>
      <c r="RUS33" s="153"/>
      <c r="RUT33" s="153"/>
      <c r="RUU33" s="153"/>
      <c r="RUV33" s="153"/>
      <c r="RUW33" s="153"/>
      <c r="RUX33" s="153"/>
      <c r="RUY33" s="153"/>
      <c r="RUZ33" s="153"/>
      <c r="RVA33" s="153"/>
      <c r="RVB33" s="153"/>
      <c r="RVC33" s="153"/>
      <c r="RVD33" s="153"/>
      <c r="RVE33" s="153"/>
      <c r="RVF33" s="153"/>
      <c r="RVG33" s="153"/>
      <c r="RVH33" s="153"/>
      <c r="RVI33" s="153"/>
      <c r="RVJ33" s="153"/>
      <c r="RVK33" s="153"/>
      <c r="RVL33" s="153"/>
      <c r="RVM33" s="153"/>
      <c r="RVN33" s="153"/>
      <c r="RVO33" s="153"/>
      <c r="RVP33" s="153"/>
      <c r="RVQ33" s="153"/>
      <c r="RVR33" s="153"/>
      <c r="RVS33" s="153"/>
      <c r="RVT33" s="153"/>
      <c r="RVU33" s="153"/>
      <c r="RVV33" s="153"/>
      <c r="RVW33" s="153"/>
      <c r="RVX33" s="153"/>
      <c r="RVY33" s="153"/>
      <c r="RVZ33" s="153"/>
      <c r="RWA33" s="153"/>
      <c r="RWB33" s="153"/>
      <c r="RWC33" s="153"/>
      <c r="RWD33" s="153"/>
      <c r="RWE33" s="153"/>
      <c r="RWF33" s="153"/>
      <c r="RWG33" s="153"/>
      <c r="RWH33" s="153"/>
      <c r="RWI33" s="153"/>
      <c r="RWJ33" s="153"/>
      <c r="RWK33" s="153"/>
      <c r="RWL33" s="153"/>
      <c r="RWM33" s="153"/>
      <c r="RWN33" s="153"/>
      <c r="RWO33" s="153"/>
      <c r="RWP33" s="153"/>
      <c r="RWQ33" s="153"/>
      <c r="RWR33" s="153"/>
      <c r="RWS33" s="153"/>
      <c r="RWT33" s="153"/>
      <c r="RWU33" s="153"/>
      <c r="RWV33" s="153"/>
      <c r="RWW33" s="153"/>
      <c r="RWX33" s="153"/>
      <c r="RWY33" s="153"/>
      <c r="RWZ33" s="153"/>
      <c r="RXA33" s="153"/>
      <c r="RXB33" s="153"/>
      <c r="RXC33" s="153"/>
      <c r="RXD33" s="153"/>
      <c r="RXE33" s="153"/>
      <c r="RXF33" s="153"/>
      <c r="RXG33" s="153"/>
      <c r="RXH33" s="153"/>
      <c r="RXI33" s="153"/>
      <c r="RXJ33" s="153"/>
      <c r="RXK33" s="153"/>
      <c r="RXL33" s="153"/>
      <c r="RXM33" s="153"/>
      <c r="RXN33" s="153"/>
      <c r="RXO33" s="153"/>
      <c r="RXP33" s="153"/>
      <c r="RXQ33" s="153"/>
      <c r="RXR33" s="153"/>
      <c r="RXS33" s="153"/>
      <c r="RXT33" s="153"/>
      <c r="RXU33" s="153"/>
      <c r="RXV33" s="153"/>
      <c r="RXW33" s="153"/>
      <c r="RXX33" s="153"/>
      <c r="RXY33" s="153"/>
      <c r="RXZ33" s="153"/>
      <c r="RYA33" s="153"/>
      <c r="RYB33" s="153"/>
      <c r="RYC33" s="153"/>
      <c r="RYD33" s="153"/>
      <c r="RYE33" s="153"/>
      <c r="RYF33" s="153"/>
      <c r="RYG33" s="153"/>
      <c r="RYH33" s="153"/>
      <c r="RYI33" s="153"/>
      <c r="RYJ33" s="153"/>
      <c r="RYK33" s="153"/>
      <c r="RYL33" s="153"/>
      <c r="RYM33" s="153"/>
      <c r="RYN33" s="153"/>
      <c r="RYO33" s="153"/>
      <c r="RYP33" s="153"/>
      <c r="RYQ33" s="153"/>
      <c r="RYR33" s="153"/>
      <c r="RYS33" s="153"/>
      <c r="RYT33" s="153"/>
      <c r="RYU33" s="153"/>
      <c r="RYV33" s="153"/>
      <c r="RYW33" s="153"/>
      <c r="RYX33" s="153"/>
      <c r="RYY33" s="153"/>
      <c r="RYZ33" s="153"/>
      <c r="RZA33" s="153"/>
      <c r="RZB33" s="153"/>
      <c r="RZC33" s="153"/>
      <c r="RZD33" s="153"/>
      <c r="RZE33" s="153"/>
      <c r="RZF33" s="153"/>
      <c r="RZG33" s="153"/>
      <c r="RZH33" s="153"/>
      <c r="RZI33" s="153"/>
      <c r="RZJ33" s="153"/>
      <c r="RZK33" s="153"/>
      <c r="RZL33" s="153"/>
      <c r="RZM33" s="153"/>
      <c r="RZN33" s="153"/>
      <c r="RZO33" s="153"/>
      <c r="RZP33" s="153"/>
      <c r="RZQ33" s="153"/>
      <c r="RZR33" s="153"/>
      <c r="RZS33" s="153"/>
      <c r="RZT33" s="153"/>
      <c r="RZU33" s="153"/>
      <c r="RZV33" s="153"/>
      <c r="RZW33" s="153"/>
      <c r="RZX33" s="153"/>
      <c r="RZY33" s="153"/>
      <c r="RZZ33" s="153"/>
      <c r="SAA33" s="153"/>
      <c r="SAB33" s="153"/>
      <c r="SAC33" s="153"/>
      <c r="SAD33" s="153"/>
      <c r="SAE33" s="153"/>
      <c r="SAF33" s="153"/>
      <c r="SAG33" s="153"/>
      <c r="SAH33" s="153"/>
      <c r="SAI33" s="153"/>
      <c r="SAJ33" s="153"/>
      <c r="SAK33" s="153"/>
      <c r="SAL33" s="153"/>
      <c r="SAM33" s="153"/>
      <c r="SAN33" s="153"/>
      <c r="SAO33" s="153"/>
      <c r="SAP33" s="153"/>
      <c r="SAQ33" s="153"/>
      <c r="SAR33" s="153"/>
      <c r="SAS33" s="153"/>
      <c r="SAT33" s="153"/>
      <c r="SAU33" s="153"/>
      <c r="SAV33" s="153"/>
      <c r="SAW33" s="153"/>
      <c r="SAX33" s="153"/>
      <c r="SAY33" s="153"/>
      <c r="SAZ33" s="153"/>
      <c r="SBA33" s="153"/>
      <c r="SBB33" s="153"/>
      <c r="SBC33" s="153"/>
      <c r="SBD33" s="153"/>
      <c r="SBE33" s="153"/>
      <c r="SBF33" s="153"/>
      <c r="SBG33" s="153"/>
      <c r="SBH33" s="153"/>
      <c r="SBI33" s="153"/>
      <c r="SBJ33" s="153"/>
      <c r="SBK33" s="153"/>
      <c r="SBL33" s="153"/>
      <c r="SBM33" s="153"/>
      <c r="SBN33" s="153"/>
      <c r="SBO33" s="153"/>
      <c r="SBP33" s="153"/>
      <c r="SBQ33" s="153"/>
      <c r="SBR33" s="153"/>
      <c r="SBS33" s="153"/>
      <c r="SBT33" s="153"/>
      <c r="SBU33" s="153"/>
      <c r="SBV33" s="153"/>
      <c r="SBW33" s="153"/>
      <c r="SBX33" s="153"/>
      <c r="SBY33" s="153"/>
      <c r="SBZ33" s="153"/>
      <c r="SCA33" s="153"/>
      <c r="SCB33" s="153"/>
      <c r="SCC33" s="153"/>
      <c r="SCD33" s="153"/>
      <c r="SCE33" s="153"/>
      <c r="SCF33" s="153"/>
      <c r="SCG33" s="153"/>
      <c r="SCH33" s="153"/>
      <c r="SCI33" s="153"/>
      <c r="SCJ33" s="153"/>
      <c r="SCK33" s="153"/>
      <c r="SCL33" s="153"/>
      <c r="SCM33" s="153"/>
      <c r="SCN33" s="153"/>
      <c r="SCO33" s="153"/>
      <c r="SCP33" s="153"/>
      <c r="SCQ33" s="153"/>
      <c r="SCR33" s="153"/>
      <c r="SCS33" s="153"/>
      <c r="SCT33" s="153"/>
      <c r="SCU33" s="153"/>
      <c r="SCV33" s="153"/>
      <c r="SCW33" s="153"/>
      <c r="SCX33" s="153"/>
      <c r="SCY33" s="153"/>
      <c r="SCZ33" s="153"/>
      <c r="SDA33" s="153"/>
      <c r="SDB33" s="153"/>
      <c r="SDC33" s="153"/>
      <c r="SDD33" s="153"/>
      <c r="SDE33" s="153"/>
      <c r="SDF33" s="153"/>
      <c r="SDG33" s="153"/>
      <c r="SDH33" s="153"/>
      <c r="SDI33" s="153"/>
      <c r="SDJ33" s="153"/>
      <c r="SDK33" s="153"/>
      <c r="SDL33" s="153"/>
      <c r="SDM33" s="153"/>
      <c r="SDN33" s="153"/>
      <c r="SDO33" s="153"/>
      <c r="SDP33" s="153"/>
      <c r="SDQ33" s="153"/>
      <c r="SDR33" s="153"/>
      <c r="SDS33" s="153"/>
      <c r="SDT33" s="153"/>
      <c r="SDU33" s="153"/>
      <c r="SDV33" s="153"/>
      <c r="SDW33" s="153"/>
      <c r="SDX33" s="153"/>
      <c r="SDY33" s="153"/>
      <c r="SDZ33" s="153"/>
      <c r="SEA33" s="153"/>
      <c r="SEB33" s="153"/>
      <c r="SEC33" s="153"/>
      <c r="SED33" s="153"/>
      <c r="SEE33" s="153"/>
      <c r="SEF33" s="153"/>
      <c r="SEG33" s="153"/>
      <c r="SEH33" s="153"/>
      <c r="SEI33" s="153"/>
      <c r="SEJ33" s="153"/>
      <c r="SEK33" s="153"/>
      <c r="SEL33" s="153"/>
      <c r="SEM33" s="153"/>
      <c r="SEN33" s="153"/>
      <c r="SEO33" s="153"/>
      <c r="SEP33" s="153"/>
      <c r="SEQ33" s="153"/>
      <c r="SER33" s="153"/>
      <c r="SES33" s="153"/>
      <c r="SET33" s="153"/>
      <c r="SEU33" s="153"/>
      <c r="SEV33" s="153"/>
      <c r="SEW33" s="153"/>
      <c r="SEX33" s="153"/>
      <c r="SEY33" s="153"/>
      <c r="SEZ33" s="153"/>
      <c r="SFA33" s="153"/>
      <c r="SFB33" s="153"/>
      <c r="SFC33" s="153"/>
      <c r="SFD33" s="153"/>
      <c r="SFE33" s="153"/>
      <c r="SFF33" s="153"/>
      <c r="SFG33" s="153"/>
      <c r="SFH33" s="153"/>
      <c r="SFI33" s="153"/>
      <c r="SFJ33" s="153"/>
      <c r="SFK33" s="153"/>
      <c r="SFL33" s="153"/>
      <c r="SFM33" s="153"/>
      <c r="SFN33" s="153"/>
      <c r="SFO33" s="153"/>
      <c r="SFP33" s="153"/>
      <c r="SFQ33" s="153"/>
      <c r="SFR33" s="153"/>
      <c r="SFS33" s="153"/>
      <c r="SFT33" s="153"/>
      <c r="SFU33" s="153"/>
      <c r="SFV33" s="153"/>
      <c r="SFW33" s="153"/>
      <c r="SFX33" s="153"/>
      <c r="SFY33" s="153"/>
      <c r="SFZ33" s="153"/>
      <c r="SGA33" s="153"/>
      <c r="SGB33" s="153"/>
      <c r="SGC33" s="153"/>
      <c r="SGD33" s="153"/>
      <c r="SGE33" s="153"/>
      <c r="SGF33" s="153"/>
      <c r="SGG33" s="153"/>
      <c r="SGH33" s="153"/>
      <c r="SGI33" s="153"/>
      <c r="SGJ33" s="153"/>
      <c r="SGK33" s="153"/>
      <c r="SGL33" s="153"/>
      <c r="SGM33" s="153"/>
      <c r="SGN33" s="153"/>
      <c r="SGO33" s="153"/>
      <c r="SGP33" s="153"/>
      <c r="SGQ33" s="153"/>
      <c r="SGR33" s="153"/>
      <c r="SGS33" s="153"/>
      <c r="SGT33" s="153"/>
      <c r="SGU33" s="153"/>
      <c r="SGV33" s="153"/>
      <c r="SGW33" s="153"/>
      <c r="SGX33" s="153"/>
      <c r="SGY33" s="153"/>
      <c r="SGZ33" s="153"/>
      <c r="SHA33" s="153"/>
      <c r="SHB33" s="153"/>
      <c r="SHC33" s="153"/>
      <c r="SHD33" s="153"/>
      <c r="SHE33" s="153"/>
      <c r="SHF33" s="153"/>
      <c r="SHG33" s="153"/>
      <c r="SHH33" s="153"/>
      <c r="SHI33" s="153"/>
      <c r="SHJ33" s="153"/>
      <c r="SHK33" s="153"/>
      <c r="SHL33" s="153"/>
      <c r="SHM33" s="153"/>
      <c r="SHN33" s="153"/>
      <c r="SHO33" s="153"/>
      <c r="SHP33" s="153"/>
      <c r="SHQ33" s="153"/>
      <c r="SHR33" s="153"/>
      <c r="SHS33" s="153"/>
      <c r="SHT33" s="153"/>
      <c r="SHU33" s="153"/>
      <c r="SHV33" s="153"/>
      <c r="SHW33" s="153"/>
      <c r="SHX33" s="153"/>
      <c r="SHY33" s="153"/>
      <c r="SHZ33" s="153"/>
      <c r="SIA33" s="153"/>
      <c r="SIB33" s="153"/>
      <c r="SIC33" s="153"/>
      <c r="SID33" s="153"/>
      <c r="SIE33" s="153"/>
      <c r="SIF33" s="153"/>
      <c r="SIG33" s="153"/>
      <c r="SIH33" s="153"/>
      <c r="SII33" s="153"/>
      <c r="SIJ33" s="153"/>
      <c r="SIK33" s="153"/>
      <c r="SIL33" s="153"/>
      <c r="SIM33" s="153"/>
      <c r="SIN33" s="153"/>
      <c r="SIO33" s="153"/>
      <c r="SIP33" s="153"/>
      <c r="SIQ33" s="153"/>
      <c r="SIR33" s="153"/>
      <c r="SIS33" s="153"/>
      <c r="SIT33" s="153"/>
      <c r="SIU33" s="153"/>
      <c r="SIV33" s="153"/>
      <c r="SIW33" s="153"/>
      <c r="SIX33" s="153"/>
      <c r="SIY33" s="153"/>
      <c r="SIZ33" s="153"/>
      <c r="SJA33" s="153"/>
      <c r="SJB33" s="153"/>
      <c r="SJC33" s="153"/>
      <c r="SJD33" s="153"/>
      <c r="SJE33" s="153"/>
      <c r="SJF33" s="153"/>
      <c r="SJG33" s="153"/>
      <c r="SJH33" s="153"/>
      <c r="SJI33" s="153"/>
      <c r="SJJ33" s="153"/>
      <c r="SJK33" s="153"/>
      <c r="SJL33" s="153"/>
      <c r="SJM33" s="153"/>
      <c r="SJN33" s="153"/>
      <c r="SJO33" s="153"/>
      <c r="SJP33" s="153"/>
      <c r="SJQ33" s="153"/>
      <c r="SJR33" s="153"/>
      <c r="SJS33" s="153"/>
      <c r="SJT33" s="153"/>
      <c r="SJU33" s="153"/>
      <c r="SJV33" s="153"/>
      <c r="SJW33" s="153"/>
      <c r="SJX33" s="153"/>
      <c r="SJY33" s="153"/>
      <c r="SJZ33" s="153"/>
      <c r="SKA33" s="153"/>
      <c r="SKB33" s="153"/>
      <c r="SKC33" s="153"/>
      <c r="SKD33" s="153"/>
      <c r="SKE33" s="153"/>
      <c r="SKF33" s="153"/>
      <c r="SKG33" s="153"/>
      <c r="SKH33" s="153"/>
      <c r="SKI33" s="153"/>
      <c r="SKJ33" s="153"/>
      <c r="SKK33" s="153"/>
      <c r="SKL33" s="153"/>
      <c r="SKM33" s="153"/>
      <c r="SKN33" s="153"/>
      <c r="SKO33" s="153"/>
      <c r="SKP33" s="153"/>
      <c r="SKQ33" s="153"/>
      <c r="SKR33" s="153"/>
      <c r="SKS33" s="153"/>
      <c r="SKT33" s="153"/>
      <c r="SKU33" s="153"/>
      <c r="SKV33" s="153"/>
      <c r="SKW33" s="153"/>
      <c r="SKX33" s="153"/>
      <c r="SKY33" s="153"/>
      <c r="SKZ33" s="153"/>
      <c r="SLA33" s="153"/>
      <c r="SLB33" s="153"/>
      <c r="SLC33" s="153"/>
      <c r="SLD33" s="153"/>
      <c r="SLE33" s="153"/>
      <c r="SLF33" s="153"/>
      <c r="SLG33" s="153"/>
      <c r="SLH33" s="153"/>
      <c r="SLI33" s="153"/>
      <c r="SLJ33" s="153"/>
      <c r="SLK33" s="153"/>
      <c r="SLL33" s="153"/>
      <c r="SLM33" s="153"/>
      <c r="SLN33" s="153"/>
      <c r="SLO33" s="153"/>
      <c r="SLP33" s="153"/>
      <c r="SLQ33" s="153"/>
      <c r="SLR33" s="153"/>
      <c r="SLS33" s="153"/>
      <c r="SLT33" s="153"/>
      <c r="SLU33" s="153"/>
      <c r="SLV33" s="153"/>
      <c r="SLW33" s="153"/>
      <c r="SLX33" s="153"/>
      <c r="SLY33" s="153"/>
      <c r="SLZ33" s="153"/>
      <c r="SMA33" s="153"/>
      <c r="SMB33" s="153"/>
      <c r="SMC33" s="153"/>
      <c r="SMD33" s="153"/>
      <c r="SME33" s="153"/>
      <c r="SMF33" s="153"/>
      <c r="SMG33" s="153"/>
      <c r="SMH33" s="153"/>
      <c r="SMI33" s="153"/>
      <c r="SMJ33" s="153"/>
      <c r="SMK33" s="153"/>
      <c r="SML33" s="153"/>
      <c r="SMM33" s="153"/>
      <c r="SMN33" s="153"/>
      <c r="SMO33" s="153"/>
      <c r="SMP33" s="153"/>
      <c r="SMQ33" s="153"/>
      <c r="SMR33" s="153"/>
      <c r="SMS33" s="153"/>
      <c r="SMT33" s="153"/>
      <c r="SMU33" s="153"/>
      <c r="SMV33" s="153"/>
      <c r="SMW33" s="153"/>
      <c r="SMX33" s="153"/>
      <c r="SMY33" s="153"/>
      <c r="SMZ33" s="153"/>
      <c r="SNA33" s="153"/>
      <c r="SNB33" s="153"/>
      <c r="SNC33" s="153"/>
      <c r="SND33" s="153"/>
      <c r="SNE33" s="153"/>
      <c r="SNF33" s="153"/>
      <c r="SNG33" s="153"/>
      <c r="SNH33" s="153"/>
      <c r="SNI33" s="153"/>
      <c r="SNJ33" s="153"/>
      <c r="SNK33" s="153"/>
      <c r="SNL33" s="153"/>
      <c r="SNM33" s="153"/>
      <c r="SNN33" s="153"/>
      <c r="SNO33" s="153"/>
      <c r="SNP33" s="153"/>
      <c r="SNQ33" s="153"/>
      <c r="SNR33" s="153"/>
      <c r="SNS33" s="153"/>
      <c r="SNT33" s="153"/>
      <c r="SNU33" s="153"/>
      <c r="SNV33" s="153"/>
      <c r="SNW33" s="153"/>
      <c r="SNX33" s="153"/>
      <c r="SNY33" s="153"/>
      <c r="SNZ33" s="153"/>
      <c r="SOA33" s="153"/>
      <c r="SOB33" s="153"/>
      <c r="SOC33" s="153"/>
      <c r="SOD33" s="153"/>
      <c r="SOE33" s="153"/>
      <c r="SOF33" s="153"/>
      <c r="SOG33" s="153"/>
      <c r="SOH33" s="153"/>
      <c r="SOI33" s="153"/>
      <c r="SOJ33" s="153"/>
      <c r="SOK33" s="153"/>
      <c r="SOL33" s="153"/>
      <c r="SOM33" s="153"/>
      <c r="SON33" s="153"/>
      <c r="SOO33" s="153"/>
      <c r="SOP33" s="153"/>
      <c r="SOQ33" s="153"/>
      <c r="SOR33" s="153"/>
      <c r="SOS33" s="153"/>
      <c r="SOT33" s="153"/>
      <c r="SOU33" s="153"/>
      <c r="SOV33" s="153"/>
      <c r="SOW33" s="153"/>
      <c r="SOX33" s="153"/>
      <c r="SOY33" s="153"/>
      <c r="SOZ33" s="153"/>
      <c r="SPA33" s="153"/>
      <c r="SPB33" s="153"/>
      <c r="SPC33" s="153"/>
      <c r="SPD33" s="153"/>
      <c r="SPE33" s="153"/>
      <c r="SPF33" s="153"/>
      <c r="SPG33" s="153"/>
      <c r="SPH33" s="153"/>
      <c r="SPI33" s="153"/>
      <c r="SPJ33" s="153"/>
      <c r="SPK33" s="153"/>
      <c r="SPL33" s="153"/>
      <c r="SPM33" s="153"/>
      <c r="SPN33" s="153"/>
      <c r="SPO33" s="153"/>
      <c r="SPP33" s="153"/>
      <c r="SPQ33" s="153"/>
      <c r="SPR33" s="153"/>
      <c r="SPS33" s="153"/>
      <c r="SPT33" s="153"/>
      <c r="SPU33" s="153"/>
      <c r="SPV33" s="153"/>
      <c r="SPW33" s="153"/>
      <c r="SPX33" s="153"/>
      <c r="SPY33" s="153"/>
      <c r="SPZ33" s="153"/>
      <c r="SQA33" s="153"/>
      <c r="SQB33" s="153"/>
      <c r="SQC33" s="153"/>
      <c r="SQD33" s="153"/>
      <c r="SQE33" s="153"/>
      <c r="SQF33" s="153"/>
      <c r="SQG33" s="153"/>
      <c r="SQH33" s="153"/>
      <c r="SQI33" s="153"/>
      <c r="SQJ33" s="153"/>
      <c r="SQK33" s="153"/>
      <c r="SQL33" s="153"/>
      <c r="SQM33" s="153"/>
      <c r="SQN33" s="153"/>
      <c r="SQO33" s="153"/>
      <c r="SQP33" s="153"/>
      <c r="SQQ33" s="153"/>
      <c r="SQR33" s="153"/>
      <c r="SQS33" s="153"/>
      <c r="SQT33" s="153"/>
      <c r="SQU33" s="153"/>
      <c r="SQV33" s="153"/>
      <c r="SQW33" s="153"/>
      <c r="SQX33" s="153"/>
      <c r="SQY33" s="153"/>
      <c r="SQZ33" s="153"/>
      <c r="SRA33" s="153"/>
      <c r="SRB33" s="153"/>
      <c r="SRC33" s="153"/>
      <c r="SRD33" s="153"/>
      <c r="SRE33" s="153"/>
      <c r="SRF33" s="153"/>
      <c r="SRG33" s="153"/>
      <c r="SRH33" s="153"/>
      <c r="SRI33" s="153"/>
      <c r="SRJ33" s="153"/>
      <c r="SRK33" s="153"/>
      <c r="SRL33" s="153"/>
      <c r="SRM33" s="153"/>
      <c r="SRN33" s="153"/>
      <c r="SRO33" s="153"/>
      <c r="SRP33" s="153"/>
      <c r="SRQ33" s="153"/>
      <c r="SRR33" s="153"/>
      <c r="SRS33" s="153"/>
      <c r="SRT33" s="153"/>
      <c r="SRU33" s="153"/>
      <c r="SRV33" s="153"/>
      <c r="SRW33" s="153"/>
      <c r="SRX33" s="153"/>
      <c r="SRY33" s="153"/>
      <c r="SRZ33" s="153"/>
      <c r="SSA33" s="153"/>
      <c r="SSB33" s="153"/>
      <c r="SSC33" s="153"/>
      <c r="SSD33" s="153"/>
      <c r="SSE33" s="153"/>
      <c r="SSF33" s="153"/>
      <c r="SSG33" s="153"/>
      <c r="SSH33" s="153"/>
      <c r="SSI33" s="153"/>
      <c r="SSJ33" s="153"/>
      <c r="SSK33" s="153"/>
      <c r="SSL33" s="153"/>
      <c r="SSM33" s="153"/>
      <c r="SSN33" s="153"/>
      <c r="SSO33" s="153"/>
      <c r="SSP33" s="153"/>
      <c r="SSQ33" s="153"/>
      <c r="SSR33" s="153"/>
      <c r="SSS33" s="153"/>
      <c r="SST33" s="153"/>
      <c r="SSU33" s="153"/>
      <c r="SSV33" s="153"/>
      <c r="SSW33" s="153"/>
      <c r="SSX33" s="153"/>
      <c r="SSY33" s="153"/>
      <c r="SSZ33" s="153"/>
      <c r="STA33" s="153"/>
      <c r="STB33" s="153"/>
      <c r="STC33" s="153"/>
      <c r="STD33" s="153"/>
      <c r="STE33" s="153"/>
      <c r="STF33" s="153"/>
      <c r="STG33" s="153"/>
      <c r="STH33" s="153"/>
      <c r="STI33" s="153"/>
      <c r="STJ33" s="153"/>
      <c r="STK33" s="153"/>
      <c r="STL33" s="153"/>
      <c r="STM33" s="153"/>
      <c r="STN33" s="153"/>
      <c r="STO33" s="153"/>
      <c r="STP33" s="153"/>
      <c r="STQ33" s="153"/>
      <c r="STR33" s="153"/>
      <c r="STS33" s="153"/>
      <c r="STT33" s="153"/>
      <c r="STU33" s="153"/>
      <c r="STV33" s="153"/>
      <c r="STW33" s="153"/>
      <c r="STX33" s="153"/>
      <c r="STY33" s="153"/>
      <c r="STZ33" s="153"/>
      <c r="SUA33" s="153"/>
      <c r="SUB33" s="153"/>
      <c r="SUC33" s="153"/>
      <c r="SUD33" s="153"/>
      <c r="SUE33" s="153"/>
      <c r="SUF33" s="153"/>
      <c r="SUG33" s="153"/>
      <c r="SUH33" s="153"/>
      <c r="SUI33" s="153"/>
      <c r="SUJ33" s="153"/>
      <c r="SUK33" s="153"/>
      <c r="SUL33" s="153"/>
      <c r="SUM33" s="153"/>
      <c r="SUN33" s="153"/>
      <c r="SUO33" s="153"/>
      <c r="SUP33" s="153"/>
      <c r="SUQ33" s="153"/>
      <c r="SUR33" s="153"/>
      <c r="SUS33" s="153"/>
      <c r="SUT33" s="153"/>
      <c r="SUU33" s="153"/>
      <c r="SUV33" s="153"/>
      <c r="SUW33" s="153"/>
      <c r="SUX33" s="153"/>
      <c r="SUY33" s="153"/>
      <c r="SUZ33" s="153"/>
      <c r="SVA33" s="153"/>
      <c r="SVB33" s="153"/>
      <c r="SVC33" s="153"/>
      <c r="SVD33" s="153"/>
      <c r="SVE33" s="153"/>
      <c r="SVF33" s="153"/>
      <c r="SVG33" s="153"/>
      <c r="SVH33" s="153"/>
      <c r="SVI33" s="153"/>
      <c r="SVJ33" s="153"/>
      <c r="SVK33" s="153"/>
      <c r="SVL33" s="153"/>
      <c r="SVM33" s="153"/>
      <c r="SVN33" s="153"/>
      <c r="SVO33" s="153"/>
      <c r="SVP33" s="153"/>
      <c r="SVQ33" s="153"/>
      <c r="SVR33" s="153"/>
      <c r="SVS33" s="153"/>
      <c r="SVT33" s="153"/>
      <c r="SVU33" s="153"/>
      <c r="SVV33" s="153"/>
      <c r="SVW33" s="153"/>
      <c r="SVX33" s="153"/>
      <c r="SVY33" s="153"/>
      <c r="SVZ33" s="153"/>
      <c r="SWA33" s="153"/>
      <c r="SWB33" s="153"/>
      <c r="SWC33" s="153"/>
      <c r="SWD33" s="153"/>
      <c r="SWE33" s="153"/>
      <c r="SWF33" s="153"/>
      <c r="SWG33" s="153"/>
      <c r="SWH33" s="153"/>
      <c r="SWI33" s="153"/>
      <c r="SWJ33" s="153"/>
      <c r="SWK33" s="153"/>
      <c r="SWL33" s="153"/>
      <c r="SWM33" s="153"/>
      <c r="SWN33" s="153"/>
      <c r="SWO33" s="153"/>
      <c r="SWP33" s="153"/>
      <c r="SWQ33" s="153"/>
      <c r="SWR33" s="153"/>
      <c r="SWS33" s="153"/>
      <c r="SWT33" s="153"/>
      <c r="SWU33" s="153"/>
      <c r="SWV33" s="153"/>
      <c r="SWW33" s="153"/>
      <c r="SWX33" s="153"/>
      <c r="SWY33" s="153"/>
      <c r="SWZ33" s="153"/>
      <c r="SXA33" s="153"/>
      <c r="SXB33" s="153"/>
      <c r="SXC33" s="153"/>
      <c r="SXD33" s="153"/>
      <c r="SXE33" s="153"/>
      <c r="SXF33" s="153"/>
      <c r="SXG33" s="153"/>
      <c r="SXH33" s="153"/>
      <c r="SXI33" s="153"/>
      <c r="SXJ33" s="153"/>
      <c r="SXK33" s="153"/>
      <c r="SXL33" s="153"/>
      <c r="SXM33" s="153"/>
      <c r="SXN33" s="153"/>
      <c r="SXO33" s="153"/>
      <c r="SXP33" s="153"/>
      <c r="SXQ33" s="153"/>
      <c r="SXR33" s="153"/>
      <c r="SXS33" s="153"/>
      <c r="SXT33" s="153"/>
      <c r="SXU33" s="153"/>
      <c r="SXV33" s="153"/>
      <c r="SXW33" s="153"/>
      <c r="SXX33" s="153"/>
      <c r="SXY33" s="153"/>
      <c r="SXZ33" s="153"/>
      <c r="SYA33" s="153"/>
      <c r="SYB33" s="153"/>
      <c r="SYC33" s="153"/>
      <c r="SYD33" s="153"/>
      <c r="SYE33" s="153"/>
      <c r="SYF33" s="153"/>
      <c r="SYG33" s="153"/>
      <c r="SYH33" s="153"/>
      <c r="SYI33" s="153"/>
      <c r="SYJ33" s="153"/>
      <c r="SYK33" s="153"/>
      <c r="SYL33" s="153"/>
      <c r="SYM33" s="153"/>
      <c r="SYN33" s="153"/>
      <c r="SYO33" s="153"/>
      <c r="SYP33" s="153"/>
      <c r="SYQ33" s="153"/>
      <c r="SYR33" s="153"/>
      <c r="SYS33" s="153"/>
      <c r="SYT33" s="153"/>
      <c r="SYU33" s="153"/>
      <c r="SYV33" s="153"/>
      <c r="SYW33" s="153"/>
      <c r="SYX33" s="153"/>
      <c r="SYY33" s="153"/>
      <c r="SYZ33" s="153"/>
      <c r="SZA33" s="153"/>
      <c r="SZB33" s="153"/>
      <c r="SZC33" s="153"/>
      <c r="SZD33" s="153"/>
      <c r="SZE33" s="153"/>
      <c r="SZF33" s="153"/>
      <c r="SZG33" s="153"/>
      <c r="SZH33" s="153"/>
      <c r="SZI33" s="153"/>
      <c r="SZJ33" s="153"/>
      <c r="SZK33" s="153"/>
      <c r="SZL33" s="153"/>
      <c r="SZM33" s="153"/>
      <c r="SZN33" s="153"/>
      <c r="SZO33" s="153"/>
      <c r="SZP33" s="153"/>
      <c r="SZQ33" s="153"/>
      <c r="SZR33" s="153"/>
      <c r="SZS33" s="153"/>
      <c r="SZT33" s="153"/>
      <c r="SZU33" s="153"/>
      <c r="SZV33" s="153"/>
      <c r="SZW33" s="153"/>
      <c r="SZX33" s="153"/>
      <c r="SZY33" s="153"/>
      <c r="SZZ33" s="153"/>
      <c r="TAA33" s="153"/>
      <c r="TAB33" s="153"/>
      <c r="TAC33" s="153"/>
      <c r="TAD33" s="153"/>
      <c r="TAE33" s="153"/>
      <c r="TAF33" s="153"/>
      <c r="TAG33" s="153"/>
      <c r="TAH33" s="153"/>
      <c r="TAI33" s="153"/>
      <c r="TAJ33" s="153"/>
      <c r="TAK33" s="153"/>
      <c r="TAL33" s="153"/>
      <c r="TAM33" s="153"/>
      <c r="TAN33" s="153"/>
      <c r="TAO33" s="153"/>
      <c r="TAP33" s="153"/>
      <c r="TAQ33" s="153"/>
      <c r="TAR33" s="153"/>
      <c r="TAS33" s="153"/>
      <c r="TAT33" s="153"/>
      <c r="TAU33" s="153"/>
      <c r="TAV33" s="153"/>
      <c r="TAW33" s="153"/>
      <c r="TAX33" s="153"/>
      <c r="TAY33" s="153"/>
      <c r="TAZ33" s="153"/>
      <c r="TBA33" s="153"/>
      <c r="TBB33" s="153"/>
      <c r="TBC33" s="153"/>
      <c r="TBD33" s="153"/>
      <c r="TBE33" s="153"/>
      <c r="TBF33" s="153"/>
      <c r="TBG33" s="153"/>
      <c r="TBH33" s="153"/>
      <c r="TBI33" s="153"/>
      <c r="TBJ33" s="153"/>
      <c r="TBK33" s="153"/>
      <c r="TBL33" s="153"/>
      <c r="TBM33" s="153"/>
      <c r="TBN33" s="153"/>
      <c r="TBO33" s="153"/>
      <c r="TBP33" s="153"/>
      <c r="TBQ33" s="153"/>
      <c r="TBR33" s="153"/>
      <c r="TBS33" s="153"/>
      <c r="TBT33" s="153"/>
      <c r="TBU33" s="153"/>
      <c r="TBV33" s="153"/>
      <c r="TBW33" s="153"/>
      <c r="TBX33" s="153"/>
      <c r="TBY33" s="153"/>
      <c r="TBZ33" s="153"/>
      <c r="TCA33" s="153"/>
      <c r="TCB33" s="153"/>
      <c r="TCC33" s="153"/>
      <c r="TCD33" s="153"/>
      <c r="TCE33" s="153"/>
      <c r="TCF33" s="153"/>
      <c r="TCG33" s="153"/>
      <c r="TCH33" s="153"/>
      <c r="TCI33" s="153"/>
      <c r="TCJ33" s="153"/>
      <c r="TCK33" s="153"/>
      <c r="TCL33" s="153"/>
      <c r="TCM33" s="153"/>
      <c r="TCN33" s="153"/>
      <c r="TCO33" s="153"/>
      <c r="TCP33" s="153"/>
      <c r="TCQ33" s="153"/>
      <c r="TCR33" s="153"/>
      <c r="TCS33" s="153"/>
      <c r="TCT33" s="153"/>
      <c r="TCU33" s="153"/>
      <c r="TCV33" s="153"/>
      <c r="TCW33" s="153"/>
      <c r="TCX33" s="153"/>
      <c r="TCY33" s="153"/>
      <c r="TCZ33" s="153"/>
      <c r="TDA33" s="153"/>
      <c r="TDB33" s="153"/>
      <c r="TDC33" s="153"/>
      <c r="TDD33" s="153"/>
      <c r="TDE33" s="153"/>
      <c r="TDF33" s="153"/>
      <c r="TDG33" s="153"/>
      <c r="TDH33" s="153"/>
      <c r="TDI33" s="153"/>
      <c r="TDJ33" s="153"/>
      <c r="TDK33" s="153"/>
      <c r="TDL33" s="153"/>
      <c r="TDM33" s="153"/>
      <c r="TDN33" s="153"/>
      <c r="TDO33" s="153"/>
      <c r="TDP33" s="153"/>
      <c r="TDQ33" s="153"/>
      <c r="TDR33" s="153"/>
      <c r="TDS33" s="153"/>
      <c r="TDT33" s="153"/>
      <c r="TDU33" s="153"/>
      <c r="TDV33" s="153"/>
      <c r="TDW33" s="153"/>
      <c r="TDX33" s="153"/>
      <c r="TDY33" s="153"/>
      <c r="TDZ33" s="153"/>
      <c r="TEA33" s="153"/>
      <c r="TEB33" s="153"/>
      <c r="TEC33" s="153"/>
      <c r="TED33" s="153"/>
      <c r="TEE33" s="153"/>
      <c r="TEF33" s="153"/>
      <c r="TEG33" s="153"/>
      <c r="TEH33" s="153"/>
      <c r="TEI33" s="153"/>
      <c r="TEJ33" s="153"/>
      <c r="TEK33" s="153"/>
      <c r="TEL33" s="153"/>
      <c r="TEM33" s="153"/>
      <c r="TEN33" s="153"/>
      <c r="TEO33" s="153"/>
      <c r="TEP33" s="153"/>
      <c r="TEQ33" s="153"/>
      <c r="TER33" s="153"/>
      <c r="TES33" s="153"/>
      <c r="TET33" s="153"/>
      <c r="TEU33" s="153"/>
      <c r="TEV33" s="153"/>
      <c r="TEW33" s="153"/>
      <c r="TEX33" s="153"/>
      <c r="TEY33" s="153"/>
      <c r="TEZ33" s="153"/>
      <c r="TFA33" s="153"/>
      <c r="TFB33" s="153"/>
      <c r="TFC33" s="153"/>
      <c r="TFD33" s="153"/>
      <c r="TFE33" s="153"/>
      <c r="TFF33" s="153"/>
      <c r="TFG33" s="153"/>
      <c r="TFH33" s="153"/>
      <c r="TFI33" s="153"/>
      <c r="TFJ33" s="153"/>
      <c r="TFK33" s="153"/>
      <c r="TFL33" s="153"/>
      <c r="TFM33" s="153"/>
      <c r="TFN33" s="153"/>
      <c r="TFO33" s="153"/>
      <c r="TFP33" s="153"/>
      <c r="TFQ33" s="153"/>
      <c r="TFR33" s="153"/>
      <c r="TFS33" s="153"/>
      <c r="TFT33" s="153"/>
      <c r="TFU33" s="153"/>
      <c r="TFV33" s="153"/>
      <c r="TFW33" s="153"/>
      <c r="TFX33" s="153"/>
      <c r="TFY33" s="153"/>
      <c r="TFZ33" s="153"/>
      <c r="TGA33" s="153"/>
      <c r="TGB33" s="153"/>
      <c r="TGC33" s="153"/>
      <c r="TGD33" s="153"/>
      <c r="TGE33" s="153"/>
      <c r="TGF33" s="153"/>
      <c r="TGG33" s="153"/>
      <c r="TGH33" s="153"/>
      <c r="TGI33" s="153"/>
      <c r="TGJ33" s="153"/>
      <c r="TGK33" s="153"/>
      <c r="TGL33" s="153"/>
      <c r="TGM33" s="153"/>
      <c r="TGN33" s="153"/>
      <c r="TGO33" s="153"/>
      <c r="TGP33" s="153"/>
      <c r="TGQ33" s="153"/>
      <c r="TGR33" s="153"/>
      <c r="TGS33" s="153"/>
      <c r="TGT33" s="153"/>
      <c r="TGU33" s="153"/>
      <c r="TGV33" s="153"/>
      <c r="TGW33" s="153"/>
      <c r="TGX33" s="153"/>
      <c r="TGY33" s="153"/>
      <c r="TGZ33" s="153"/>
      <c r="THA33" s="153"/>
      <c r="THB33" s="153"/>
      <c r="THC33" s="153"/>
      <c r="THD33" s="153"/>
      <c r="THE33" s="153"/>
      <c r="THF33" s="153"/>
      <c r="THG33" s="153"/>
      <c r="THH33" s="153"/>
      <c r="THI33" s="153"/>
      <c r="THJ33" s="153"/>
      <c r="THK33" s="153"/>
      <c r="THL33" s="153"/>
      <c r="THM33" s="153"/>
      <c r="THN33" s="153"/>
      <c r="THO33" s="153"/>
      <c r="THP33" s="153"/>
      <c r="THQ33" s="153"/>
      <c r="THR33" s="153"/>
      <c r="THS33" s="153"/>
      <c r="THT33" s="153"/>
      <c r="THU33" s="153"/>
      <c r="THV33" s="153"/>
      <c r="THW33" s="153"/>
      <c r="THX33" s="153"/>
      <c r="THY33" s="153"/>
      <c r="THZ33" s="153"/>
      <c r="TIA33" s="153"/>
      <c r="TIB33" s="153"/>
      <c r="TIC33" s="153"/>
      <c r="TID33" s="153"/>
      <c r="TIE33" s="153"/>
      <c r="TIF33" s="153"/>
      <c r="TIG33" s="153"/>
      <c r="TIH33" s="153"/>
      <c r="TII33" s="153"/>
      <c r="TIJ33" s="153"/>
      <c r="TIK33" s="153"/>
      <c r="TIL33" s="153"/>
      <c r="TIM33" s="153"/>
      <c r="TIN33" s="153"/>
      <c r="TIO33" s="153"/>
      <c r="TIP33" s="153"/>
      <c r="TIQ33" s="153"/>
      <c r="TIR33" s="153"/>
      <c r="TIS33" s="153"/>
      <c r="TIT33" s="153"/>
      <c r="TIU33" s="153"/>
      <c r="TIV33" s="153"/>
      <c r="TIW33" s="153"/>
      <c r="TIX33" s="153"/>
      <c r="TIY33" s="153"/>
      <c r="TIZ33" s="153"/>
      <c r="TJA33" s="153"/>
      <c r="TJB33" s="153"/>
      <c r="TJC33" s="153"/>
      <c r="TJD33" s="153"/>
      <c r="TJE33" s="153"/>
      <c r="TJF33" s="153"/>
      <c r="TJG33" s="153"/>
      <c r="TJH33" s="153"/>
      <c r="TJI33" s="153"/>
      <c r="TJJ33" s="153"/>
      <c r="TJK33" s="153"/>
      <c r="TJL33" s="153"/>
      <c r="TJM33" s="153"/>
      <c r="TJN33" s="153"/>
      <c r="TJO33" s="153"/>
      <c r="TJP33" s="153"/>
      <c r="TJQ33" s="153"/>
      <c r="TJR33" s="153"/>
      <c r="TJS33" s="153"/>
      <c r="TJT33" s="153"/>
      <c r="TJU33" s="153"/>
      <c r="TJV33" s="153"/>
      <c r="TJW33" s="153"/>
      <c r="TJX33" s="153"/>
      <c r="TJY33" s="153"/>
      <c r="TJZ33" s="153"/>
      <c r="TKA33" s="153"/>
      <c r="TKB33" s="153"/>
      <c r="TKC33" s="153"/>
      <c r="TKD33" s="153"/>
      <c r="TKE33" s="153"/>
      <c r="TKF33" s="153"/>
      <c r="TKG33" s="153"/>
      <c r="TKH33" s="153"/>
      <c r="TKI33" s="153"/>
      <c r="TKJ33" s="153"/>
      <c r="TKK33" s="153"/>
      <c r="TKL33" s="153"/>
      <c r="TKM33" s="153"/>
      <c r="TKN33" s="153"/>
      <c r="TKO33" s="153"/>
      <c r="TKP33" s="153"/>
      <c r="TKQ33" s="153"/>
      <c r="TKR33" s="153"/>
      <c r="TKS33" s="153"/>
      <c r="TKT33" s="153"/>
      <c r="TKU33" s="153"/>
      <c r="TKV33" s="153"/>
      <c r="TKW33" s="153"/>
      <c r="TKX33" s="153"/>
      <c r="TKY33" s="153"/>
      <c r="TKZ33" s="153"/>
      <c r="TLA33" s="153"/>
      <c r="TLB33" s="153"/>
      <c r="TLC33" s="153"/>
      <c r="TLD33" s="153"/>
      <c r="TLE33" s="153"/>
      <c r="TLF33" s="153"/>
      <c r="TLG33" s="153"/>
      <c r="TLH33" s="153"/>
      <c r="TLI33" s="153"/>
      <c r="TLJ33" s="153"/>
      <c r="TLK33" s="153"/>
      <c r="TLL33" s="153"/>
      <c r="TLM33" s="153"/>
      <c r="TLN33" s="153"/>
      <c r="TLO33" s="153"/>
      <c r="TLP33" s="153"/>
      <c r="TLQ33" s="153"/>
      <c r="TLR33" s="153"/>
      <c r="TLS33" s="153"/>
      <c r="TLT33" s="153"/>
      <c r="TLU33" s="153"/>
      <c r="TLV33" s="153"/>
      <c r="TLW33" s="153"/>
      <c r="TLX33" s="153"/>
      <c r="TLY33" s="153"/>
      <c r="TLZ33" s="153"/>
      <c r="TMA33" s="153"/>
      <c r="TMB33" s="153"/>
      <c r="TMC33" s="153"/>
      <c r="TMD33" s="153"/>
      <c r="TME33" s="153"/>
      <c r="TMF33" s="153"/>
      <c r="TMG33" s="153"/>
      <c r="TMH33" s="153"/>
      <c r="TMI33" s="153"/>
      <c r="TMJ33" s="153"/>
      <c r="TMK33" s="153"/>
      <c r="TML33" s="153"/>
      <c r="TMM33" s="153"/>
      <c r="TMN33" s="153"/>
      <c r="TMO33" s="153"/>
      <c r="TMP33" s="153"/>
      <c r="TMQ33" s="153"/>
      <c r="TMR33" s="153"/>
      <c r="TMS33" s="153"/>
      <c r="TMT33" s="153"/>
      <c r="TMU33" s="153"/>
      <c r="TMV33" s="153"/>
      <c r="TMW33" s="153"/>
      <c r="TMX33" s="153"/>
      <c r="TMY33" s="153"/>
      <c r="TMZ33" s="153"/>
      <c r="TNA33" s="153"/>
      <c r="TNB33" s="153"/>
      <c r="TNC33" s="153"/>
      <c r="TND33" s="153"/>
      <c r="TNE33" s="153"/>
      <c r="TNF33" s="153"/>
      <c r="TNG33" s="153"/>
      <c r="TNH33" s="153"/>
      <c r="TNI33" s="153"/>
      <c r="TNJ33" s="153"/>
      <c r="TNK33" s="153"/>
      <c r="TNL33" s="153"/>
      <c r="TNM33" s="153"/>
      <c r="TNN33" s="153"/>
      <c r="TNO33" s="153"/>
      <c r="TNP33" s="153"/>
      <c r="TNQ33" s="153"/>
      <c r="TNR33" s="153"/>
      <c r="TNS33" s="153"/>
      <c r="TNT33" s="153"/>
      <c r="TNU33" s="153"/>
      <c r="TNV33" s="153"/>
      <c r="TNW33" s="153"/>
      <c r="TNX33" s="153"/>
      <c r="TNY33" s="153"/>
      <c r="TNZ33" s="153"/>
      <c r="TOA33" s="153"/>
      <c r="TOB33" s="153"/>
      <c r="TOC33" s="153"/>
      <c r="TOD33" s="153"/>
      <c r="TOE33" s="153"/>
      <c r="TOF33" s="153"/>
      <c r="TOG33" s="153"/>
      <c r="TOH33" s="153"/>
      <c r="TOI33" s="153"/>
      <c r="TOJ33" s="153"/>
      <c r="TOK33" s="153"/>
      <c r="TOL33" s="153"/>
      <c r="TOM33" s="153"/>
      <c r="TON33" s="153"/>
      <c r="TOO33" s="153"/>
      <c r="TOP33" s="153"/>
      <c r="TOQ33" s="153"/>
      <c r="TOR33" s="153"/>
      <c r="TOS33" s="153"/>
      <c r="TOT33" s="153"/>
      <c r="TOU33" s="153"/>
      <c r="TOV33" s="153"/>
      <c r="TOW33" s="153"/>
      <c r="TOX33" s="153"/>
      <c r="TOY33" s="153"/>
      <c r="TOZ33" s="153"/>
      <c r="TPA33" s="153"/>
      <c r="TPB33" s="153"/>
      <c r="TPC33" s="153"/>
      <c r="TPD33" s="153"/>
      <c r="TPE33" s="153"/>
      <c r="TPF33" s="153"/>
      <c r="TPG33" s="153"/>
      <c r="TPH33" s="153"/>
      <c r="TPI33" s="153"/>
      <c r="TPJ33" s="153"/>
      <c r="TPK33" s="153"/>
      <c r="TPL33" s="153"/>
      <c r="TPM33" s="153"/>
      <c r="TPN33" s="153"/>
      <c r="TPO33" s="153"/>
      <c r="TPP33" s="153"/>
      <c r="TPQ33" s="153"/>
      <c r="TPR33" s="153"/>
      <c r="TPS33" s="153"/>
      <c r="TPT33" s="153"/>
      <c r="TPU33" s="153"/>
      <c r="TPV33" s="153"/>
      <c r="TPW33" s="153"/>
      <c r="TPX33" s="153"/>
      <c r="TPY33" s="153"/>
      <c r="TPZ33" s="153"/>
      <c r="TQA33" s="153"/>
      <c r="TQB33" s="153"/>
      <c r="TQC33" s="153"/>
      <c r="TQD33" s="153"/>
      <c r="TQE33" s="153"/>
      <c r="TQF33" s="153"/>
      <c r="TQG33" s="153"/>
      <c r="TQH33" s="153"/>
      <c r="TQI33" s="153"/>
      <c r="TQJ33" s="153"/>
      <c r="TQK33" s="153"/>
      <c r="TQL33" s="153"/>
      <c r="TQM33" s="153"/>
      <c r="TQN33" s="153"/>
      <c r="TQO33" s="153"/>
      <c r="TQP33" s="153"/>
      <c r="TQQ33" s="153"/>
      <c r="TQR33" s="153"/>
      <c r="TQS33" s="153"/>
      <c r="TQT33" s="153"/>
      <c r="TQU33" s="153"/>
      <c r="TQV33" s="153"/>
      <c r="TQW33" s="153"/>
      <c r="TQX33" s="153"/>
      <c r="TQY33" s="153"/>
      <c r="TQZ33" s="153"/>
      <c r="TRA33" s="153"/>
      <c r="TRB33" s="153"/>
      <c r="TRC33" s="153"/>
      <c r="TRD33" s="153"/>
      <c r="TRE33" s="153"/>
      <c r="TRF33" s="153"/>
      <c r="TRG33" s="153"/>
      <c r="TRH33" s="153"/>
      <c r="TRI33" s="153"/>
      <c r="TRJ33" s="153"/>
      <c r="TRK33" s="153"/>
      <c r="TRL33" s="153"/>
      <c r="TRM33" s="153"/>
      <c r="TRN33" s="153"/>
      <c r="TRO33" s="153"/>
      <c r="TRP33" s="153"/>
      <c r="TRQ33" s="153"/>
      <c r="TRR33" s="153"/>
      <c r="TRS33" s="153"/>
      <c r="TRT33" s="153"/>
      <c r="TRU33" s="153"/>
      <c r="TRV33" s="153"/>
      <c r="TRW33" s="153"/>
      <c r="TRX33" s="153"/>
      <c r="TRY33" s="153"/>
      <c r="TRZ33" s="153"/>
      <c r="TSA33" s="153"/>
      <c r="TSB33" s="153"/>
      <c r="TSC33" s="153"/>
      <c r="TSD33" s="153"/>
      <c r="TSE33" s="153"/>
      <c r="TSF33" s="153"/>
      <c r="TSG33" s="153"/>
      <c r="TSH33" s="153"/>
      <c r="TSI33" s="153"/>
      <c r="TSJ33" s="153"/>
      <c r="TSK33" s="153"/>
      <c r="TSL33" s="153"/>
      <c r="TSM33" s="153"/>
      <c r="TSN33" s="153"/>
      <c r="TSO33" s="153"/>
      <c r="TSP33" s="153"/>
      <c r="TSQ33" s="153"/>
      <c r="TSR33" s="153"/>
      <c r="TSS33" s="153"/>
      <c r="TST33" s="153"/>
      <c r="TSU33" s="153"/>
      <c r="TSV33" s="153"/>
      <c r="TSW33" s="153"/>
      <c r="TSX33" s="153"/>
      <c r="TSY33" s="153"/>
      <c r="TSZ33" s="153"/>
      <c r="TTA33" s="153"/>
      <c r="TTB33" s="153"/>
      <c r="TTC33" s="153"/>
      <c r="TTD33" s="153"/>
      <c r="TTE33" s="153"/>
      <c r="TTF33" s="153"/>
      <c r="TTG33" s="153"/>
      <c r="TTH33" s="153"/>
      <c r="TTI33" s="153"/>
      <c r="TTJ33" s="153"/>
      <c r="TTK33" s="153"/>
      <c r="TTL33" s="153"/>
      <c r="TTM33" s="153"/>
      <c r="TTN33" s="153"/>
      <c r="TTO33" s="153"/>
      <c r="TTP33" s="153"/>
      <c r="TTQ33" s="153"/>
      <c r="TTR33" s="153"/>
      <c r="TTS33" s="153"/>
      <c r="TTT33" s="153"/>
      <c r="TTU33" s="153"/>
      <c r="TTV33" s="153"/>
      <c r="TTW33" s="153"/>
      <c r="TTX33" s="153"/>
      <c r="TTY33" s="153"/>
      <c r="TTZ33" s="153"/>
      <c r="TUA33" s="153"/>
      <c r="TUB33" s="153"/>
      <c r="TUC33" s="153"/>
      <c r="TUD33" s="153"/>
      <c r="TUE33" s="153"/>
      <c r="TUF33" s="153"/>
      <c r="TUG33" s="153"/>
      <c r="TUH33" s="153"/>
      <c r="TUI33" s="153"/>
      <c r="TUJ33" s="153"/>
      <c r="TUK33" s="153"/>
      <c r="TUL33" s="153"/>
      <c r="TUM33" s="153"/>
      <c r="TUN33" s="153"/>
      <c r="TUO33" s="153"/>
      <c r="TUP33" s="153"/>
      <c r="TUQ33" s="153"/>
      <c r="TUR33" s="153"/>
      <c r="TUS33" s="153"/>
      <c r="TUT33" s="153"/>
      <c r="TUU33" s="153"/>
      <c r="TUV33" s="153"/>
      <c r="TUW33" s="153"/>
      <c r="TUX33" s="153"/>
      <c r="TUY33" s="153"/>
      <c r="TUZ33" s="153"/>
      <c r="TVA33" s="153"/>
      <c r="TVB33" s="153"/>
      <c r="TVC33" s="153"/>
      <c r="TVD33" s="153"/>
      <c r="TVE33" s="153"/>
      <c r="TVF33" s="153"/>
      <c r="TVG33" s="153"/>
      <c r="TVH33" s="153"/>
      <c r="TVI33" s="153"/>
      <c r="TVJ33" s="153"/>
      <c r="TVK33" s="153"/>
      <c r="TVL33" s="153"/>
      <c r="TVM33" s="153"/>
      <c r="TVN33" s="153"/>
      <c r="TVO33" s="153"/>
      <c r="TVP33" s="153"/>
      <c r="TVQ33" s="153"/>
      <c r="TVR33" s="153"/>
      <c r="TVS33" s="153"/>
      <c r="TVT33" s="153"/>
      <c r="TVU33" s="153"/>
      <c r="TVV33" s="153"/>
      <c r="TVW33" s="153"/>
      <c r="TVX33" s="153"/>
      <c r="TVY33" s="153"/>
      <c r="TVZ33" s="153"/>
      <c r="TWA33" s="153"/>
      <c r="TWB33" s="153"/>
      <c r="TWC33" s="153"/>
      <c r="TWD33" s="153"/>
      <c r="TWE33" s="153"/>
      <c r="TWF33" s="153"/>
      <c r="TWG33" s="153"/>
      <c r="TWH33" s="153"/>
      <c r="TWI33" s="153"/>
      <c r="TWJ33" s="153"/>
      <c r="TWK33" s="153"/>
      <c r="TWL33" s="153"/>
      <c r="TWM33" s="153"/>
      <c r="TWN33" s="153"/>
      <c r="TWO33" s="153"/>
      <c r="TWP33" s="153"/>
      <c r="TWQ33" s="153"/>
      <c r="TWR33" s="153"/>
      <c r="TWS33" s="153"/>
      <c r="TWT33" s="153"/>
      <c r="TWU33" s="153"/>
      <c r="TWV33" s="153"/>
      <c r="TWW33" s="153"/>
      <c r="TWX33" s="153"/>
      <c r="TWY33" s="153"/>
      <c r="TWZ33" s="153"/>
      <c r="TXA33" s="153"/>
      <c r="TXB33" s="153"/>
      <c r="TXC33" s="153"/>
      <c r="TXD33" s="153"/>
      <c r="TXE33" s="153"/>
      <c r="TXF33" s="153"/>
      <c r="TXG33" s="153"/>
      <c r="TXH33" s="153"/>
      <c r="TXI33" s="153"/>
      <c r="TXJ33" s="153"/>
      <c r="TXK33" s="153"/>
      <c r="TXL33" s="153"/>
      <c r="TXM33" s="153"/>
      <c r="TXN33" s="153"/>
      <c r="TXO33" s="153"/>
      <c r="TXP33" s="153"/>
      <c r="TXQ33" s="153"/>
      <c r="TXR33" s="153"/>
      <c r="TXS33" s="153"/>
      <c r="TXT33" s="153"/>
      <c r="TXU33" s="153"/>
      <c r="TXV33" s="153"/>
      <c r="TXW33" s="153"/>
      <c r="TXX33" s="153"/>
      <c r="TXY33" s="153"/>
      <c r="TXZ33" s="153"/>
      <c r="TYA33" s="153"/>
      <c r="TYB33" s="153"/>
      <c r="TYC33" s="153"/>
      <c r="TYD33" s="153"/>
      <c r="TYE33" s="153"/>
      <c r="TYF33" s="153"/>
      <c r="TYG33" s="153"/>
      <c r="TYH33" s="153"/>
      <c r="TYI33" s="153"/>
      <c r="TYJ33" s="153"/>
      <c r="TYK33" s="153"/>
      <c r="TYL33" s="153"/>
      <c r="TYM33" s="153"/>
      <c r="TYN33" s="153"/>
      <c r="TYO33" s="153"/>
      <c r="TYP33" s="153"/>
      <c r="TYQ33" s="153"/>
      <c r="TYR33" s="153"/>
      <c r="TYS33" s="153"/>
      <c r="TYT33" s="153"/>
      <c r="TYU33" s="153"/>
      <c r="TYV33" s="153"/>
      <c r="TYW33" s="153"/>
      <c r="TYX33" s="153"/>
      <c r="TYY33" s="153"/>
      <c r="TYZ33" s="153"/>
      <c r="TZA33" s="153"/>
      <c r="TZB33" s="153"/>
      <c r="TZC33" s="153"/>
      <c r="TZD33" s="153"/>
      <c r="TZE33" s="153"/>
      <c r="TZF33" s="153"/>
      <c r="TZG33" s="153"/>
      <c r="TZH33" s="153"/>
      <c r="TZI33" s="153"/>
      <c r="TZJ33" s="153"/>
      <c r="TZK33" s="153"/>
      <c r="TZL33" s="153"/>
      <c r="TZM33" s="153"/>
      <c r="TZN33" s="153"/>
      <c r="TZO33" s="153"/>
      <c r="TZP33" s="153"/>
      <c r="TZQ33" s="153"/>
      <c r="TZR33" s="153"/>
      <c r="TZS33" s="153"/>
      <c r="TZT33" s="153"/>
      <c r="TZU33" s="153"/>
      <c r="TZV33" s="153"/>
      <c r="TZW33" s="153"/>
      <c r="TZX33" s="153"/>
      <c r="TZY33" s="153"/>
      <c r="TZZ33" s="153"/>
      <c r="UAA33" s="153"/>
      <c r="UAB33" s="153"/>
      <c r="UAC33" s="153"/>
      <c r="UAD33" s="153"/>
      <c r="UAE33" s="153"/>
      <c r="UAF33" s="153"/>
      <c r="UAG33" s="153"/>
      <c r="UAH33" s="153"/>
      <c r="UAI33" s="153"/>
      <c r="UAJ33" s="153"/>
      <c r="UAK33" s="153"/>
      <c r="UAL33" s="153"/>
      <c r="UAM33" s="153"/>
      <c r="UAN33" s="153"/>
      <c r="UAO33" s="153"/>
      <c r="UAP33" s="153"/>
      <c r="UAQ33" s="153"/>
      <c r="UAR33" s="153"/>
      <c r="UAS33" s="153"/>
      <c r="UAT33" s="153"/>
      <c r="UAU33" s="153"/>
      <c r="UAV33" s="153"/>
      <c r="UAW33" s="153"/>
      <c r="UAX33" s="153"/>
      <c r="UAY33" s="153"/>
      <c r="UAZ33" s="153"/>
      <c r="UBA33" s="153"/>
      <c r="UBB33" s="153"/>
      <c r="UBC33" s="153"/>
      <c r="UBD33" s="153"/>
      <c r="UBE33" s="153"/>
      <c r="UBF33" s="153"/>
      <c r="UBG33" s="153"/>
      <c r="UBH33" s="153"/>
      <c r="UBI33" s="153"/>
      <c r="UBJ33" s="153"/>
      <c r="UBK33" s="153"/>
      <c r="UBL33" s="153"/>
      <c r="UBM33" s="153"/>
      <c r="UBN33" s="153"/>
      <c r="UBO33" s="153"/>
      <c r="UBP33" s="153"/>
      <c r="UBQ33" s="153"/>
      <c r="UBR33" s="153"/>
      <c r="UBS33" s="153"/>
      <c r="UBT33" s="153"/>
      <c r="UBU33" s="153"/>
      <c r="UBV33" s="153"/>
      <c r="UBW33" s="153"/>
      <c r="UBX33" s="153"/>
      <c r="UBY33" s="153"/>
      <c r="UBZ33" s="153"/>
      <c r="UCA33" s="153"/>
      <c r="UCB33" s="153"/>
      <c r="UCC33" s="153"/>
      <c r="UCD33" s="153"/>
      <c r="UCE33" s="153"/>
      <c r="UCF33" s="153"/>
      <c r="UCG33" s="153"/>
      <c r="UCH33" s="153"/>
      <c r="UCI33" s="153"/>
      <c r="UCJ33" s="153"/>
      <c r="UCK33" s="153"/>
      <c r="UCL33" s="153"/>
      <c r="UCM33" s="153"/>
      <c r="UCN33" s="153"/>
      <c r="UCO33" s="153"/>
      <c r="UCP33" s="153"/>
      <c r="UCQ33" s="153"/>
      <c r="UCR33" s="153"/>
      <c r="UCS33" s="153"/>
      <c r="UCT33" s="153"/>
      <c r="UCU33" s="153"/>
      <c r="UCV33" s="153"/>
      <c r="UCW33" s="153"/>
      <c r="UCX33" s="153"/>
      <c r="UCY33" s="153"/>
      <c r="UCZ33" s="153"/>
      <c r="UDA33" s="153"/>
      <c r="UDB33" s="153"/>
      <c r="UDC33" s="153"/>
      <c r="UDD33" s="153"/>
      <c r="UDE33" s="153"/>
      <c r="UDF33" s="153"/>
      <c r="UDG33" s="153"/>
      <c r="UDH33" s="153"/>
      <c r="UDI33" s="153"/>
      <c r="UDJ33" s="153"/>
      <c r="UDK33" s="153"/>
      <c r="UDL33" s="153"/>
      <c r="UDM33" s="153"/>
      <c r="UDN33" s="153"/>
      <c r="UDO33" s="153"/>
      <c r="UDP33" s="153"/>
      <c r="UDQ33" s="153"/>
      <c r="UDR33" s="153"/>
      <c r="UDS33" s="153"/>
      <c r="UDT33" s="153"/>
      <c r="UDU33" s="153"/>
      <c r="UDV33" s="153"/>
      <c r="UDW33" s="153"/>
      <c r="UDX33" s="153"/>
      <c r="UDY33" s="153"/>
      <c r="UDZ33" s="153"/>
      <c r="UEA33" s="153"/>
      <c r="UEB33" s="153"/>
      <c r="UEC33" s="153"/>
      <c r="UED33" s="153"/>
      <c r="UEE33" s="153"/>
      <c r="UEF33" s="153"/>
      <c r="UEG33" s="153"/>
      <c r="UEH33" s="153"/>
      <c r="UEI33" s="153"/>
      <c r="UEJ33" s="153"/>
      <c r="UEK33" s="153"/>
      <c r="UEL33" s="153"/>
      <c r="UEM33" s="153"/>
      <c r="UEN33" s="153"/>
      <c r="UEO33" s="153"/>
      <c r="UEP33" s="153"/>
      <c r="UEQ33" s="153"/>
      <c r="UER33" s="153"/>
      <c r="UES33" s="153"/>
      <c r="UET33" s="153"/>
      <c r="UEU33" s="153"/>
      <c r="UEV33" s="153"/>
      <c r="UEW33" s="153"/>
      <c r="UEX33" s="153"/>
      <c r="UEY33" s="153"/>
      <c r="UEZ33" s="153"/>
      <c r="UFA33" s="153"/>
      <c r="UFB33" s="153"/>
      <c r="UFC33" s="153"/>
      <c r="UFD33" s="153"/>
      <c r="UFE33" s="153"/>
      <c r="UFF33" s="153"/>
      <c r="UFG33" s="153"/>
      <c r="UFH33" s="153"/>
      <c r="UFI33" s="153"/>
      <c r="UFJ33" s="153"/>
      <c r="UFK33" s="153"/>
      <c r="UFL33" s="153"/>
      <c r="UFM33" s="153"/>
      <c r="UFN33" s="153"/>
      <c r="UFO33" s="153"/>
      <c r="UFP33" s="153"/>
      <c r="UFQ33" s="153"/>
      <c r="UFR33" s="153"/>
      <c r="UFS33" s="153"/>
      <c r="UFT33" s="153"/>
      <c r="UFU33" s="153"/>
      <c r="UFV33" s="153"/>
      <c r="UFW33" s="153"/>
      <c r="UFX33" s="153"/>
      <c r="UFY33" s="153"/>
      <c r="UFZ33" s="153"/>
      <c r="UGA33" s="153"/>
      <c r="UGB33" s="153"/>
      <c r="UGC33" s="153"/>
      <c r="UGD33" s="153"/>
      <c r="UGE33" s="153"/>
      <c r="UGF33" s="153"/>
      <c r="UGG33" s="153"/>
      <c r="UGH33" s="153"/>
      <c r="UGI33" s="153"/>
      <c r="UGJ33" s="153"/>
      <c r="UGK33" s="153"/>
      <c r="UGL33" s="153"/>
      <c r="UGM33" s="153"/>
      <c r="UGN33" s="153"/>
      <c r="UGO33" s="153"/>
      <c r="UGP33" s="153"/>
      <c r="UGQ33" s="153"/>
      <c r="UGR33" s="153"/>
      <c r="UGS33" s="153"/>
      <c r="UGT33" s="153"/>
      <c r="UGU33" s="153"/>
      <c r="UGV33" s="153"/>
      <c r="UGW33" s="153"/>
      <c r="UGX33" s="153"/>
      <c r="UGY33" s="153"/>
      <c r="UGZ33" s="153"/>
      <c r="UHA33" s="153"/>
      <c r="UHB33" s="153"/>
      <c r="UHC33" s="153"/>
      <c r="UHD33" s="153"/>
      <c r="UHE33" s="153"/>
      <c r="UHF33" s="153"/>
      <c r="UHG33" s="153"/>
      <c r="UHH33" s="153"/>
      <c r="UHI33" s="153"/>
      <c r="UHJ33" s="153"/>
      <c r="UHK33" s="153"/>
      <c r="UHL33" s="153"/>
      <c r="UHM33" s="153"/>
      <c r="UHN33" s="153"/>
      <c r="UHO33" s="153"/>
      <c r="UHP33" s="153"/>
      <c r="UHQ33" s="153"/>
      <c r="UHR33" s="153"/>
      <c r="UHS33" s="153"/>
      <c r="UHT33" s="153"/>
      <c r="UHU33" s="153"/>
      <c r="UHV33" s="153"/>
      <c r="UHW33" s="153"/>
      <c r="UHX33" s="153"/>
      <c r="UHY33" s="153"/>
      <c r="UHZ33" s="153"/>
      <c r="UIA33" s="153"/>
      <c r="UIB33" s="153"/>
      <c r="UIC33" s="153"/>
      <c r="UID33" s="153"/>
      <c r="UIE33" s="153"/>
      <c r="UIF33" s="153"/>
      <c r="UIG33" s="153"/>
      <c r="UIH33" s="153"/>
      <c r="UII33" s="153"/>
      <c r="UIJ33" s="153"/>
      <c r="UIK33" s="153"/>
      <c r="UIL33" s="153"/>
      <c r="UIM33" s="153"/>
      <c r="UIN33" s="153"/>
      <c r="UIO33" s="153"/>
      <c r="UIP33" s="153"/>
      <c r="UIQ33" s="153"/>
      <c r="UIR33" s="153"/>
      <c r="UIS33" s="153"/>
      <c r="UIT33" s="153"/>
      <c r="UIU33" s="153"/>
      <c r="UIV33" s="153"/>
      <c r="UIW33" s="153"/>
      <c r="UIX33" s="153"/>
      <c r="UIY33" s="153"/>
      <c r="UIZ33" s="153"/>
      <c r="UJA33" s="153"/>
      <c r="UJB33" s="153"/>
      <c r="UJC33" s="153"/>
      <c r="UJD33" s="153"/>
      <c r="UJE33" s="153"/>
      <c r="UJF33" s="153"/>
      <c r="UJG33" s="153"/>
      <c r="UJH33" s="153"/>
      <c r="UJI33" s="153"/>
      <c r="UJJ33" s="153"/>
      <c r="UJK33" s="153"/>
      <c r="UJL33" s="153"/>
      <c r="UJM33" s="153"/>
      <c r="UJN33" s="153"/>
      <c r="UJO33" s="153"/>
      <c r="UJP33" s="153"/>
      <c r="UJQ33" s="153"/>
      <c r="UJR33" s="153"/>
      <c r="UJS33" s="153"/>
      <c r="UJT33" s="153"/>
      <c r="UJU33" s="153"/>
      <c r="UJV33" s="153"/>
      <c r="UJW33" s="153"/>
      <c r="UJX33" s="153"/>
      <c r="UJY33" s="153"/>
      <c r="UJZ33" s="153"/>
      <c r="UKA33" s="153"/>
      <c r="UKB33" s="153"/>
      <c r="UKC33" s="153"/>
      <c r="UKD33" s="153"/>
      <c r="UKE33" s="153"/>
      <c r="UKF33" s="153"/>
      <c r="UKG33" s="153"/>
      <c r="UKH33" s="153"/>
      <c r="UKI33" s="153"/>
      <c r="UKJ33" s="153"/>
      <c r="UKK33" s="153"/>
      <c r="UKL33" s="153"/>
      <c r="UKM33" s="153"/>
      <c r="UKN33" s="153"/>
      <c r="UKO33" s="153"/>
      <c r="UKP33" s="153"/>
      <c r="UKQ33" s="153"/>
      <c r="UKR33" s="153"/>
      <c r="UKS33" s="153"/>
      <c r="UKT33" s="153"/>
      <c r="UKU33" s="153"/>
      <c r="UKV33" s="153"/>
      <c r="UKW33" s="153"/>
      <c r="UKX33" s="153"/>
      <c r="UKY33" s="153"/>
      <c r="UKZ33" s="153"/>
      <c r="ULA33" s="153"/>
      <c r="ULB33" s="153"/>
      <c r="ULC33" s="153"/>
      <c r="ULD33" s="153"/>
      <c r="ULE33" s="153"/>
      <c r="ULF33" s="153"/>
      <c r="ULG33" s="153"/>
      <c r="ULH33" s="153"/>
      <c r="ULI33" s="153"/>
      <c r="ULJ33" s="153"/>
      <c r="ULK33" s="153"/>
      <c r="ULL33" s="153"/>
      <c r="ULM33" s="153"/>
      <c r="ULN33" s="153"/>
      <c r="ULO33" s="153"/>
      <c r="ULP33" s="153"/>
      <c r="ULQ33" s="153"/>
      <c r="ULR33" s="153"/>
      <c r="ULS33" s="153"/>
      <c r="ULT33" s="153"/>
      <c r="ULU33" s="153"/>
      <c r="ULV33" s="153"/>
      <c r="ULW33" s="153"/>
      <c r="ULX33" s="153"/>
      <c r="ULY33" s="153"/>
      <c r="ULZ33" s="153"/>
      <c r="UMA33" s="153"/>
      <c r="UMB33" s="153"/>
      <c r="UMC33" s="153"/>
      <c r="UMD33" s="153"/>
      <c r="UME33" s="153"/>
      <c r="UMF33" s="153"/>
      <c r="UMG33" s="153"/>
      <c r="UMH33" s="153"/>
      <c r="UMI33" s="153"/>
      <c r="UMJ33" s="153"/>
      <c r="UMK33" s="153"/>
      <c r="UML33" s="153"/>
      <c r="UMM33" s="153"/>
      <c r="UMN33" s="153"/>
      <c r="UMO33" s="153"/>
      <c r="UMP33" s="153"/>
      <c r="UMQ33" s="153"/>
      <c r="UMR33" s="153"/>
      <c r="UMS33" s="153"/>
      <c r="UMT33" s="153"/>
      <c r="UMU33" s="153"/>
      <c r="UMV33" s="153"/>
      <c r="UMW33" s="153"/>
      <c r="UMX33" s="153"/>
      <c r="UMY33" s="153"/>
      <c r="UMZ33" s="153"/>
      <c r="UNA33" s="153"/>
      <c r="UNB33" s="153"/>
      <c r="UNC33" s="153"/>
      <c r="UND33" s="153"/>
      <c r="UNE33" s="153"/>
      <c r="UNF33" s="153"/>
      <c r="UNG33" s="153"/>
      <c r="UNH33" s="153"/>
      <c r="UNI33" s="153"/>
      <c r="UNJ33" s="153"/>
      <c r="UNK33" s="153"/>
      <c r="UNL33" s="153"/>
      <c r="UNM33" s="153"/>
      <c r="UNN33" s="153"/>
      <c r="UNO33" s="153"/>
      <c r="UNP33" s="153"/>
      <c r="UNQ33" s="153"/>
      <c r="UNR33" s="153"/>
      <c r="UNS33" s="153"/>
      <c r="UNT33" s="153"/>
      <c r="UNU33" s="153"/>
      <c r="UNV33" s="153"/>
      <c r="UNW33" s="153"/>
      <c r="UNX33" s="153"/>
      <c r="UNY33" s="153"/>
      <c r="UNZ33" s="153"/>
      <c r="UOA33" s="153"/>
      <c r="UOB33" s="153"/>
      <c r="UOC33" s="153"/>
      <c r="UOD33" s="153"/>
      <c r="UOE33" s="153"/>
      <c r="UOF33" s="153"/>
      <c r="UOG33" s="153"/>
      <c r="UOH33" s="153"/>
      <c r="UOI33" s="153"/>
      <c r="UOJ33" s="153"/>
      <c r="UOK33" s="153"/>
      <c r="UOL33" s="153"/>
      <c r="UOM33" s="153"/>
      <c r="UON33" s="153"/>
      <c r="UOO33" s="153"/>
      <c r="UOP33" s="153"/>
      <c r="UOQ33" s="153"/>
      <c r="UOR33" s="153"/>
      <c r="UOS33" s="153"/>
      <c r="UOT33" s="153"/>
      <c r="UOU33" s="153"/>
      <c r="UOV33" s="153"/>
      <c r="UOW33" s="153"/>
      <c r="UOX33" s="153"/>
      <c r="UOY33" s="153"/>
      <c r="UOZ33" s="153"/>
      <c r="UPA33" s="153"/>
      <c r="UPB33" s="153"/>
      <c r="UPC33" s="153"/>
      <c r="UPD33" s="153"/>
      <c r="UPE33" s="153"/>
      <c r="UPF33" s="153"/>
      <c r="UPG33" s="153"/>
      <c r="UPH33" s="153"/>
      <c r="UPI33" s="153"/>
      <c r="UPJ33" s="153"/>
      <c r="UPK33" s="153"/>
      <c r="UPL33" s="153"/>
      <c r="UPM33" s="153"/>
      <c r="UPN33" s="153"/>
      <c r="UPO33" s="153"/>
      <c r="UPP33" s="153"/>
      <c r="UPQ33" s="153"/>
      <c r="UPR33" s="153"/>
      <c r="UPS33" s="153"/>
      <c r="UPT33" s="153"/>
      <c r="UPU33" s="153"/>
      <c r="UPV33" s="153"/>
      <c r="UPW33" s="153"/>
      <c r="UPX33" s="153"/>
      <c r="UPY33" s="153"/>
      <c r="UPZ33" s="153"/>
      <c r="UQA33" s="153"/>
      <c r="UQB33" s="153"/>
      <c r="UQC33" s="153"/>
      <c r="UQD33" s="153"/>
      <c r="UQE33" s="153"/>
      <c r="UQF33" s="153"/>
      <c r="UQG33" s="153"/>
      <c r="UQH33" s="153"/>
      <c r="UQI33" s="153"/>
      <c r="UQJ33" s="153"/>
      <c r="UQK33" s="153"/>
      <c r="UQL33" s="153"/>
      <c r="UQM33" s="153"/>
      <c r="UQN33" s="153"/>
      <c r="UQO33" s="153"/>
      <c r="UQP33" s="153"/>
      <c r="UQQ33" s="153"/>
      <c r="UQR33" s="153"/>
      <c r="UQS33" s="153"/>
      <c r="UQT33" s="153"/>
      <c r="UQU33" s="153"/>
      <c r="UQV33" s="153"/>
      <c r="UQW33" s="153"/>
      <c r="UQX33" s="153"/>
      <c r="UQY33" s="153"/>
      <c r="UQZ33" s="153"/>
      <c r="URA33" s="153"/>
      <c r="URB33" s="153"/>
      <c r="URC33" s="153"/>
      <c r="URD33" s="153"/>
      <c r="URE33" s="153"/>
      <c r="URF33" s="153"/>
      <c r="URG33" s="153"/>
      <c r="URH33" s="153"/>
      <c r="URI33" s="153"/>
      <c r="URJ33" s="153"/>
      <c r="URK33" s="153"/>
      <c r="URL33" s="153"/>
      <c r="URM33" s="153"/>
      <c r="URN33" s="153"/>
      <c r="URO33" s="153"/>
      <c r="URP33" s="153"/>
      <c r="URQ33" s="153"/>
      <c r="URR33" s="153"/>
      <c r="URS33" s="153"/>
      <c r="URT33" s="153"/>
      <c r="URU33" s="153"/>
      <c r="URV33" s="153"/>
      <c r="URW33" s="153"/>
      <c r="URX33" s="153"/>
      <c r="URY33" s="153"/>
      <c r="URZ33" s="153"/>
      <c r="USA33" s="153"/>
      <c r="USB33" s="153"/>
      <c r="USC33" s="153"/>
      <c r="USD33" s="153"/>
      <c r="USE33" s="153"/>
      <c r="USF33" s="153"/>
      <c r="USG33" s="153"/>
      <c r="USH33" s="153"/>
      <c r="USI33" s="153"/>
      <c r="USJ33" s="153"/>
      <c r="USK33" s="153"/>
      <c r="USL33" s="153"/>
      <c r="USM33" s="153"/>
      <c r="USN33" s="153"/>
      <c r="USO33" s="153"/>
      <c r="USP33" s="153"/>
      <c r="USQ33" s="153"/>
      <c r="USR33" s="153"/>
      <c r="USS33" s="153"/>
      <c r="UST33" s="153"/>
      <c r="USU33" s="153"/>
      <c r="USV33" s="153"/>
      <c r="USW33" s="153"/>
      <c r="USX33" s="153"/>
      <c r="USY33" s="153"/>
      <c r="USZ33" s="153"/>
      <c r="UTA33" s="153"/>
      <c r="UTB33" s="153"/>
      <c r="UTC33" s="153"/>
      <c r="UTD33" s="153"/>
      <c r="UTE33" s="153"/>
      <c r="UTF33" s="153"/>
      <c r="UTG33" s="153"/>
      <c r="UTH33" s="153"/>
      <c r="UTI33" s="153"/>
      <c r="UTJ33" s="153"/>
      <c r="UTK33" s="153"/>
      <c r="UTL33" s="153"/>
      <c r="UTM33" s="153"/>
      <c r="UTN33" s="153"/>
      <c r="UTO33" s="153"/>
      <c r="UTP33" s="153"/>
      <c r="UTQ33" s="153"/>
      <c r="UTR33" s="153"/>
      <c r="UTS33" s="153"/>
      <c r="UTT33" s="153"/>
      <c r="UTU33" s="153"/>
      <c r="UTV33" s="153"/>
      <c r="UTW33" s="153"/>
      <c r="UTX33" s="153"/>
      <c r="UTY33" s="153"/>
      <c r="UTZ33" s="153"/>
      <c r="UUA33" s="153"/>
      <c r="UUB33" s="153"/>
      <c r="UUC33" s="153"/>
      <c r="UUD33" s="153"/>
      <c r="UUE33" s="153"/>
      <c r="UUF33" s="153"/>
      <c r="UUG33" s="153"/>
      <c r="UUH33" s="153"/>
      <c r="UUI33" s="153"/>
      <c r="UUJ33" s="153"/>
      <c r="UUK33" s="153"/>
      <c r="UUL33" s="153"/>
      <c r="UUM33" s="153"/>
      <c r="UUN33" s="153"/>
      <c r="UUO33" s="153"/>
      <c r="UUP33" s="153"/>
      <c r="UUQ33" s="153"/>
      <c r="UUR33" s="153"/>
      <c r="UUS33" s="153"/>
      <c r="UUT33" s="153"/>
      <c r="UUU33" s="153"/>
      <c r="UUV33" s="153"/>
      <c r="UUW33" s="153"/>
      <c r="UUX33" s="153"/>
      <c r="UUY33" s="153"/>
      <c r="UUZ33" s="153"/>
      <c r="UVA33" s="153"/>
      <c r="UVB33" s="153"/>
      <c r="UVC33" s="153"/>
      <c r="UVD33" s="153"/>
      <c r="UVE33" s="153"/>
      <c r="UVF33" s="153"/>
      <c r="UVG33" s="153"/>
      <c r="UVH33" s="153"/>
      <c r="UVI33" s="153"/>
      <c r="UVJ33" s="153"/>
      <c r="UVK33" s="153"/>
      <c r="UVL33" s="153"/>
      <c r="UVM33" s="153"/>
      <c r="UVN33" s="153"/>
      <c r="UVO33" s="153"/>
      <c r="UVP33" s="153"/>
      <c r="UVQ33" s="153"/>
      <c r="UVR33" s="153"/>
      <c r="UVS33" s="153"/>
      <c r="UVT33" s="153"/>
      <c r="UVU33" s="153"/>
      <c r="UVV33" s="153"/>
      <c r="UVW33" s="153"/>
      <c r="UVX33" s="153"/>
      <c r="UVY33" s="153"/>
      <c r="UVZ33" s="153"/>
      <c r="UWA33" s="153"/>
      <c r="UWB33" s="153"/>
      <c r="UWC33" s="153"/>
      <c r="UWD33" s="153"/>
      <c r="UWE33" s="153"/>
      <c r="UWF33" s="153"/>
      <c r="UWG33" s="153"/>
      <c r="UWH33" s="153"/>
      <c r="UWI33" s="153"/>
      <c r="UWJ33" s="153"/>
      <c r="UWK33" s="153"/>
      <c r="UWL33" s="153"/>
      <c r="UWM33" s="153"/>
      <c r="UWN33" s="153"/>
      <c r="UWO33" s="153"/>
      <c r="UWP33" s="153"/>
      <c r="UWQ33" s="153"/>
      <c r="UWR33" s="153"/>
      <c r="UWS33" s="153"/>
      <c r="UWT33" s="153"/>
      <c r="UWU33" s="153"/>
      <c r="UWV33" s="153"/>
      <c r="UWW33" s="153"/>
      <c r="UWX33" s="153"/>
      <c r="UWY33" s="153"/>
      <c r="UWZ33" s="153"/>
      <c r="UXA33" s="153"/>
      <c r="UXB33" s="153"/>
      <c r="UXC33" s="153"/>
      <c r="UXD33" s="153"/>
      <c r="UXE33" s="153"/>
      <c r="UXF33" s="153"/>
      <c r="UXG33" s="153"/>
      <c r="UXH33" s="153"/>
      <c r="UXI33" s="153"/>
      <c r="UXJ33" s="153"/>
      <c r="UXK33" s="153"/>
      <c r="UXL33" s="153"/>
      <c r="UXM33" s="153"/>
      <c r="UXN33" s="153"/>
      <c r="UXO33" s="153"/>
      <c r="UXP33" s="153"/>
      <c r="UXQ33" s="153"/>
      <c r="UXR33" s="153"/>
      <c r="UXS33" s="153"/>
      <c r="UXT33" s="153"/>
      <c r="UXU33" s="153"/>
      <c r="UXV33" s="153"/>
      <c r="UXW33" s="153"/>
      <c r="UXX33" s="153"/>
      <c r="UXY33" s="153"/>
      <c r="UXZ33" s="153"/>
      <c r="UYA33" s="153"/>
      <c r="UYB33" s="153"/>
      <c r="UYC33" s="153"/>
      <c r="UYD33" s="153"/>
      <c r="UYE33" s="153"/>
      <c r="UYF33" s="153"/>
      <c r="UYG33" s="153"/>
      <c r="UYH33" s="153"/>
      <c r="UYI33" s="153"/>
      <c r="UYJ33" s="153"/>
      <c r="UYK33" s="153"/>
      <c r="UYL33" s="153"/>
      <c r="UYM33" s="153"/>
      <c r="UYN33" s="153"/>
      <c r="UYO33" s="153"/>
      <c r="UYP33" s="153"/>
      <c r="UYQ33" s="153"/>
      <c r="UYR33" s="153"/>
      <c r="UYS33" s="153"/>
      <c r="UYT33" s="153"/>
      <c r="UYU33" s="153"/>
      <c r="UYV33" s="153"/>
      <c r="UYW33" s="153"/>
      <c r="UYX33" s="153"/>
      <c r="UYY33" s="153"/>
      <c r="UYZ33" s="153"/>
      <c r="UZA33" s="153"/>
      <c r="UZB33" s="153"/>
      <c r="UZC33" s="153"/>
      <c r="UZD33" s="153"/>
      <c r="UZE33" s="153"/>
      <c r="UZF33" s="153"/>
      <c r="UZG33" s="153"/>
      <c r="UZH33" s="153"/>
      <c r="UZI33" s="153"/>
      <c r="UZJ33" s="153"/>
      <c r="UZK33" s="153"/>
      <c r="UZL33" s="153"/>
      <c r="UZM33" s="153"/>
      <c r="UZN33" s="153"/>
      <c r="UZO33" s="153"/>
      <c r="UZP33" s="153"/>
      <c r="UZQ33" s="153"/>
      <c r="UZR33" s="153"/>
      <c r="UZS33" s="153"/>
      <c r="UZT33" s="153"/>
      <c r="UZU33" s="153"/>
      <c r="UZV33" s="153"/>
      <c r="UZW33" s="153"/>
      <c r="UZX33" s="153"/>
      <c r="UZY33" s="153"/>
      <c r="UZZ33" s="153"/>
      <c r="VAA33" s="153"/>
      <c r="VAB33" s="153"/>
      <c r="VAC33" s="153"/>
      <c r="VAD33" s="153"/>
      <c r="VAE33" s="153"/>
      <c r="VAF33" s="153"/>
      <c r="VAG33" s="153"/>
      <c r="VAH33" s="153"/>
      <c r="VAI33" s="153"/>
      <c r="VAJ33" s="153"/>
      <c r="VAK33" s="153"/>
      <c r="VAL33" s="153"/>
      <c r="VAM33" s="153"/>
      <c r="VAN33" s="153"/>
      <c r="VAO33" s="153"/>
      <c r="VAP33" s="153"/>
      <c r="VAQ33" s="153"/>
      <c r="VAR33" s="153"/>
      <c r="VAS33" s="153"/>
      <c r="VAT33" s="153"/>
      <c r="VAU33" s="153"/>
      <c r="VAV33" s="153"/>
      <c r="VAW33" s="153"/>
      <c r="VAX33" s="153"/>
      <c r="VAY33" s="153"/>
      <c r="VAZ33" s="153"/>
      <c r="VBA33" s="153"/>
      <c r="VBB33" s="153"/>
      <c r="VBC33" s="153"/>
      <c r="VBD33" s="153"/>
      <c r="VBE33" s="153"/>
      <c r="VBF33" s="153"/>
      <c r="VBG33" s="153"/>
      <c r="VBH33" s="153"/>
      <c r="VBI33" s="153"/>
      <c r="VBJ33" s="153"/>
      <c r="VBK33" s="153"/>
      <c r="VBL33" s="153"/>
      <c r="VBM33" s="153"/>
      <c r="VBN33" s="153"/>
      <c r="VBO33" s="153"/>
      <c r="VBP33" s="153"/>
      <c r="VBQ33" s="153"/>
      <c r="VBR33" s="153"/>
      <c r="VBS33" s="153"/>
      <c r="VBT33" s="153"/>
      <c r="VBU33" s="153"/>
      <c r="VBV33" s="153"/>
      <c r="VBW33" s="153"/>
      <c r="VBX33" s="153"/>
      <c r="VBY33" s="153"/>
      <c r="VBZ33" s="153"/>
      <c r="VCA33" s="153"/>
      <c r="VCB33" s="153"/>
      <c r="VCC33" s="153"/>
      <c r="VCD33" s="153"/>
      <c r="VCE33" s="153"/>
      <c r="VCF33" s="153"/>
      <c r="VCG33" s="153"/>
      <c r="VCH33" s="153"/>
      <c r="VCI33" s="153"/>
      <c r="VCJ33" s="153"/>
      <c r="VCK33" s="153"/>
      <c r="VCL33" s="153"/>
      <c r="VCM33" s="153"/>
      <c r="VCN33" s="153"/>
      <c r="VCO33" s="153"/>
      <c r="VCP33" s="153"/>
      <c r="VCQ33" s="153"/>
      <c r="VCR33" s="153"/>
      <c r="VCS33" s="153"/>
      <c r="VCT33" s="153"/>
      <c r="VCU33" s="153"/>
      <c r="VCV33" s="153"/>
      <c r="VCW33" s="153"/>
      <c r="VCX33" s="153"/>
      <c r="VCY33" s="153"/>
      <c r="VCZ33" s="153"/>
      <c r="VDA33" s="153"/>
      <c r="VDB33" s="153"/>
      <c r="VDC33" s="153"/>
      <c r="VDD33" s="153"/>
      <c r="VDE33" s="153"/>
      <c r="VDF33" s="153"/>
      <c r="VDG33" s="153"/>
      <c r="VDH33" s="153"/>
      <c r="VDI33" s="153"/>
      <c r="VDJ33" s="153"/>
      <c r="VDK33" s="153"/>
      <c r="VDL33" s="153"/>
      <c r="VDM33" s="153"/>
      <c r="VDN33" s="153"/>
      <c r="VDO33" s="153"/>
      <c r="VDP33" s="153"/>
      <c r="VDQ33" s="153"/>
      <c r="VDR33" s="153"/>
      <c r="VDS33" s="153"/>
      <c r="VDT33" s="153"/>
      <c r="VDU33" s="153"/>
      <c r="VDV33" s="153"/>
      <c r="VDW33" s="153"/>
      <c r="VDX33" s="153"/>
      <c r="VDY33" s="153"/>
      <c r="VDZ33" s="153"/>
      <c r="VEA33" s="153"/>
      <c r="VEB33" s="153"/>
      <c r="VEC33" s="153"/>
      <c r="VED33" s="153"/>
      <c r="VEE33" s="153"/>
      <c r="VEF33" s="153"/>
      <c r="VEG33" s="153"/>
      <c r="VEH33" s="153"/>
      <c r="VEI33" s="153"/>
      <c r="VEJ33" s="153"/>
      <c r="VEK33" s="153"/>
      <c r="VEL33" s="153"/>
      <c r="VEM33" s="153"/>
      <c r="VEN33" s="153"/>
      <c r="VEO33" s="153"/>
      <c r="VEP33" s="153"/>
      <c r="VEQ33" s="153"/>
      <c r="VER33" s="153"/>
      <c r="VES33" s="153"/>
      <c r="VET33" s="153"/>
      <c r="VEU33" s="153"/>
      <c r="VEV33" s="153"/>
      <c r="VEW33" s="153"/>
      <c r="VEX33" s="153"/>
      <c r="VEY33" s="153"/>
      <c r="VEZ33" s="153"/>
      <c r="VFA33" s="153"/>
      <c r="VFB33" s="153"/>
      <c r="VFC33" s="153"/>
      <c r="VFD33" s="153"/>
      <c r="VFE33" s="153"/>
      <c r="VFF33" s="153"/>
      <c r="VFG33" s="153"/>
      <c r="VFH33" s="153"/>
      <c r="VFI33" s="153"/>
      <c r="VFJ33" s="153"/>
      <c r="VFK33" s="153"/>
      <c r="VFL33" s="153"/>
      <c r="VFM33" s="153"/>
      <c r="VFN33" s="153"/>
      <c r="VFO33" s="153"/>
      <c r="VFP33" s="153"/>
      <c r="VFQ33" s="153"/>
      <c r="VFR33" s="153"/>
      <c r="VFS33" s="153"/>
      <c r="VFT33" s="153"/>
      <c r="VFU33" s="153"/>
      <c r="VFV33" s="153"/>
      <c r="VFW33" s="153"/>
      <c r="VFX33" s="153"/>
      <c r="VFY33" s="153"/>
      <c r="VFZ33" s="153"/>
      <c r="VGA33" s="153"/>
      <c r="VGB33" s="153"/>
      <c r="VGC33" s="153"/>
      <c r="VGD33" s="153"/>
      <c r="VGE33" s="153"/>
      <c r="VGF33" s="153"/>
      <c r="VGG33" s="153"/>
      <c r="VGH33" s="153"/>
      <c r="VGI33" s="153"/>
      <c r="VGJ33" s="153"/>
      <c r="VGK33" s="153"/>
      <c r="VGL33" s="153"/>
      <c r="VGM33" s="153"/>
      <c r="VGN33" s="153"/>
      <c r="VGO33" s="153"/>
      <c r="VGP33" s="153"/>
      <c r="VGQ33" s="153"/>
      <c r="VGR33" s="153"/>
      <c r="VGS33" s="153"/>
      <c r="VGT33" s="153"/>
      <c r="VGU33" s="153"/>
      <c r="VGV33" s="153"/>
      <c r="VGW33" s="153"/>
      <c r="VGX33" s="153"/>
      <c r="VGY33" s="153"/>
      <c r="VGZ33" s="153"/>
      <c r="VHA33" s="153"/>
      <c r="VHB33" s="153"/>
      <c r="VHC33" s="153"/>
      <c r="VHD33" s="153"/>
      <c r="VHE33" s="153"/>
      <c r="VHF33" s="153"/>
      <c r="VHG33" s="153"/>
      <c r="VHH33" s="153"/>
      <c r="VHI33" s="153"/>
      <c r="VHJ33" s="153"/>
      <c r="VHK33" s="153"/>
      <c r="VHL33" s="153"/>
      <c r="VHM33" s="153"/>
      <c r="VHN33" s="153"/>
      <c r="VHO33" s="153"/>
      <c r="VHP33" s="153"/>
      <c r="VHQ33" s="153"/>
      <c r="VHR33" s="153"/>
      <c r="VHS33" s="153"/>
      <c r="VHT33" s="153"/>
      <c r="VHU33" s="153"/>
      <c r="VHV33" s="153"/>
      <c r="VHW33" s="153"/>
      <c r="VHX33" s="153"/>
      <c r="VHY33" s="153"/>
      <c r="VHZ33" s="153"/>
      <c r="VIA33" s="153"/>
      <c r="VIB33" s="153"/>
      <c r="VIC33" s="153"/>
      <c r="VID33" s="153"/>
      <c r="VIE33" s="153"/>
      <c r="VIF33" s="153"/>
      <c r="VIG33" s="153"/>
      <c r="VIH33" s="153"/>
      <c r="VII33" s="153"/>
      <c r="VIJ33" s="153"/>
      <c r="VIK33" s="153"/>
      <c r="VIL33" s="153"/>
      <c r="VIM33" s="153"/>
      <c r="VIN33" s="153"/>
      <c r="VIO33" s="153"/>
      <c r="VIP33" s="153"/>
      <c r="VIQ33" s="153"/>
      <c r="VIR33" s="153"/>
      <c r="VIS33" s="153"/>
      <c r="VIT33" s="153"/>
      <c r="VIU33" s="153"/>
      <c r="VIV33" s="153"/>
      <c r="VIW33" s="153"/>
      <c r="VIX33" s="153"/>
      <c r="VIY33" s="153"/>
      <c r="VIZ33" s="153"/>
      <c r="VJA33" s="153"/>
      <c r="VJB33" s="153"/>
      <c r="VJC33" s="153"/>
      <c r="VJD33" s="153"/>
      <c r="VJE33" s="153"/>
      <c r="VJF33" s="153"/>
      <c r="VJG33" s="153"/>
      <c r="VJH33" s="153"/>
      <c r="VJI33" s="153"/>
      <c r="VJJ33" s="153"/>
      <c r="VJK33" s="153"/>
      <c r="VJL33" s="153"/>
      <c r="VJM33" s="153"/>
      <c r="VJN33" s="153"/>
      <c r="VJO33" s="153"/>
      <c r="VJP33" s="153"/>
      <c r="VJQ33" s="153"/>
      <c r="VJR33" s="153"/>
      <c r="VJS33" s="153"/>
      <c r="VJT33" s="153"/>
      <c r="VJU33" s="153"/>
      <c r="VJV33" s="153"/>
      <c r="VJW33" s="153"/>
      <c r="VJX33" s="153"/>
      <c r="VJY33" s="153"/>
      <c r="VJZ33" s="153"/>
      <c r="VKA33" s="153"/>
      <c r="VKB33" s="153"/>
      <c r="VKC33" s="153"/>
      <c r="VKD33" s="153"/>
      <c r="VKE33" s="153"/>
      <c r="VKF33" s="153"/>
      <c r="VKG33" s="153"/>
      <c r="VKH33" s="153"/>
      <c r="VKI33" s="153"/>
      <c r="VKJ33" s="153"/>
      <c r="VKK33" s="153"/>
      <c r="VKL33" s="153"/>
      <c r="VKM33" s="153"/>
      <c r="VKN33" s="153"/>
      <c r="VKO33" s="153"/>
      <c r="VKP33" s="153"/>
      <c r="VKQ33" s="153"/>
      <c r="VKR33" s="153"/>
      <c r="VKS33" s="153"/>
      <c r="VKT33" s="153"/>
      <c r="VKU33" s="153"/>
      <c r="VKV33" s="153"/>
      <c r="VKW33" s="153"/>
      <c r="VKX33" s="153"/>
      <c r="VKY33" s="153"/>
      <c r="VKZ33" s="153"/>
      <c r="VLA33" s="153"/>
      <c r="VLB33" s="153"/>
      <c r="VLC33" s="153"/>
      <c r="VLD33" s="153"/>
      <c r="VLE33" s="153"/>
      <c r="VLF33" s="153"/>
      <c r="VLG33" s="153"/>
      <c r="VLH33" s="153"/>
      <c r="VLI33" s="153"/>
      <c r="VLJ33" s="153"/>
      <c r="VLK33" s="153"/>
      <c r="VLL33" s="153"/>
      <c r="VLM33" s="153"/>
      <c r="VLN33" s="153"/>
      <c r="VLO33" s="153"/>
      <c r="VLP33" s="153"/>
      <c r="VLQ33" s="153"/>
      <c r="VLR33" s="153"/>
      <c r="VLS33" s="153"/>
      <c r="VLT33" s="153"/>
      <c r="VLU33" s="153"/>
      <c r="VLV33" s="153"/>
      <c r="VLW33" s="153"/>
      <c r="VLX33" s="153"/>
      <c r="VLY33" s="153"/>
      <c r="VLZ33" s="153"/>
      <c r="VMA33" s="153"/>
      <c r="VMB33" s="153"/>
      <c r="VMC33" s="153"/>
      <c r="VMD33" s="153"/>
      <c r="VME33" s="153"/>
      <c r="VMF33" s="153"/>
      <c r="VMG33" s="153"/>
      <c r="VMH33" s="153"/>
      <c r="VMI33" s="153"/>
      <c r="VMJ33" s="153"/>
      <c r="VMK33" s="153"/>
      <c r="VML33" s="153"/>
      <c r="VMM33" s="153"/>
      <c r="VMN33" s="153"/>
      <c r="VMO33" s="153"/>
      <c r="VMP33" s="153"/>
      <c r="VMQ33" s="153"/>
      <c r="VMR33" s="153"/>
      <c r="VMS33" s="153"/>
      <c r="VMT33" s="153"/>
      <c r="VMU33" s="153"/>
      <c r="VMV33" s="153"/>
      <c r="VMW33" s="153"/>
      <c r="VMX33" s="153"/>
      <c r="VMY33" s="153"/>
      <c r="VMZ33" s="153"/>
      <c r="VNA33" s="153"/>
      <c r="VNB33" s="153"/>
      <c r="VNC33" s="153"/>
      <c r="VND33" s="153"/>
      <c r="VNE33" s="153"/>
      <c r="VNF33" s="153"/>
      <c r="VNG33" s="153"/>
      <c r="VNH33" s="153"/>
      <c r="VNI33" s="153"/>
      <c r="VNJ33" s="153"/>
      <c r="VNK33" s="153"/>
      <c r="VNL33" s="153"/>
      <c r="VNM33" s="153"/>
      <c r="VNN33" s="153"/>
      <c r="VNO33" s="153"/>
      <c r="VNP33" s="153"/>
      <c r="VNQ33" s="153"/>
      <c r="VNR33" s="153"/>
      <c r="VNS33" s="153"/>
      <c r="VNT33" s="153"/>
      <c r="VNU33" s="153"/>
      <c r="VNV33" s="153"/>
      <c r="VNW33" s="153"/>
      <c r="VNX33" s="153"/>
      <c r="VNY33" s="153"/>
      <c r="VNZ33" s="153"/>
      <c r="VOA33" s="153"/>
      <c r="VOB33" s="153"/>
      <c r="VOC33" s="153"/>
      <c r="VOD33" s="153"/>
      <c r="VOE33" s="153"/>
      <c r="VOF33" s="153"/>
      <c r="VOG33" s="153"/>
      <c r="VOH33" s="153"/>
      <c r="VOI33" s="153"/>
      <c r="VOJ33" s="153"/>
      <c r="VOK33" s="153"/>
      <c r="VOL33" s="153"/>
      <c r="VOM33" s="153"/>
      <c r="VON33" s="153"/>
      <c r="VOO33" s="153"/>
      <c r="VOP33" s="153"/>
      <c r="VOQ33" s="153"/>
      <c r="VOR33" s="153"/>
      <c r="VOS33" s="153"/>
      <c r="VOT33" s="153"/>
      <c r="VOU33" s="153"/>
      <c r="VOV33" s="153"/>
      <c r="VOW33" s="153"/>
      <c r="VOX33" s="153"/>
      <c r="VOY33" s="153"/>
      <c r="VOZ33" s="153"/>
      <c r="VPA33" s="153"/>
      <c r="VPB33" s="153"/>
      <c r="VPC33" s="153"/>
      <c r="VPD33" s="153"/>
      <c r="VPE33" s="153"/>
      <c r="VPF33" s="153"/>
      <c r="VPG33" s="153"/>
      <c r="VPH33" s="153"/>
      <c r="VPI33" s="153"/>
      <c r="VPJ33" s="153"/>
      <c r="VPK33" s="153"/>
      <c r="VPL33" s="153"/>
      <c r="VPM33" s="153"/>
      <c r="VPN33" s="153"/>
      <c r="VPO33" s="153"/>
      <c r="VPP33" s="153"/>
      <c r="VPQ33" s="153"/>
      <c r="VPR33" s="153"/>
      <c r="VPS33" s="153"/>
      <c r="VPT33" s="153"/>
      <c r="VPU33" s="153"/>
      <c r="VPV33" s="153"/>
      <c r="VPW33" s="153"/>
      <c r="VPX33" s="153"/>
      <c r="VPY33" s="153"/>
      <c r="VPZ33" s="153"/>
      <c r="VQA33" s="153"/>
      <c r="VQB33" s="153"/>
      <c r="VQC33" s="153"/>
      <c r="VQD33" s="153"/>
      <c r="VQE33" s="153"/>
      <c r="VQF33" s="153"/>
      <c r="VQG33" s="153"/>
      <c r="VQH33" s="153"/>
      <c r="VQI33" s="153"/>
      <c r="VQJ33" s="153"/>
      <c r="VQK33" s="153"/>
      <c r="VQL33" s="153"/>
      <c r="VQM33" s="153"/>
      <c r="VQN33" s="153"/>
      <c r="VQO33" s="153"/>
      <c r="VQP33" s="153"/>
      <c r="VQQ33" s="153"/>
      <c r="VQR33" s="153"/>
      <c r="VQS33" s="153"/>
      <c r="VQT33" s="153"/>
      <c r="VQU33" s="153"/>
      <c r="VQV33" s="153"/>
      <c r="VQW33" s="153"/>
      <c r="VQX33" s="153"/>
      <c r="VQY33" s="153"/>
      <c r="VQZ33" s="153"/>
      <c r="VRA33" s="153"/>
      <c r="VRB33" s="153"/>
      <c r="VRC33" s="153"/>
      <c r="VRD33" s="153"/>
      <c r="VRE33" s="153"/>
      <c r="VRF33" s="153"/>
      <c r="VRG33" s="153"/>
      <c r="VRH33" s="153"/>
      <c r="VRI33" s="153"/>
      <c r="VRJ33" s="153"/>
      <c r="VRK33" s="153"/>
      <c r="VRL33" s="153"/>
      <c r="VRM33" s="153"/>
      <c r="VRN33" s="153"/>
      <c r="VRO33" s="153"/>
      <c r="VRP33" s="153"/>
      <c r="VRQ33" s="153"/>
      <c r="VRR33" s="153"/>
      <c r="VRS33" s="153"/>
      <c r="VRT33" s="153"/>
      <c r="VRU33" s="153"/>
      <c r="VRV33" s="153"/>
      <c r="VRW33" s="153"/>
      <c r="VRX33" s="153"/>
      <c r="VRY33" s="153"/>
      <c r="VRZ33" s="153"/>
      <c r="VSA33" s="153"/>
      <c r="VSB33" s="153"/>
      <c r="VSC33" s="153"/>
      <c r="VSD33" s="153"/>
      <c r="VSE33" s="153"/>
      <c r="VSF33" s="153"/>
      <c r="VSG33" s="153"/>
      <c r="VSH33" s="153"/>
      <c r="VSI33" s="153"/>
      <c r="VSJ33" s="153"/>
      <c r="VSK33" s="153"/>
      <c r="VSL33" s="153"/>
      <c r="VSM33" s="153"/>
      <c r="VSN33" s="153"/>
      <c r="VSO33" s="153"/>
      <c r="VSP33" s="153"/>
      <c r="VSQ33" s="153"/>
      <c r="VSR33" s="153"/>
      <c r="VSS33" s="153"/>
      <c r="VST33" s="153"/>
      <c r="VSU33" s="153"/>
      <c r="VSV33" s="153"/>
      <c r="VSW33" s="153"/>
      <c r="VSX33" s="153"/>
      <c r="VSY33" s="153"/>
      <c r="VSZ33" s="153"/>
      <c r="VTA33" s="153"/>
      <c r="VTB33" s="153"/>
      <c r="VTC33" s="153"/>
      <c r="VTD33" s="153"/>
      <c r="VTE33" s="153"/>
      <c r="VTF33" s="153"/>
      <c r="VTG33" s="153"/>
      <c r="VTH33" s="153"/>
      <c r="VTI33" s="153"/>
      <c r="VTJ33" s="153"/>
      <c r="VTK33" s="153"/>
      <c r="VTL33" s="153"/>
      <c r="VTM33" s="153"/>
      <c r="VTN33" s="153"/>
      <c r="VTO33" s="153"/>
      <c r="VTP33" s="153"/>
      <c r="VTQ33" s="153"/>
      <c r="VTR33" s="153"/>
      <c r="VTS33" s="153"/>
      <c r="VTT33" s="153"/>
      <c r="VTU33" s="153"/>
      <c r="VTV33" s="153"/>
      <c r="VTW33" s="153"/>
      <c r="VTX33" s="153"/>
      <c r="VTY33" s="153"/>
      <c r="VTZ33" s="153"/>
      <c r="VUA33" s="153"/>
      <c r="VUB33" s="153"/>
      <c r="VUC33" s="153"/>
      <c r="VUD33" s="153"/>
      <c r="VUE33" s="153"/>
      <c r="VUF33" s="153"/>
      <c r="VUG33" s="153"/>
      <c r="VUH33" s="153"/>
      <c r="VUI33" s="153"/>
      <c r="VUJ33" s="153"/>
      <c r="VUK33" s="153"/>
      <c r="VUL33" s="153"/>
      <c r="VUM33" s="153"/>
      <c r="VUN33" s="153"/>
      <c r="VUO33" s="153"/>
      <c r="VUP33" s="153"/>
      <c r="VUQ33" s="153"/>
      <c r="VUR33" s="153"/>
      <c r="VUS33" s="153"/>
      <c r="VUT33" s="153"/>
      <c r="VUU33" s="153"/>
      <c r="VUV33" s="153"/>
      <c r="VUW33" s="153"/>
      <c r="VUX33" s="153"/>
      <c r="VUY33" s="153"/>
      <c r="VUZ33" s="153"/>
      <c r="VVA33" s="153"/>
      <c r="VVB33" s="153"/>
      <c r="VVC33" s="153"/>
      <c r="VVD33" s="153"/>
      <c r="VVE33" s="153"/>
      <c r="VVF33" s="153"/>
      <c r="VVG33" s="153"/>
      <c r="VVH33" s="153"/>
      <c r="VVI33" s="153"/>
      <c r="VVJ33" s="153"/>
      <c r="VVK33" s="153"/>
      <c r="VVL33" s="153"/>
      <c r="VVM33" s="153"/>
      <c r="VVN33" s="153"/>
      <c r="VVO33" s="153"/>
      <c r="VVP33" s="153"/>
      <c r="VVQ33" s="153"/>
      <c r="VVR33" s="153"/>
      <c r="VVS33" s="153"/>
      <c r="VVT33" s="153"/>
      <c r="VVU33" s="153"/>
      <c r="VVV33" s="153"/>
      <c r="VVW33" s="153"/>
      <c r="VVX33" s="153"/>
      <c r="VVY33" s="153"/>
      <c r="VVZ33" s="153"/>
      <c r="VWA33" s="153"/>
      <c r="VWB33" s="153"/>
      <c r="VWC33" s="153"/>
      <c r="VWD33" s="153"/>
      <c r="VWE33" s="153"/>
      <c r="VWF33" s="153"/>
      <c r="VWG33" s="153"/>
      <c r="VWH33" s="153"/>
      <c r="VWI33" s="153"/>
      <c r="VWJ33" s="153"/>
      <c r="VWK33" s="153"/>
      <c r="VWL33" s="153"/>
      <c r="VWM33" s="153"/>
      <c r="VWN33" s="153"/>
      <c r="VWO33" s="153"/>
      <c r="VWP33" s="153"/>
      <c r="VWQ33" s="153"/>
      <c r="VWR33" s="153"/>
      <c r="VWS33" s="153"/>
      <c r="VWT33" s="153"/>
      <c r="VWU33" s="153"/>
      <c r="VWV33" s="153"/>
      <c r="VWW33" s="153"/>
      <c r="VWX33" s="153"/>
      <c r="VWY33" s="153"/>
      <c r="VWZ33" s="153"/>
      <c r="VXA33" s="153"/>
      <c r="VXB33" s="153"/>
      <c r="VXC33" s="153"/>
      <c r="VXD33" s="153"/>
      <c r="VXE33" s="153"/>
      <c r="VXF33" s="153"/>
      <c r="VXG33" s="153"/>
      <c r="VXH33" s="153"/>
      <c r="VXI33" s="153"/>
      <c r="VXJ33" s="153"/>
      <c r="VXK33" s="153"/>
      <c r="VXL33" s="153"/>
      <c r="VXM33" s="153"/>
      <c r="VXN33" s="153"/>
      <c r="VXO33" s="153"/>
      <c r="VXP33" s="153"/>
      <c r="VXQ33" s="153"/>
      <c r="VXR33" s="153"/>
      <c r="VXS33" s="153"/>
      <c r="VXT33" s="153"/>
      <c r="VXU33" s="153"/>
      <c r="VXV33" s="153"/>
      <c r="VXW33" s="153"/>
      <c r="VXX33" s="153"/>
      <c r="VXY33" s="153"/>
      <c r="VXZ33" s="153"/>
      <c r="VYA33" s="153"/>
      <c r="VYB33" s="153"/>
      <c r="VYC33" s="153"/>
      <c r="VYD33" s="153"/>
      <c r="VYE33" s="153"/>
      <c r="VYF33" s="153"/>
      <c r="VYG33" s="153"/>
      <c r="VYH33" s="153"/>
      <c r="VYI33" s="153"/>
      <c r="VYJ33" s="153"/>
      <c r="VYK33" s="153"/>
      <c r="VYL33" s="153"/>
      <c r="VYM33" s="153"/>
      <c r="VYN33" s="153"/>
      <c r="VYO33" s="153"/>
      <c r="VYP33" s="153"/>
      <c r="VYQ33" s="153"/>
      <c r="VYR33" s="153"/>
      <c r="VYS33" s="153"/>
      <c r="VYT33" s="153"/>
      <c r="VYU33" s="153"/>
      <c r="VYV33" s="153"/>
      <c r="VYW33" s="153"/>
      <c r="VYX33" s="153"/>
      <c r="VYY33" s="153"/>
      <c r="VYZ33" s="153"/>
      <c r="VZA33" s="153"/>
      <c r="VZB33" s="153"/>
      <c r="VZC33" s="153"/>
      <c r="VZD33" s="153"/>
      <c r="VZE33" s="153"/>
      <c r="VZF33" s="153"/>
      <c r="VZG33" s="153"/>
      <c r="VZH33" s="153"/>
      <c r="VZI33" s="153"/>
      <c r="VZJ33" s="153"/>
      <c r="VZK33" s="153"/>
      <c r="VZL33" s="153"/>
      <c r="VZM33" s="153"/>
      <c r="VZN33" s="153"/>
      <c r="VZO33" s="153"/>
      <c r="VZP33" s="153"/>
      <c r="VZQ33" s="153"/>
      <c r="VZR33" s="153"/>
      <c r="VZS33" s="153"/>
      <c r="VZT33" s="153"/>
      <c r="VZU33" s="153"/>
      <c r="VZV33" s="153"/>
      <c r="VZW33" s="153"/>
      <c r="VZX33" s="153"/>
      <c r="VZY33" s="153"/>
      <c r="VZZ33" s="153"/>
      <c r="WAA33" s="153"/>
      <c r="WAB33" s="153"/>
      <c r="WAC33" s="153"/>
      <c r="WAD33" s="153"/>
      <c r="WAE33" s="153"/>
      <c r="WAF33" s="153"/>
      <c r="WAG33" s="153"/>
      <c r="WAH33" s="153"/>
      <c r="WAI33" s="153"/>
      <c r="WAJ33" s="153"/>
      <c r="WAK33" s="153"/>
      <c r="WAL33" s="153"/>
      <c r="WAM33" s="153"/>
      <c r="WAN33" s="153"/>
      <c r="WAO33" s="153"/>
      <c r="WAP33" s="153"/>
      <c r="WAQ33" s="153"/>
      <c r="WAR33" s="153"/>
      <c r="WAS33" s="153"/>
      <c r="WAT33" s="153"/>
      <c r="WAU33" s="153"/>
      <c r="WAV33" s="153"/>
      <c r="WAW33" s="153"/>
      <c r="WAX33" s="153"/>
      <c r="WAY33" s="153"/>
      <c r="WAZ33" s="153"/>
      <c r="WBA33" s="153"/>
      <c r="WBB33" s="153"/>
      <c r="WBC33" s="153"/>
      <c r="WBD33" s="153"/>
      <c r="WBE33" s="153"/>
      <c r="WBF33" s="153"/>
      <c r="WBG33" s="153"/>
      <c r="WBH33" s="153"/>
      <c r="WBI33" s="153"/>
      <c r="WBJ33" s="153"/>
      <c r="WBK33" s="153"/>
      <c r="WBL33" s="153"/>
      <c r="WBM33" s="153"/>
      <c r="WBN33" s="153"/>
      <c r="WBO33" s="153"/>
      <c r="WBP33" s="153"/>
      <c r="WBQ33" s="153"/>
      <c r="WBR33" s="153"/>
      <c r="WBS33" s="153"/>
      <c r="WBT33" s="153"/>
      <c r="WBU33" s="153"/>
      <c r="WBV33" s="153"/>
      <c r="WBW33" s="153"/>
      <c r="WBX33" s="153"/>
      <c r="WBY33" s="153"/>
      <c r="WBZ33" s="153"/>
      <c r="WCA33" s="153"/>
      <c r="WCB33" s="153"/>
      <c r="WCC33" s="153"/>
      <c r="WCD33" s="153"/>
      <c r="WCE33" s="153"/>
      <c r="WCF33" s="153"/>
      <c r="WCG33" s="153"/>
      <c r="WCH33" s="153"/>
      <c r="WCI33" s="153"/>
      <c r="WCJ33" s="153"/>
      <c r="WCK33" s="153"/>
      <c r="WCL33" s="153"/>
      <c r="WCM33" s="153"/>
      <c r="WCN33" s="153"/>
      <c r="WCO33" s="153"/>
      <c r="WCP33" s="153"/>
      <c r="WCQ33" s="153"/>
      <c r="WCR33" s="153"/>
      <c r="WCS33" s="153"/>
      <c r="WCT33" s="153"/>
      <c r="WCU33" s="153"/>
      <c r="WCV33" s="153"/>
      <c r="WCW33" s="153"/>
      <c r="WCX33" s="153"/>
      <c r="WCY33" s="153"/>
      <c r="WCZ33" s="153"/>
      <c r="WDA33" s="153"/>
      <c r="WDB33" s="153"/>
      <c r="WDC33" s="153"/>
      <c r="WDD33" s="153"/>
      <c r="WDE33" s="153"/>
      <c r="WDF33" s="153"/>
      <c r="WDG33" s="153"/>
      <c r="WDH33" s="153"/>
      <c r="WDI33" s="153"/>
      <c r="WDJ33" s="153"/>
      <c r="WDK33" s="153"/>
      <c r="WDL33" s="153"/>
      <c r="WDM33" s="153"/>
      <c r="WDN33" s="153"/>
      <c r="WDO33" s="153"/>
      <c r="WDP33" s="153"/>
      <c r="WDQ33" s="153"/>
      <c r="WDR33" s="153"/>
      <c r="WDS33" s="153"/>
      <c r="WDT33" s="153"/>
      <c r="WDU33" s="153"/>
      <c r="WDV33" s="153"/>
      <c r="WDW33" s="153"/>
      <c r="WDX33" s="153"/>
      <c r="WDY33" s="153"/>
      <c r="WDZ33" s="153"/>
      <c r="WEA33" s="153"/>
      <c r="WEB33" s="153"/>
      <c r="WEC33" s="153"/>
      <c r="WED33" s="153"/>
      <c r="WEE33" s="153"/>
      <c r="WEF33" s="153"/>
      <c r="WEG33" s="153"/>
      <c r="WEH33" s="153"/>
      <c r="WEI33" s="153"/>
      <c r="WEJ33" s="153"/>
      <c r="WEK33" s="153"/>
      <c r="WEL33" s="153"/>
      <c r="WEM33" s="153"/>
      <c r="WEN33" s="153"/>
      <c r="WEO33" s="153"/>
      <c r="WEP33" s="153"/>
      <c r="WEQ33" s="153"/>
      <c r="WER33" s="153"/>
      <c r="WES33" s="153"/>
      <c r="WET33" s="153"/>
      <c r="WEU33" s="153"/>
      <c r="WEV33" s="153"/>
      <c r="WEW33" s="153"/>
      <c r="WEX33" s="153"/>
      <c r="WEY33" s="153"/>
      <c r="WEZ33" s="153"/>
      <c r="WFA33" s="153"/>
      <c r="WFB33" s="153"/>
      <c r="WFC33" s="153"/>
      <c r="WFD33" s="153"/>
      <c r="WFE33" s="153"/>
      <c r="WFF33" s="153"/>
      <c r="WFG33" s="153"/>
      <c r="WFH33" s="153"/>
      <c r="WFI33" s="153"/>
      <c r="WFJ33" s="153"/>
      <c r="WFK33" s="153"/>
      <c r="WFL33" s="153"/>
      <c r="WFM33" s="153"/>
      <c r="WFN33" s="153"/>
      <c r="WFO33" s="153"/>
      <c r="WFP33" s="153"/>
      <c r="WFQ33" s="153"/>
      <c r="WFR33" s="153"/>
      <c r="WFS33" s="153"/>
      <c r="WFT33" s="153"/>
      <c r="WFU33" s="153"/>
      <c r="WFV33" s="153"/>
      <c r="WFW33" s="153"/>
      <c r="WFX33" s="153"/>
      <c r="WFY33" s="153"/>
      <c r="WFZ33" s="153"/>
      <c r="WGA33" s="153"/>
      <c r="WGB33" s="153"/>
      <c r="WGC33" s="153"/>
      <c r="WGD33" s="153"/>
      <c r="WGE33" s="153"/>
      <c r="WGF33" s="153"/>
      <c r="WGG33" s="153"/>
      <c r="WGH33" s="153"/>
      <c r="WGI33" s="153"/>
      <c r="WGJ33" s="153"/>
      <c r="WGK33" s="153"/>
      <c r="WGL33" s="153"/>
      <c r="WGM33" s="153"/>
      <c r="WGN33" s="153"/>
      <c r="WGO33" s="153"/>
      <c r="WGP33" s="153"/>
      <c r="WGQ33" s="153"/>
      <c r="WGR33" s="153"/>
      <c r="WGS33" s="153"/>
      <c r="WGT33" s="153"/>
      <c r="WGU33" s="153"/>
      <c r="WGV33" s="153"/>
      <c r="WGW33" s="153"/>
      <c r="WGX33" s="153"/>
      <c r="WGY33" s="153"/>
      <c r="WGZ33" s="153"/>
      <c r="WHA33" s="153"/>
      <c r="WHB33" s="153"/>
      <c r="WHC33" s="153"/>
      <c r="WHD33" s="153"/>
      <c r="WHE33" s="153"/>
      <c r="WHF33" s="153"/>
      <c r="WHG33" s="153"/>
      <c r="WHH33" s="153"/>
      <c r="WHI33" s="153"/>
      <c r="WHJ33" s="153"/>
      <c r="WHK33" s="153"/>
      <c r="WHL33" s="153"/>
      <c r="WHM33" s="153"/>
      <c r="WHN33" s="153"/>
      <c r="WHO33" s="153"/>
      <c r="WHP33" s="153"/>
      <c r="WHQ33" s="153"/>
      <c r="WHR33" s="153"/>
      <c r="WHS33" s="153"/>
      <c r="WHT33" s="153"/>
      <c r="WHU33" s="153"/>
      <c r="WHV33" s="153"/>
      <c r="WHW33" s="153"/>
      <c r="WHX33" s="153"/>
      <c r="WHY33" s="153"/>
      <c r="WHZ33" s="153"/>
      <c r="WIA33" s="153"/>
      <c r="WIB33" s="153"/>
      <c r="WIC33" s="153"/>
      <c r="WID33" s="153"/>
      <c r="WIE33" s="153"/>
      <c r="WIF33" s="153"/>
      <c r="WIG33" s="153"/>
      <c r="WIH33" s="153"/>
      <c r="WII33" s="153"/>
      <c r="WIJ33" s="153"/>
      <c r="WIK33" s="153"/>
      <c r="WIL33" s="153"/>
      <c r="WIM33" s="153"/>
      <c r="WIN33" s="153"/>
      <c r="WIO33" s="153"/>
      <c r="WIP33" s="153"/>
      <c r="WIQ33" s="153"/>
      <c r="WIR33" s="153"/>
      <c r="WIS33" s="153"/>
      <c r="WIT33" s="153"/>
      <c r="WIU33" s="153"/>
      <c r="WIV33" s="153"/>
      <c r="WIW33" s="153"/>
      <c r="WIX33" s="153"/>
      <c r="WIY33" s="153"/>
      <c r="WIZ33" s="153"/>
      <c r="WJA33" s="153"/>
      <c r="WJB33" s="153"/>
      <c r="WJC33" s="153"/>
      <c r="WJD33" s="153"/>
      <c r="WJE33" s="153"/>
      <c r="WJF33" s="153"/>
      <c r="WJG33" s="153"/>
      <c r="WJH33" s="153"/>
      <c r="WJI33" s="153"/>
      <c r="WJJ33" s="153"/>
      <c r="WJK33" s="153"/>
      <c r="WJL33" s="153"/>
      <c r="WJM33" s="153"/>
      <c r="WJN33" s="153"/>
      <c r="WJO33" s="153"/>
      <c r="WJP33" s="153"/>
      <c r="WJQ33" s="153"/>
      <c r="WJR33" s="153"/>
      <c r="WJS33" s="153"/>
      <c r="WJT33" s="153"/>
      <c r="WJU33" s="153"/>
      <c r="WJV33" s="153"/>
      <c r="WJW33" s="153"/>
      <c r="WJX33" s="153"/>
      <c r="WJY33" s="153"/>
      <c r="WJZ33" s="153"/>
      <c r="WKA33" s="153"/>
      <c r="WKB33" s="153"/>
      <c r="WKC33" s="153"/>
      <c r="WKD33" s="153"/>
      <c r="WKE33" s="153"/>
      <c r="WKF33" s="153"/>
      <c r="WKG33" s="153"/>
      <c r="WKH33" s="153"/>
      <c r="WKI33" s="153"/>
      <c r="WKJ33" s="153"/>
      <c r="WKK33" s="153"/>
      <c r="WKL33" s="153"/>
      <c r="WKM33" s="153"/>
      <c r="WKN33" s="153"/>
      <c r="WKO33" s="153"/>
      <c r="WKP33" s="153"/>
      <c r="WKQ33" s="153"/>
      <c r="WKR33" s="153"/>
      <c r="WKS33" s="153"/>
      <c r="WKT33" s="153"/>
      <c r="WKU33" s="153"/>
      <c r="WKV33" s="153"/>
      <c r="WKW33" s="153"/>
      <c r="WKX33" s="153"/>
      <c r="WKY33" s="153"/>
      <c r="WKZ33" s="153"/>
      <c r="WLA33" s="153"/>
      <c r="WLB33" s="153"/>
      <c r="WLC33" s="153"/>
      <c r="WLD33" s="153"/>
      <c r="WLE33" s="153"/>
      <c r="WLF33" s="153"/>
      <c r="WLG33" s="153"/>
      <c r="WLH33" s="153"/>
      <c r="WLI33" s="153"/>
      <c r="WLJ33" s="153"/>
      <c r="WLK33" s="153"/>
      <c r="WLL33" s="153"/>
      <c r="WLM33" s="153"/>
      <c r="WLN33" s="153"/>
      <c r="WLO33" s="153"/>
      <c r="WLP33" s="153"/>
      <c r="WLQ33" s="153"/>
      <c r="WLR33" s="153"/>
      <c r="WLS33" s="153"/>
      <c r="WLT33" s="153"/>
      <c r="WLU33" s="153"/>
      <c r="WLV33" s="153"/>
      <c r="WLW33" s="153"/>
      <c r="WLX33" s="153"/>
      <c r="WLY33" s="153"/>
      <c r="WLZ33" s="153"/>
      <c r="WMA33" s="153"/>
      <c r="WMB33" s="153"/>
      <c r="WMC33" s="153"/>
      <c r="WMD33" s="153"/>
      <c r="WME33" s="153"/>
      <c r="WMF33" s="153"/>
      <c r="WMG33" s="153"/>
      <c r="WMH33" s="153"/>
      <c r="WMI33" s="153"/>
      <c r="WMJ33" s="153"/>
      <c r="WMK33" s="153"/>
      <c r="WML33" s="153"/>
      <c r="WMM33" s="153"/>
      <c r="WMN33" s="153"/>
      <c r="WMO33" s="153"/>
      <c r="WMP33" s="153"/>
      <c r="WMQ33" s="153"/>
      <c r="WMR33" s="153"/>
      <c r="WMS33" s="153"/>
      <c r="WMT33" s="153"/>
      <c r="WMU33" s="153"/>
      <c r="WMV33" s="153"/>
      <c r="WMW33" s="153"/>
      <c r="WMX33" s="153"/>
      <c r="WMY33" s="153"/>
      <c r="WMZ33" s="153"/>
      <c r="WNA33" s="153"/>
      <c r="WNB33" s="153"/>
      <c r="WNC33" s="153"/>
      <c r="WND33" s="153"/>
      <c r="WNE33" s="153"/>
      <c r="WNF33" s="153"/>
      <c r="WNG33" s="153"/>
      <c r="WNH33" s="153"/>
      <c r="WNI33" s="153"/>
      <c r="WNJ33" s="153"/>
      <c r="WNK33" s="153"/>
      <c r="WNL33" s="153"/>
      <c r="WNM33" s="153"/>
      <c r="WNN33" s="153"/>
      <c r="WNO33" s="153"/>
      <c r="WNP33" s="153"/>
      <c r="WNQ33" s="153"/>
      <c r="WNR33" s="153"/>
      <c r="WNS33" s="153"/>
      <c r="WNT33" s="153"/>
      <c r="WNU33" s="153"/>
      <c r="WNV33" s="153"/>
      <c r="WNW33" s="153"/>
      <c r="WNX33" s="153"/>
      <c r="WNY33" s="153"/>
      <c r="WNZ33" s="153"/>
      <c r="WOA33" s="153"/>
      <c r="WOB33" s="153"/>
      <c r="WOC33" s="153"/>
      <c r="WOD33" s="153"/>
      <c r="WOE33" s="153"/>
      <c r="WOF33" s="153"/>
      <c r="WOG33" s="153"/>
      <c r="WOH33" s="153"/>
      <c r="WOI33" s="153"/>
      <c r="WOJ33" s="153"/>
      <c r="WOK33" s="153"/>
      <c r="WOL33" s="153"/>
      <c r="WOM33" s="153"/>
      <c r="WON33" s="153"/>
      <c r="WOO33" s="153"/>
      <c r="WOP33" s="153"/>
      <c r="WOQ33" s="153"/>
      <c r="WOR33" s="153"/>
      <c r="WOS33" s="153"/>
      <c r="WOT33" s="153"/>
      <c r="WOU33" s="153"/>
      <c r="WOV33" s="153"/>
      <c r="WOW33" s="153"/>
      <c r="WOX33" s="153"/>
      <c r="WOY33" s="153"/>
      <c r="WOZ33" s="153"/>
      <c r="WPA33" s="153"/>
      <c r="WPB33" s="153"/>
      <c r="WPC33" s="153"/>
      <c r="WPD33" s="153"/>
      <c r="WPE33" s="153"/>
      <c r="WPF33" s="153"/>
      <c r="WPG33" s="153"/>
      <c r="WPH33" s="153"/>
      <c r="WPI33" s="153"/>
      <c r="WPJ33" s="153"/>
      <c r="WPK33" s="153"/>
      <c r="WPL33" s="153"/>
      <c r="WPM33" s="153"/>
      <c r="WPN33" s="153"/>
      <c r="WPO33" s="153"/>
      <c r="WPP33" s="153"/>
      <c r="WPQ33" s="153"/>
      <c r="WPR33" s="153"/>
      <c r="WPS33" s="153"/>
      <c r="WPT33" s="153"/>
      <c r="WPU33" s="153"/>
      <c r="WPV33" s="153"/>
      <c r="WPW33" s="153"/>
      <c r="WPX33" s="153"/>
      <c r="WPY33" s="153"/>
      <c r="WPZ33" s="153"/>
      <c r="WQA33" s="153"/>
      <c r="WQB33" s="153"/>
      <c r="WQC33" s="153"/>
      <c r="WQD33" s="153"/>
      <c r="WQE33" s="153"/>
      <c r="WQF33" s="153"/>
      <c r="WQG33" s="153"/>
      <c r="WQH33" s="153"/>
      <c r="WQI33" s="153"/>
      <c r="WQJ33" s="153"/>
      <c r="WQK33" s="153"/>
      <c r="WQL33" s="153"/>
      <c r="WQM33" s="153"/>
      <c r="WQN33" s="153"/>
      <c r="WQO33" s="153"/>
      <c r="WQP33" s="153"/>
      <c r="WQQ33" s="153"/>
      <c r="WQR33" s="153"/>
      <c r="WQS33" s="153"/>
      <c r="WQT33" s="153"/>
      <c r="WQU33" s="153"/>
      <c r="WQV33" s="153"/>
      <c r="WQW33" s="153"/>
      <c r="WQX33" s="153"/>
      <c r="WQY33" s="153"/>
      <c r="WQZ33" s="153"/>
      <c r="WRA33" s="153"/>
      <c r="WRB33" s="153"/>
      <c r="WRC33" s="153"/>
      <c r="WRD33" s="153"/>
      <c r="WRE33" s="153"/>
      <c r="WRF33" s="153"/>
      <c r="WRG33" s="153"/>
      <c r="WRH33" s="153"/>
      <c r="WRI33" s="153"/>
      <c r="WRJ33" s="153"/>
      <c r="WRK33" s="153"/>
      <c r="WRL33" s="153"/>
      <c r="WRM33" s="153"/>
      <c r="WRN33" s="153"/>
      <c r="WRO33" s="153"/>
      <c r="WRP33" s="153"/>
      <c r="WRQ33" s="153"/>
      <c r="WRR33" s="153"/>
      <c r="WRS33" s="153"/>
      <c r="WRT33" s="153"/>
      <c r="WRU33" s="153"/>
      <c r="WRV33" s="153"/>
      <c r="WRW33" s="153"/>
      <c r="WRX33" s="153"/>
      <c r="WRY33" s="153"/>
      <c r="WRZ33" s="153"/>
      <c r="WSA33" s="153"/>
      <c r="WSB33" s="153"/>
      <c r="WSC33" s="153"/>
      <c r="WSD33" s="153"/>
      <c r="WSE33" s="153"/>
      <c r="WSF33" s="153"/>
      <c r="WSG33" s="153"/>
      <c r="WSH33" s="153"/>
      <c r="WSI33" s="153"/>
      <c r="WSJ33" s="153"/>
      <c r="WSK33" s="153"/>
      <c r="WSL33" s="153"/>
      <c r="WSM33" s="153"/>
      <c r="WSN33" s="153"/>
      <c r="WSO33" s="153"/>
      <c r="WSP33" s="153"/>
      <c r="WSQ33" s="153"/>
      <c r="WSR33" s="153"/>
      <c r="WSS33" s="153"/>
      <c r="WST33" s="153"/>
      <c r="WSU33" s="153"/>
      <c r="WSV33" s="153"/>
      <c r="WSW33" s="153"/>
      <c r="WSX33" s="153"/>
      <c r="WSY33" s="153"/>
      <c r="WSZ33" s="153"/>
      <c r="WTA33" s="153"/>
      <c r="WTB33" s="153"/>
      <c r="WTC33" s="153"/>
      <c r="WTD33" s="153"/>
      <c r="WTE33" s="153"/>
      <c r="WTF33" s="153"/>
      <c r="WTG33" s="153"/>
      <c r="WTH33" s="153"/>
      <c r="WTI33" s="153"/>
      <c r="WTJ33" s="153"/>
      <c r="WTK33" s="153"/>
      <c r="WTL33" s="153"/>
      <c r="WTM33" s="153"/>
      <c r="WTN33" s="153"/>
      <c r="WTO33" s="153"/>
      <c r="WTP33" s="153"/>
      <c r="WTQ33" s="153"/>
      <c r="WTR33" s="153"/>
      <c r="WTS33" s="153"/>
      <c r="WTT33" s="153"/>
      <c r="WTU33" s="153"/>
      <c r="WTV33" s="153"/>
      <c r="WTW33" s="153"/>
      <c r="WTX33" s="153"/>
      <c r="WTY33" s="153"/>
      <c r="WTZ33" s="153"/>
      <c r="WUA33" s="153"/>
      <c r="WUB33" s="153"/>
      <c r="WUC33" s="153"/>
      <c r="WUD33" s="153"/>
      <c r="WUE33" s="153"/>
      <c r="WUF33" s="153"/>
      <c r="WUG33" s="153"/>
      <c r="WUH33" s="153"/>
      <c r="WUI33" s="153"/>
      <c r="WUJ33" s="153"/>
      <c r="WUK33" s="153"/>
      <c r="WUL33" s="153"/>
      <c r="WUM33" s="153"/>
      <c r="WUN33" s="153"/>
      <c r="WUO33" s="153"/>
      <c r="WUP33" s="153"/>
      <c r="WUQ33" s="153"/>
      <c r="WUR33" s="153"/>
      <c r="WUS33" s="153"/>
      <c r="WUT33" s="153"/>
      <c r="WUU33" s="153"/>
      <c r="WUV33" s="153"/>
      <c r="WUW33" s="153"/>
      <c r="WUX33" s="153"/>
      <c r="WUY33" s="153"/>
      <c r="WUZ33" s="153"/>
      <c r="WVA33" s="153"/>
      <c r="WVB33" s="153"/>
      <c r="WVC33" s="153"/>
      <c r="WVD33" s="153"/>
      <c r="WVE33" s="153"/>
      <c r="WVF33" s="153"/>
      <c r="WVG33" s="153"/>
      <c r="WVH33" s="153"/>
      <c r="WVI33" s="153"/>
      <c r="WVJ33" s="153"/>
      <c r="WVK33" s="153"/>
      <c r="WVL33" s="153"/>
      <c r="WVM33" s="153"/>
      <c r="WVN33" s="153"/>
      <c r="WVO33" s="153"/>
      <c r="WVP33" s="153"/>
      <c r="WVQ33" s="153"/>
      <c r="WVR33" s="153"/>
      <c r="WVS33" s="153"/>
      <c r="WVT33" s="153"/>
      <c r="WVU33" s="153"/>
      <c r="WVV33" s="153"/>
      <c r="WVW33" s="153"/>
      <c r="WVX33" s="153"/>
      <c r="WVY33" s="153"/>
      <c r="WVZ33" s="153"/>
      <c r="WWA33" s="153"/>
      <c r="WWB33" s="153"/>
      <c r="WWC33" s="153"/>
      <c r="WWD33" s="153"/>
      <c r="WWE33" s="153"/>
      <c r="WWF33" s="153"/>
      <c r="WWG33" s="153"/>
      <c r="WWH33" s="153"/>
      <c r="WWI33" s="153"/>
      <c r="WWJ33" s="153"/>
      <c r="WWK33" s="153"/>
      <c r="WWL33" s="153"/>
      <c r="WWM33" s="153"/>
      <c r="WWN33" s="153"/>
      <c r="WWO33" s="153"/>
      <c r="WWP33" s="153"/>
      <c r="WWQ33" s="153"/>
      <c r="WWR33" s="153"/>
      <c r="WWS33" s="153"/>
      <c r="WWT33" s="153"/>
      <c r="WWU33" s="153"/>
      <c r="WWV33" s="153"/>
      <c r="WWW33" s="153"/>
      <c r="WWX33" s="153"/>
      <c r="WWY33" s="153"/>
      <c r="WWZ33" s="153"/>
      <c r="WXA33" s="153"/>
      <c r="WXB33" s="153"/>
      <c r="WXC33" s="153"/>
      <c r="WXD33" s="153"/>
      <c r="WXE33" s="153"/>
      <c r="WXF33" s="153"/>
      <c r="WXG33" s="153"/>
      <c r="WXH33" s="153"/>
      <c r="WXI33" s="153"/>
      <c r="WXJ33" s="153"/>
      <c r="WXK33" s="153"/>
      <c r="WXL33" s="153"/>
      <c r="WXM33" s="153"/>
      <c r="WXN33" s="153"/>
      <c r="WXO33" s="153"/>
      <c r="WXP33" s="153"/>
      <c r="WXQ33" s="153"/>
      <c r="WXR33" s="153"/>
      <c r="WXS33" s="153"/>
      <c r="WXT33" s="153"/>
      <c r="WXU33" s="153"/>
      <c r="WXV33" s="153"/>
      <c r="WXW33" s="153"/>
      <c r="WXX33" s="153"/>
      <c r="WXY33" s="153"/>
      <c r="WXZ33" s="153"/>
      <c r="WYA33" s="153"/>
      <c r="WYB33" s="153"/>
      <c r="WYC33" s="153"/>
      <c r="WYD33" s="153"/>
      <c r="WYE33" s="153"/>
      <c r="WYF33" s="153"/>
      <c r="WYG33" s="153"/>
      <c r="WYH33" s="153"/>
      <c r="WYI33" s="153"/>
      <c r="WYJ33" s="153"/>
      <c r="WYK33" s="153"/>
      <c r="WYL33" s="153"/>
      <c r="WYM33" s="153"/>
      <c r="WYN33" s="153"/>
      <c r="WYO33" s="153"/>
      <c r="WYP33" s="153"/>
      <c r="WYQ33" s="153"/>
      <c r="WYR33" s="153"/>
      <c r="WYS33" s="153"/>
      <c r="WYT33" s="153"/>
      <c r="WYU33" s="153"/>
      <c r="WYV33" s="153"/>
      <c r="WYW33" s="153"/>
      <c r="WYX33" s="153"/>
      <c r="WYY33" s="153"/>
      <c r="WYZ33" s="153"/>
      <c r="WZA33" s="153"/>
      <c r="WZB33" s="153"/>
      <c r="WZC33" s="153"/>
      <c r="WZD33" s="153"/>
      <c r="WZE33" s="153"/>
      <c r="WZF33" s="153"/>
      <c r="WZG33" s="153"/>
      <c r="WZH33" s="153"/>
      <c r="WZI33" s="153"/>
      <c r="WZJ33" s="153"/>
      <c r="WZK33" s="153"/>
      <c r="WZL33" s="153"/>
      <c r="WZM33" s="153"/>
      <c r="WZN33" s="153"/>
      <c r="WZO33" s="153"/>
      <c r="WZP33" s="153"/>
      <c r="WZQ33" s="153"/>
      <c r="WZR33" s="153"/>
      <c r="WZS33" s="153"/>
      <c r="WZT33" s="153"/>
      <c r="WZU33" s="153"/>
      <c r="WZV33" s="153"/>
      <c r="WZW33" s="153"/>
      <c r="WZX33" s="153"/>
      <c r="WZY33" s="153"/>
      <c r="WZZ33" s="153"/>
      <c r="XAA33" s="153"/>
      <c r="XAB33" s="153"/>
      <c r="XAC33" s="153"/>
      <c r="XAD33" s="153"/>
      <c r="XAE33" s="153"/>
      <c r="XAF33" s="153"/>
      <c r="XAG33" s="153"/>
      <c r="XAH33" s="153"/>
      <c r="XAI33" s="153"/>
      <c r="XAJ33" s="153"/>
      <c r="XAK33" s="153"/>
      <c r="XAL33" s="153"/>
      <c r="XAM33" s="153"/>
      <c r="XAN33" s="153"/>
      <c r="XAO33" s="153"/>
      <c r="XAP33" s="153"/>
      <c r="XAQ33" s="153"/>
      <c r="XAR33" s="153"/>
      <c r="XAS33" s="153"/>
      <c r="XAT33" s="153"/>
      <c r="XAU33" s="153"/>
      <c r="XAV33" s="153"/>
      <c r="XAW33" s="153"/>
      <c r="XAX33" s="153"/>
      <c r="XAY33" s="153"/>
      <c r="XAZ33" s="153"/>
      <c r="XBA33" s="153"/>
      <c r="XBB33" s="153"/>
      <c r="XBC33" s="153"/>
      <c r="XBD33" s="153"/>
      <c r="XBE33" s="153"/>
      <c r="XBF33" s="153"/>
      <c r="XBG33" s="153"/>
      <c r="XBH33" s="153"/>
      <c r="XBI33" s="153"/>
      <c r="XBJ33" s="153"/>
      <c r="XBK33" s="153"/>
      <c r="XBL33" s="153"/>
      <c r="XBM33" s="153"/>
      <c r="XBN33" s="153"/>
      <c r="XBO33" s="153"/>
      <c r="XBP33" s="153"/>
      <c r="XBQ33" s="153"/>
      <c r="XBR33" s="153"/>
      <c r="XBS33" s="153"/>
      <c r="XBT33" s="153"/>
      <c r="XBU33" s="153"/>
      <c r="XBV33" s="153"/>
      <c r="XBW33" s="153"/>
      <c r="XBX33" s="153"/>
      <c r="XBY33" s="153"/>
      <c r="XBZ33" s="153"/>
      <c r="XCA33" s="153"/>
      <c r="XCB33" s="153"/>
      <c r="XCC33" s="153"/>
      <c r="XCD33" s="153"/>
      <c r="XCE33" s="153"/>
      <c r="XCF33" s="153"/>
      <c r="XCG33" s="153"/>
      <c r="XCH33" s="153"/>
      <c r="XCI33" s="153"/>
      <c r="XCJ33" s="153"/>
      <c r="XCK33" s="153"/>
      <c r="XCL33" s="153"/>
      <c r="XCM33" s="153"/>
      <c r="XCN33" s="153"/>
      <c r="XCO33" s="153"/>
      <c r="XCP33" s="153"/>
      <c r="XCQ33" s="153"/>
      <c r="XCR33" s="153"/>
      <c r="XCS33" s="153"/>
      <c r="XCT33" s="153"/>
      <c r="XCU33" s="153"/>
      <c r="XCV33" s="153"/>
      <c r="XCW33" s="153"/>
      <c r="XCX33" s="153"/>
      <c r="XCY33" s="153"/>
      <c r="XCZ33" s="153"/>
      <c r="XDA33" s="153"/>
      <c r="XDB33" s="153"/>
      <c r="XDC33" s="153"/>
      <c r="XDD33" s="153"/>
      <c r="XDE33" s="153"/>
      <c r="XDF33" s="153"/>
      <c r="XDG33" s="153"/>
      <c r="XDH33" s="153"/>
      <c r="XDI33" s="153"/>
      <c r="XDJ33" s="153"/>
      <c r="XDK33" s="153"/>
      <c r="XDL33" s="153"/>
      <c r="XDM33" s="153"/>
      <c r="XDN33" s="153"/>
      <c r="XDO33" s="153"/>
      <c r="XDP33" s="153"/>
      <c r="XDQ33" s="153"/>
      <c r="XDR33" s="153"/>
      <c r="XDS33" s="153"/>
      <c r="XDT33" s="153"/>
      <c r="XDU33" s="153"/>
      <c r="XDV33" s="153"/>
      <c r="XDW33" s="153"/>
      <c r="XDX33" s="153"/>
      <c r="XDY33" s="153"/>
      <c r="XDZ33" s="153"/>
      <c r="XEA33" s="153"/>
      <c r="XEB33" s="153"/>
      <c r="XEC33" s="153"/>
      <c r="XED33" s="153"/>
      <c r="XEE33" s="153"/>
      <c r="XEF33" s="153"/>
      <c r="XEG33" s="153"/>
      <c r="XEH33" s="153"/>
      <c r="XEI33" s="153"/>
      <c r="XEJ33" s="153"/>
      <c r="XEK33" s="153"/>
      <c r="XEL33" s="153"/>
      <c r="XEM33" s="153"/>
      <c r="XEN33" s="153"/>
      <c r="XEO33" s="153"/>
      <c r="XEP33" s="153"/>
      <c r="XEQ33" s="153"/>
      <c r="XER33" s="153"/>
      <c r="XES33" s="153"/>
      <c r="XET33" s="153"/>
      <c r="XEU33" s="153"/>
      <c r="XEV33" s="153"/>
    </row>
  </sheetData>
  <autoFilter ref="A3:AA33"/>
  <conditionalFormatting sqref="A4:A10">
    <cfRule type="cellIs" dxfId="1384" priority="8" operator="equal">
      <formula>"close"</formula>
    </cfRule>
  </conditionalFormatting>
  <conditionalFormatting sqref="A11:A13">
    <cfRule type="cellIs" dxfId="1383" priority="7" operator="equal">
      <formula>"close"</formula>
    </cfRule>
  </conditionalFormatting>
  <conditionalFormatting sqref="A14:A24">
    <cfRule type="cellIs" dxfId="1382" priority="6" operator="equal">
      <formula>"close"</formula>
    </cfRule>
  </conditionalFormatting>
  <conditionalFormatting sqref="A25:A27">
    <cfRule type="cellIs" dxfId="1381" priority="5" operator="equal">
      <formula>"close"</formula>
    </cfRule>
  </conditionalFormatting>
  <conditionalFormatting sqref="A28:A29">
    <cfRule type="cellIs" dxfId="1380" priority="4" operator="equal">
      <formula>"close"</formula>
    </cfRule>
  </conditionalFormatting>
  <conditionalFormatting sqref="A30:A31">
    <cfRule type="cellIs" dxfId="1379" priority="3" operator="equal">
      <formula>"close"</formula>
    </cfRule>
  </conditionalFormatting>
  <conditionalFormatting sqref="A32">
    <cfRule type="cellIs" dxfId="1378" priority="2" operator="equal">
      <formula>"close"</formula>
    </cfRule>
  </conditionalFormatting>
  <conditionalFormatting sqref="A33">
    <cfRule type="cellIs" dxfId="1377"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topLeftCell="A10" zoomScale="80" zoomScaleNormal="80" workbookViewId="0">
      <selection activeCell="M33" sqref="M33"/>
    </sheetView>
  </sheetViews>
  <sheetFormatPr defaultRowHeight="15" x14ac:dyDescent="0.2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13.85546875" customWidth="1"/>
    <col min="8" max="8" width="9.5703125" customWidth="1"/>
    <col min="9" max="9" width="7.7109375" customWidth="1"/>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1011" t="s">
        <v>602</v>
      </c>
      <c r="B2" s="1012"/>
      <c r="C2" s="1012"/>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13">
        <f>Report_Date</f>
        <v>42856</v>
      </c>
      <c r="B3" s="1014"/>
      <c r="C3" s="1014"/>
      <c r="D3" s="191"/>
      <c r="E3" s="191"/>
      <c r="F3" s="191"/>
      <c r="G3" s="191"/>
      <c r="H3" s="212"/>
      <c r="I3" s="209"/>
      <c r="J3" s="209"/>
      <c r="K3" s="46"/>
      <c r="L3" s="209"/>
      <c r="M3" s="209"/>
      <c r="N3" s="209"/>
      <c r="O3" s="209"/>
      <c r="P3" s="209"/>
      <c r="Q3" s="209"/>
      <c r="R3" s="6"/>
      <c r="S3" s="210"/>
      <c r="T3" s="209"/>
      <c r="U3" s="209"/>
      <c r="V3" s="46"/>
      <c r="W3" s="46"/>
      <c r="X3" s="46"/>
      <c r="Y3" s="46"/>
      <c r="BF3" s="69"/>
      <c r="BG3" s="69"/>
    </row>
    <row r="4" spans="1:61" s="90" customFormat="1" hidden="1" x14ac:dyDescent="0.25"/>
    <row r="5" spans="1:61" s="90" customFormat="1" hidden="1" x14ac:dyDescent="0.25"/>
    <row r="6" spans="1:61" ht="12" hidden="1" x14ac:dyDescent="0.25">
      <c r="A6" s="199" t="s">
        <v>346</v>
      </c>
      <c r="B6" s="790" t="s">
        <v>348</v>
      </c>
    </row>
    <row r="7" spans="1:61" ht="7.5" customHeight="1" x14ac:dyDescent="0.25"/>
    <row r="8" spans="1:61" s="130" customFormat="1" x14ac:dyDescent="0.25">
      <c r="A8" s="599" t="s">
        <v>0</v>
      </c>
      <c r="B8" s="599" t="s">
        <v>9</v>
      </c>
      <c r="C8" s="599" t="s">
        <v>8</v>
      </c>
      <c r="D8" s="599" t="s">
        <v>895</v>
      </c>
      <c r="E8" s="599" t="s">
        <v>663</v>
      </c>
      <c r="F8" s="564" t="s">
        <v>600</v>
      </c>
      <c r="G8" s="564" t="s">
        <v>601</v>
      </c>
      <c r="H8" s="790" t="s">
        <v>894</v>
      </c>
    </row>
    <row r="9" spans="1:61" ht="12" customHeight="1" x14ac:dyDescent="0.25">
      <c r="A9" s="790" t="s">
        <v>15</v>
      </c>
      <c r="B9" s="790" t="s">
        <v>47</v>
      </c>
      <c r="C9" s="790" t="s">
        <v>133</v>
      </c>
      <c r="D9" s="790" t="s">
        <v>285</v>
      </c>
      <c r="E9" s="790" t="s">
        <v>661</v>
      </c>
      <c r="F9" s="600">
        <v>85</v>
      </c>
      <c r="G9" s="600">
        <v>546</v>
      </c>
      <c r="H9" s="114">
        <v>1</v>
      </c>
    </row>
    <row r="10" spans="1:61" ht="12" customHeight="1" x14ac:dyDescent="0.25">
      <c r="A10" s="790" t="s">
        <v>977</v>
      </c>
      <c r="B10" s="790"/>
      <c r="C10" s="790"/>
      <c r="D10" s="790"/>
      <c r="E10" s="790"/>
      <c r="F10" s="600">
        <v>85</v>
      </c>
      <c r="G10" s="600">
        <v>546</v>
      </c>
      <c r="H10" s="114">
        <v>1</v>
      </c>
    </row>
    <row r="11" spans="1:61" ht="12" customHeight="1" x14ac:dyDescent="0.25">
      <c r="A11" s="790" t="s">
        <v>20</v>
      </c>
      <c r="B11" s="790" t="s">
        <v>105</v>
      </c>
      <c r="C11" s="790" t="s">
        <v>193</v>
      </c>
      <c r="D11" s="790" t="s">
        <v>285</v>
      </c>
      <c r="E11" s="790" t="s">
        <v>661</v>
      </c>
      <c r="F11" s="600">
        <v>12</v>
      </c>
      <c r="G11" s="600">
        <v>87</v>
      </c>
      <c r="H11" s="114">
        <v>1</v>
      </c>
    </row>
    <row r="12" spans="1:61" ht="12" customHeight="1" x14ac:dyDescent="0.25">
      <c r="A12" s="790"/>
      <c r="B12" s="790" t="s">
        <v>109</v>
      </c>
      <c r="C12" s="790" t="s">
        <v>197</v>
      </c>
      <c r="D12" s="790" t="s">
        <v>285</v>
      </c>
      <c r="E12" s="790" t="s">
        <v>661</v>
      </c>
      <c r="F12" s="600">
        <v>48</v>
      </c>
      <c r="G12" s="600">
        <v>291</v>
      </c>
      <c r="H12" s="114">
        <v>1</v>
      </c>
    </row>
    <row r="13" spans="1:61" ht="12" customHeight="1" x14ac:dyDescent="0.25">
      <c r="A13" s="790"/>
      <c r="B13" s="790" t="s">
        <v>616</v>
      </c>
      <c r="C13" s="790" t="s">
        <v>620</v>
      </c>
      <c r="D13" s="790" t="s">
        <v>285</v>
      </c>
      <c r="E13" s="790" t="s">
        <v>661</v>
      </c>
      <c r="F13" s="600">
        <v>59</v>
      </c>
      <c r="G13" s="600">
        <v>344</v>
      </c>
      <c r="H13" s="114">
        <v>1</v>
      </c>
    </row>
    <row r="14" spans="1:61" ht="12" customHeight="1" x14ac:dyDescent="0.25">
      <c r="A14" s="790"/>
      <c r="B14" s="790" t="s">
        <v>871</v>
      </c>
      <c r="C14" s="790" t="s">
        <v>192</v>
      </c>
      <c r="D14" s="790" t="s">
        <v>285</v>
      </c>
      <c r="E14" s="790" t="s">
        <v>661</v>
      </c>
      <c r="F14" s="600">
        <v>8</v>
      </c>
      <c r="G14" s="600">
        <v>38</v>
      </c>
      <c r="H14" s="114">
        <v>1</v>
      </c>
    </row>
    <row r="15" spans="1:61" ht="12" customHeight="1" x14ac:dyDescent="0.25">
      <c r="A15" s="790"/>
      <c r="B15" s="790" t="s">
        <v>872</v>
      </c>
      <c r="C15" s="790" t="s">
        <v>283</v>
      </c>
      <c r="D15" s="790" t="s">
        <v>285</v>
      </c>
      <c r="E15" s="790" t="s">
        <v>661</v>
      </c>
      <c r="F15" s="600">
        <v>8</v>
      </c>
      <c r="G15" s="600">
        <v>58</v>
      </c>
      <c r="H15" s="114">
        <v>1</v>
      </c>
    </row>
    <row r="16" spans="1:61" ht="12" customHeight="1" x14ac:dyDescent="0.25">
      <c r="A16" s="790"/>
      <c r="B16" s="790" t="s">
        <v>107</v>
      </c>
      <c r="C16" s="790" t="s">
        <v>195</v>
      </c>
      <c r="D16" s="790" t="s">
        <v>285</v>
      </c>
      <c r="E16" s="790" t="s">
        <v>661</v>
      </c>
      <c r="F16" s="600">
        <v>10</v>
      </c>
      <c r="G16" s="600">
        <v>57</v>
      </c>
      <c r="H16" s="114">
        <v>1</v>
      </c>
    </row>
    <row r="17" spans="1:8" ht="12" customHeight="1" x14ac:dyDescent="0.25">
      <c r="A17" s="790"/>
      <c r="B17" s="790" t="s">
        <v>873</v>
      </c>
      <c r="C17" s="790" t="s">
        <v>284</v>
      </c>
      <c r="D17" s="790" t="s">
        <v>285</v>
      </c>
      <c r="E17" s="790" t="s">
        <v>661</v>
      </c>
      <c r="F17" s="600">
        <v>35</v>
      </c>
      <c r="G17" s="600">
        <v>243</v>
      </c>
      <c r="H17" s="114">
        <v>1</v>
      </c>
    </row>
    <row r="18" spans="1:8" ht="12" customHeight="1" x14ac:dyDescent="0.25">
      <c r="A18" s="790"/>
      <c r="B18" s="790" t="s">
        <v>106</v>
      </c>
      <c r="C18" s="790" t="s">
        <v>194</v>
      </c>
      <c r="D18" s="790" t="s">
        <v>285</v>
      </c>
      <c r="E18" s="790" t="s">
        <v>661</v>
      </c>
      <c r="F18" s="600">
        <v>4</v>
      </c>
      <c r="G18" s="600">
        <v>30</v>
      </c>
      <c r="H18" s="114">
        <v>1</v>
      </c>
    </row>
    <row r="19" spans="1:8" ht="12" customHeight="1" x14ac:dyDescent="0.25">
      <c r="A19" s="790" t="s">
        <v>645</v>
      </c>
      <c r="B19" s="790"/>
      <c r="C19" s="790"/>
      <c r="D19" s="790"/>
      <c r="E19" s="790"/>
      <c r="F19" s="600">
        <v>184</v>
      </c>
      <c r="G19" s="600">
        <v>1148</v>
      </c>
      <c r="H19" s="114">
        <v>8</v>
      </c>
    </row>
    <row r="20" spans="1:8" ht="12" customHeight="1" x14ac:dyDescent="0.25">
      <c r="A20" s="790" t="s">
        <v>14</v>
      </c>
      <c r="B20" s="790" t="s">
        <v>40</v>
      </c>
      <c r="C20" s="790" t="s">
        <v>126</v>
      </c>
      <c r="D20" s="790" t="s">
        <v>623</v>
      </c>
      <c r="E20" s="790" t="s">
        <v>660</v>
      </c>
      <c r="F20" s="600">
        <v>1238</v>
      </c>
      <c r="G20" s="600">
        <v>4280</v>
      </c>
      <c r="H20" s="114">
        <v>1</v>
      </c>
    </row>
    <row r="21" spans="1:8" ht="12" customHeight="1" x14ac:dyDescent="0.25">
      <c r="A21" s="790"/>
      <c r="B21" s="790" t="s">
        <v>42</v>
      </c>
      <c r="C21" s="790" t="s">
        <v>128</v>
      </c>
      <c r="D21" s="790" t="s">
        <v>288</v>
      </c>
      <c r="E21" s="790" t="s">
        <v>660</v>
      </c>
      <c r="F21" s="600">
        <v>1012</v>
      </c>
      <c r="G21" s="600">
        <v>5125</v>
      </c>
      <c r="H21" s="114">
        <v>1</v>
      </c>
    </row>
    <row r="22" spans="1:8" ht="12" customHeight="1" x14ac:dyDescent="0.25">
      <c r="A22" s="790"/>
      <c r="B22" s="790" t="s">
        <v>1067</v>
      </c>
      <c r="C22" s="790" t="s">
        <v>127</v>
      </c>
      <c r="D22" s="790" t="s">
        <v>623</v>
      </c>
      <c r="E22" s="790" t="s">
        <v>660</v>
      </c>
      <c r="F22" s="600">
        <v>856</v>
      </c>
      <c r="G22" s="600">
        <v>3946</v>
      </c>
      <c r="H22" s="114">
        <v>1</v>
      </c>
    </row>
    <row r="23" spans="1:8" ht="12" customHeight="1" x14ac:dyDescent="0.25">
      <c r="A23" s="790"/>
      <c r="B23" s="790" t="s">
        <v>43</v>
      </c>
      <c r="C23" s="790" t="s">
        <v>129</v>
      </c>
      <c r="D23" s="790" t="s">
        <v>288</v>
      </c>
      <c r="E23" s="790" t="s">
        <v>660</v>
      </c>
      <c r="F23" s="600">
        <v>534</v>
      </c>
      <c r="G23" s="600">
        <v>2683</v>
      </c>
      <c r="H23" s="114">
        <v>1</v>
      </c>
    </row>
    <row r="24" spans="1:8" ht="12" customHeight="1" x14ac:dyDescent="0.25">
      <c r="A24" s="790" t="s">
        <v>646</v>
      </c>
      <c r="B24" s="790"/>
      <c r="C24" s="790"/>
      <c r="D24" s="790"/>
      <c r="E24" s="790"/>
      <c r="F24" s="600">
        <v>3640</v>
      </c>
      <c r="G24" s="600">
        <v>16034</v>
      </c>
      <c r="H24" s="114">
        <v>4</v>
      </c>
    </row>
    <row r="25" spans="1:8" ht="12" customHeight="1" x14ac:dyDescent="0.25">
      <c r="A25" s="790" t="s">
        <v>18</v>
      </c>
      <c r="B25" s="790" t="s">
        <v>60</v>
      </c>
      <c r="C25" s="790" t="s">
        <v>148</v>
      </c>
      <c r="D25" s="790" t="s">
        <v>285</v>
      </c>
      <c r="E25" s="790" t="s">
        <v>661</v>
      </c>
      <c r="F25" s="600">
        <v>18</v>
      </c>
      <c r="G25" s="600">
        <v>77</v>
      </c>
      <c r="H25" s="114">
        <v>1</v>
      </c>
    </row>
    <row r="26" spans="1:8" ht="12" customHeight="1" x14ac:dyDescent="0.25">
      <c r="A26" s="790"/>
      <c r="B26" s="790" t="s">
        <v>59</v>
      </c>
      <c r="C26" s="790" t="s">
        <v>147</v>
      </c>
      <c r="D26" s="790" t="s">
        <v>285</v>
      </c>
      <c r="E26" s="790" t="s">
        <v>661</v>
      </c>
      <c r="F26" s="600">
        <v>57</v>
      </c>
      <c r="G26" s="600">
        <v>187</v>
      </c>
      <c r="H26" s="114">
        <v>1</v>
      </c>
    </row>
    <row r="27" spans="1:8" ht="12" customHeight="1" x14ac:dyDescent="0.25">
      <c r="A27" s="790" t="s">
        <v>647</v>
      </c>
      <c r="B27" s="790"/>
      <c r="C27" s="790"/>
      <c r="D27" s="790"/>
      <c r="E27" s="790"/>
      <c r="F27" s="600">
        <v>75</v>
      </c>
      <c r="G27" s="600">
        <v>264</v>
      </c>
      <c r="H27" s="114">
        <v>2</v>
      </c>
    </row>
    <row r="28" spans="1:8" ht="12" customHeight="1" x14ac:dyDescent="0.25">
      <c r="A28" s="790" t="s">
        <v>16</v>
      </c>
      <c r="B28" s="790" t="s">
        <v>57</v>
      </c>
      <c r="C28" s="790" t="s">
        <v>144</v>
      </c>
      <c r="D28" s="790" t="s">
        <v>285</v>
      </c>
      <c r="E28" s="790" t="s">
        <v>661</v>
      </c>
      <c r="F28" s="600">
        <v>251</v>
      </c>
      <c r="G28" s="600">
        <v>1308</v>
      </c>
      <c r="H28" s="114">
        <v>1</v>
      </c>
    </row>
    <row r="29" spans="1:8" ht="12" customHeight="1" x14ac:dyDescent="0.25">
      <c r="A29" s="790"/>
      <c r="B29" s="790" t="s">
        <v>604</v>
      </c>
      <c r="C29" s="790" t="s">
        <v>143</v>
      </c>
      <c r="D29" s="790" t="s">
        <v>285</v>
      </c>
      <c r="E29" s="790" t="s">
        <v>661</v>
      </c>
      <c r="F29" s="600">
        <v>217</v>
      </c>
      <c r="G29" s="600">
        <v>1297</v>
      </c>
      <c r="H29" s="114">
        <v>1</v>
      </c>
    </row>
    <row r="30" spans="1:8" ht="12" customHeight="1" x14ac:dyDescent="0.25">
      <c r="A30" s="790"/>
      <c r="B30" s="790" t="s">
        <v>400</v>
      </c>
      <c r="C30" s="790" t="s">
        <v>605</v>
      </c>
      <c r="D30" s="790" t="s">
        <v>285</v>
      </c>
      <c r="E30" s="790" t="s">
        <v>661</v>
      </c>
      <c r="F30" s="600">
        <v>193</v>
      </c>
      <c r="G30" s="600">
        <v>961</v>
      </c>
      <c r="H30" s="114">
        <v>1</v>
      </c>
    </row>
    <row r="31" spans="1:8" ht="12" customHeight="1" x14ac:dyDescent="0.25">
      <c r="A31" s="790" t="s">
        <v>648</v>
      </c>
      <c r="B31" s="790"/>
      <c r="C31" s="790"/>
      <c r="D31" s="790"/>
      <c r="E31" s="790"/>
      <c r="F31" s="600">
        <v>661</v>
      </c>
      <c r="G31" s="600">
        <v>3566</v>
      </c>
      <c r="H31" s="114">
        <v>3</v>
      </c>
    </row>
    <row r="32" spans="1:8" ht="12" customHeight="1" x14ac:dyDescent="0.25">
      <c r="A32" s="790" t="s">
        <v>19</v>
      </c>
      <c r="B32" s="790" t="s">
        <v>61</v>
      </c>
      <c r="C32" s="790" t="s">
        <v>149</v>
      </c>
      <c r="D32" s="790" t="s">
        <v>623</v>
      </c>
      <c r="E32" s="790" t="s">
        <v>660</v>
      </c>
      <c r="F32" s="600">
        <v>397</v>
      </c>
      <c r="G32" s="600">
        <v>2240</v>
      </c>
      <c r="H32" s="114">
        <v>1</v>
      </c>
    </row>
    <row r="33" spans="1:14" ht="12" customHeight="1" x14ac:dyDescent="0.25">
      <c r="A33" s="790"/>
      <c r="B33" s="790" t="s">
        <v>552</v>
      </c>
      <c r="C33" s="790" t="s">
        <v>553</v>
      </c>
      <c r="D33" s="790" t="s">
        <v>285</v>
      </c>
      <c r="E33" s="790" t="s">
        <v>661</v>
      </c>
      <c r="F33" s="600">
        <v>41</v>
      </c>
      <c r="G33" s="600">
        <v>226</v>
      </c>
      <c r="H33" s="114">
        <v>1</v>
      </c>
    </row>
    <row r="34" spans="1:14" ht="12" customHeight="1" x14ac:dyDescent="0.25">
      <c r="A34" s="790"/>
      <c r="B34" s="790" t="s">
        <v>629</v>
      </c>
      <c r="C34" s="790" t="s">
        <v>631</v>
      </c>
      <c r="D34" s="790" t="s">
        <v>288</v>
      </c>
      <c r="E34" s="790" t="s">
        <v>660</v>
      </c>
      <c r="F34" s="600">
        <v>1011</v>
      </c>
      <c r="G34" s="600">
        <v>4890</v>
      </c>
      <c r="H34" s="114">
        <v>1</v>
      </c>
    </row>
    <row r="35" spans="1:14" ht="12" customHeight="1" x14ac:dyDescent="0.25">
      <c r="A35" s="790"/>
      <c r="B35" s="790" t="s">
        <v>630</v>
      </c>
      <c r="C35" s="790" t="s">
        <v>632</v>
      </c>
      <c r="D35" s="790" t="s">
        <v>288</v>
      </c>
      <c r="E35" s="790" t="s">
        <v>660</v>
      </c>
      <c r="F35" s="600">
        <v>1289</v>
      </c>
      <c r="G35" s="600">
        <v>6967</v>
      </c>
      <c r="H35" s="114">
        <v>1</v>
      </c>
    </row>
    <row r="36" spans="1:14" ht="12" customHeight="1" x14ac:dyDescent="0.25">
      <c r="A36" s="790"/>
      <c r="B36" s="790" t="s">
        <v>63</v>
      </c>
      <c r="C36" s="790" t="s">
        <v>151</v>
      </c>
      <c r="D36" s="790" t="s">
        <v>288</v>
      </c>
      <c r="E36" s="790" t="s">
        <v>660</v>
      </c>
      <c r="F36" s="600">
        <v>1431</v>
      </c>
      <c r="G36" s="600">
        <v>8208</v>
      </c>
      <c r="H36" s="114">
        <v>1</v>
      </c>
    </row>
    <row r="37" spans="1:14" ht="12" customHeight="1" x14ac:dyDescent="0.25">
      <c r="A37" s="790"/>
      <c r="B37" s="790" t="s">
        <v>542</v>
      </c>
      <c r="C37" s="790" t="s">
        <v>543</v>
      </c>
      <c r="D37" s="790" t="s">
        <v>285</v>
      </c>
      <c r="E37" s="790" t="s">
        <v>661</v>
      </c>
      <c r="F37" s="600">
        <v>518</v>
      </c>
      <c r="G37" s="600">
        <v>2951</v>
      </c>
      <c r="H37" s="114">
        <v>1</v>
      </c>
    </row>
    <row r="38" spans="1:14" ht="12" customHeight="1" x14ac:dyDescent="0.25">
      <c r="A38" s="790"/>
      <c r="B38" s="790" t="s">
        <v>796</v>
      </c>
      <c r="C38" s="790" t="s">
        <v>152</v>
      </c>
      <c r="D38" s="790" t="s">
        <v>623</v>
      </c>
      <c r="E38" s="790" t="s">
        <v>660</v>
      </c>
      <c r="F38" s="600">
        <v>799</v>
      </c>
      <c r="G38" s="600">
        <v>4428</v>
      </c>
      <c r="H38" s="114">
        <v>1</v>
      </c>
    </row>
    <row r="39" spans="1:14" ht="12" customHeight="1" x14ac:dyDescent="0.25">
      <c r="A39" s="790"/>
      <c r="B39" s="790" t="s">
        <v>628</v>
      </c>
      <c r="C39" s="790" t="s">
        <v>281</v>
      </c>
      <c r="D39" s="790" t="s">
        <v>970</v>
      </c>
      <c r="E39" s="790" t="s">
        <v>660</v>
      </c>
      <c r="F39" s="600">
        <v>622</v>
      </c>
      <c r="G39" s="600">
        <v>3435</v>
      </c>
      <c r="H39" s="114">
        <v>1</v>
      </c>
    </row>
    <row r="40" spans="1:14" ht="12" customHeight="1" x14ac:dyDescent="0.25">
      <c r="A40" s="790"/>
      <c r="B40" s="790" t="s">
        <v>633</v>
      </c>
      <c r="C40" s="790" t="s">
        <v>545</v>
      </c>
      <c r="D40" s="790" t="s">
        <v>288</v>
      </c>
      <c r="E40" s="790" t="s">
        <v>660</v>
      </c>
      <c r="F40" s="600">
        <v>681</v>
      </c>
      <c r="G40" s="600">
        <v>3408</v>
      </c>
      <c r="H40" s="114">
        <v>1</v>
      </c>
    </row>
    <row r="41" spans="1:14" ht="12" customHeight="1" x14ac:dyDescent="0.25">
      <c r="A41" s="790"/>
      <c r="B41" s="790" t="s">
        <v>634</v>
      </c>
      <c r="C41" s="790" t="s">
        <v>636</v>
      </c>
      <c r="D41" s="790" t="s">
        <v>288</v>
      </c>
      <c r="E41" s="790" t="s">
        <v>660</v>
      </c>
      <c r="F41" s="600">
        <v>2640</v>
      </c>
      <c r="G41" s="600">
        <v>13655</v>
      </c>
      <c r="H41" s="114">
        <v>1</v>
      </c>
    </row>
    <row r="42" spans="1:14" ht="12" customHeight="1" x14ac:dyDescent="0.25">
      <c r="A42" s="790"/>
      <c r="B42" s="790" t="s">
        <v>635</v>
      </c>
      <c r="C42" s="790" t="s">
        <v>637</v>
      </c>
      <c r="D42" s="790" t="s">
        <v>623</v>
      </c>
      <c r="E42" s="790" t="s">
        <v>660</v>
      </c>
      <c r="F42" s="600">
        <v>2256</v>
      </c>
      <c r="G42" s="600">
        <v>11659</v>
      </c>
      <c r="H42" s="114">
        <v>1</v>
      </c>
    </row>
    <row r="43" spans="1:14" ht="12" customHeight="1" x14ac:dyDescent="0.25">
      <c r="A43" s="790"/>
      <c r="B43" s="790" t="s">
        <v>67</v>
      </c>
      <c r="C43" s="790" t="s">
        <v>155</v>
      </c>
      <c r="D43" s="790" t="s">
        <v>288</v>
      </c>
      <c r="E43" s="790" t="s">
        <v>660</v>
      </c>
      <c r="F43" s="600">
        <v>2497</v>
      </c>
      <c r="G43" s="600">
        <v>12273</v>
      </c>
      <c r="H43" s="114">
        <v>1</v>
      </c>
      <c r="N43" s="90"/>
    </row>
    <row r="44" spans="1:14" ht="12" customHeight="1" x14ac:dyDescent="0.25">
      <c r="A44" s="790"/>
      <c r="B44" s="790" t="s">
        <v>68</v>
      </c>
      <c r="C44" s="790" t="s">
        <v>156</v>
      </c>
      <c r="D44" s="790" t="s">
        <v>623</v>
      </c>
      <c r="E44" s="790" t="s">
        <v>660</v>
      </c>
      <c r="F44" s="600">
        <v>2145</v>
      </c>
      <c r="G44" s="600">
        <v>11764</v>
      </c>
      <c r="H44" s="114">
        <v>1</v>
      </c>
      <c r="N44" s="90"/>
    </row>
    <row r="45" spans="1:14" ht="12" customHeight="1" x14ac:dyDescent="0.25">
      <c r="A45" s="790"/>
      <c r="B45" s="790" t="s">
        <v>70</v>
      </c>
      <c r="C45" s="790" t="s">
        <v>158</v>
      </c>
      <c r="D45" s="790" t="s">
        <v>970</v>
      </c>
      <c r="E45" s="790" t="s">
        <v>660</v>
      </c>
      <c r="F45" s="600">
        <v>997</v>
      </c>
      <c r="G45" s="600">
        <v>5838</v>
      </c>
      <c r="H45" s="114">
        <v>1</v>
      </c>
      <c r="N45" s="90"/>
    </row>
    <row r="46" spans="1:14" ht="12" customHeight="1" x14ac:dyDescent="0.25">
      <c r="A46" s="790"/>
      <c r="B46" s="790" t="s">
        <v>540</v>
      </c>
      <c r="C46" s="790" t="s">
        <v>280</v>
      </c>
      <c r="D46" s="790" t="s">
        <v>285</v>
      </c>
      <c r="E46" s="790" t="s">
        <v>661</v>
      </c>
      <c r="F46" s="600">
        <v>496</v>
      </c>
      <c r="G46" s="600">
        <v>2942</v>
      </c>
      <c r="H46" s="114">
        <v>1</v>
      </c>
      <c r="N46" s="90"/>
    </row>
    <row r="47" spans="1:14" ht="12" customHeight="1" x14ac:dyDescent="0.25">
      <c r="A47" s="790" t="s">
        <v>644</v>
      </c>
      <c r="B47" s="790"/>
      <c r="C47" s="790"/>
      <c r="D47" s="790"/>
      <c r="E47" s="790"/>
      <c r="F47" s="600">
        <v>17820</v>
      </c>
      <c r="G47" s="600">
        <v>94884</v>
      </c>
      <c r="H47" s="114">
        <v>15</v>
      </c>
    </row>
    <row r="48" spans="1:14" ht="12" customHeight="1" x14ac:dyDescent="0.25">
      <c r="A48" s="790" t="s">
        <v>866</v>
      </c>
      <c r="B48" s="790" t="s">
        <v>38</v>
      </c>
      <c r="C48" s="790" t="s">
        <v>124</v>
      </c>
      <c r="D48" s="790" t="s">
        <v>706</v>
      </c>
      <c r="E48" s="790" t="s">
        <v>661</v>
      </c>
      <c r="F48" s="600">
        <v>698</v>
      </c>
      <c r="G48" s="600">
        <v>2656</v>
      </c>
      <c r="H48" s="114">
        <v>1</v>
      </c>
    </row>
    <row r="49" spans="1:8" ht="12" customHeight="1" x14ac:dyDescent="0.25">
      <c r="A49" s="790" t="s">
        <v>867</v>
      </c>
      <c r="B49" s="790"/>
      <c r="C49" s="790"/>
      <c r="D49" s="790"/>
      <c r="E49" s="790"/>
      <c r="F49" s="600">
        <v>698</v>
      </c>
      <c r="G49" s="600">
        <v>2656</v>
      </c>
      <c r="H49" s="114">
        <v>1</v>
      </c>
    </row>
    <row r="50" spans="1:8" ht="12" customHeight="1" x14ac:dyDescent="0.25">
      <c r="A50" s="790" t="s">
        <v>607</v>
      </c>
      <c r="B50" s="790" t="s">
        <v>474</v>
      </c>
      <c r="C50" s="790" t="s">
        <v>146</v>
      </c>
      <c r="D50" s="790" t="s">
        <v>285</v>
      </c>
      <c r="E50" s="790" t="s">
        <v>661</v>
      </c>
      <c r="F50" s="600">
        <v>65</v>
      </c>
      <c r="G50" s="600">
        <v>327</v>
      </c>
      <c r="H50" s="114">
        <v>1</v>
      </c>
    </row>
    <row r="51" spans="1:8" x14ac:dyDescent="0.25">
      <c r="A51" s="790"/>
      <c r="B51" s="790" t="s">
        <v>58</v>
      </c>
      <c r="C51" s="790" t="s">
        <v>145</v>
      </c>
      <c r="D51" s="790" t="s">
        <v>285</v>
      </c>
      <c r="E51" s="790" t="s">
        <v>661</v>
      </c>
      <c r="F51" s="600">
        <v>427</v>
      </c>
      <c r="G51" s="600">
        <v>1274</v>
      </c>
      <c r="H51" s="114">
        <v>1</v>
      </c>
    </row>
    <row r="52" spans="1:8" ht="12" customHeight="1" x14ac:dyDescent="0.25">
      <c r="A52" s="790" t="s">
        <v>1003</v>
      </c>
      <c r="B52" s="790"/>
      <c r="C52" s="790"/>
      <c r="D52" s="790"/>
      <c r="E52" s="790"/>
      <c r="F52" s="600">
        <v>492</v>
      </c>
      <c r="G52" s="600">
        <v>1601</v>
      </c>
      <c r="H52" s="114">
        <v>2</v>
      </c>
    </row>
    <row r="53" spans="1:8" ht="12" customHeight="1" x14ac:dyDescent="0.25">
      <c r="A53" s="790" t="s">
        <v>213</v>
      </c>
      <c r="B53" s="790"/>
      <c r="C53" s="790"/>
      <c r="D53" s="790"/>
      <c r="E53" s="790"/>
      <c r="F53" s="600">
        <v>23655</v>
      </c>
      <c r="G53" s="600">
        <v>120699</v>
      </c>
      <c r="H53" s="114">
        <v>36</v>
      </c>
    </row>
    <row r="54" spans="1:8" ht="12" customHeight="1" x14ac:dyDescent="0.25"/>
    <row r="55" spans="1:8" ht="12" customHeight="1" x14ac:dyDescent="0.25"/>
    <row r="56" spans="1:8" ht="12" customHeight="1" x14ac:dyDescent="0.25"/>
    <row r="57" spans="1:8" ht="12" customHeight="1" x14ac:dyDescent="0.25"/>
    <row r="58" spans="1:8" ht="12" customHeight="1" x14ac:dyDescent="0.25"/>
    <row r="59" spans="1:8" ht="12" customHeight="1" x14ac:dyDescent="0.25"/>
    <row r="60" spans="1:8" ht="12" customHeight="1" x14ac:dyDescent="0.25"/>
    <row r="61" spans="1:8" ht="12" customHeight="1" x14ac:dyDescent="0.25"/>
    <row r="62" spans="1:8" ht="12" customHeight="1" x14ac:dyDescent="0.25"/>
    <row r="63" spans="1:8" ht="12" customHeight="1" x14ac:dyDescent="0.25"/>
    <row r="64" spans="1:8"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6" ht="12" customHeight="1" x14ac:dyDescent="0.25"/>
    <row r="87" ht="12" customHeight="1" x14ac:dyDescent="0.25"/>
    <row r="88" ht="12" customHeight="1" x14ac:dyDescent="0.25"/>
    <row r="89" ht="12" customHeight="1" x14ac:dyDescent="0.25"/>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BA51"/>
  <sheetViews>
    <sheetView showGridLines="0" showZeros="0" topLeftCell="A7" zoomScale="70" zoomScaleNormal="70" workbookViewId="0">
      <selection activeCell="S38" sqref="S38"/>
    </sheetView>
  </sheetViews>
  <sheetFormatPr defaultColWidth="9.140625" defaultRowHeight="15" x14ac:dyDescent="0.2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x14ac:dyDescent="0.25">
      <c r="A1" s="424"/>
      <c r="B1" s="425"/>
      <c r="C1" s="425"/>
      <c r="D1" s="425"/>
      <c r="E1" s="425"/>
      <c r="F1" s="425"/>
      <c r="G1" s="425"/>
      <c r="H1" s="425"/>
      <c r="I1" s="425"/>
      <c r="J1" s="425"/>
      <c r="K1" s="425"/>
      <c r="L1" s="425"/>
      <c r="M1" s="425"/>
      <c r="N1" s="425"/>
      <c r="O1" s="425"/>
      <c r="P1" s="425"/>
      <c r="Q1" s="426"/>
    </row>
    <row r="2" spans="1:53" s="1" customFormat="1" ht="36.75" thickBot="1" x14ac:dyDescent="0.3">
      <c r="A2" s="427"/>
      <c r="B2" s="1015"/>
      <c r="C2" s="1015"/>
      <c r="D2" s="1015"/>
      <c r="E2" s="1015"/>
      <c r="F2" s="1015"/>
      <c r="G2" s="1015"/>
      <c r="H2" s="1015"/>
      <c r="I2" s="1015"/>
      <c r="J2" s="1015"/>
      <c r="K2" s="1015"/>
      <c r="L2" s="1015"/>
      <c r="M2" s="1015"/>
      <c r="N2" s="1015"/>
      <c r="O2" s="1015"/>
      <c r="P2" s="1015"/>
      <c r="Q2" s="428"/>
      <c r="AZ2" s="68"/>
      <c r="BA2" s="68"/>
    </row>
    <row r="3" spans="1:53" s="1" customFormat="1" ht="33" customHeight="1" x14ac:dyDescent="0.25">
      <c r="A3" s="1027" t="s">
        <v>598</v>
      </c>
      <c r="B3" s="1028"/>
      <c r="C3" s="1028"/>
      <c r="D3" s="1028"/>
      <c r="E3" s="1028"/>
      <c r="F3" s="1028"/>
      <c r="G3" s="1028"/>
      <c r="H3" s="1028"/>
      <c r="I3" s="1028"/>
      <c r="J3" s="1028"/>
      <c r="K3" s="1028"/>
      <c r="L3" s="618"/>
      <c r="M3" s="618"/>
      <c r="N3" s="618"/>
      <c r="O3" s="618"/>
      <c r="P3" s="618"/>
      <c r="Q3" s="426"/>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x14ac:dyDescent="0.25">
      <c r="A4" s="1029">
        <f>Report_Date</f>
        <v>42856</v>
      </c>
      <c r="B4" s="1030"/>
      <c r="C4" s="1030"/>
      <c r="D4" s="1030"/>
      <c r="E4" s="1030"/>
      <c r="F4" s="1030"/>
      <c r="G4" s="1030"/>
      <c r="H4" s="1030"/>
      <c r="I4" s="1030"/>
      <c r="J4" s="1030"/>
      <c r="K4" s="1030"/>
      <c r="L4" s="419"/>
      <c r="M4" s="419"/>
      <c r="N4" s="419"/>
      <c r="O4" s="419"/>
      <c r="P4" s="419"/>
      <c r="Q4" s="428"/>
      <c r="R4" s="1"/>
      <c r="W4" s="80"/>
      <c r="X4" s="80"/>
      <c r="Y4" s="80"/>
      <c r="Z4" s="80"/>
      <c r="AA4" s="80"/>
      <c r="AB4" s="80"/>
      <c r="AC4" s="80"/>
      <c r="AD4" s="80"/>
      <c r="AE4" s="80"/>
      <c r="AF4" s="80"/>
      <c r="AG4" s="80"/>
      <c r="AH4" s="80"/>
      <c r="AI4" s="80"/>
      <c r="AJ4" s="80"/>
      <c r="AK4" s="80"/>
      <c r="AL4" s="80"/>
      <c r="AM4" s="80"/>
      <c r="AN4" s="80"/>
      <c r="AO4" s="80"/>
      <c r="AP4" s="80"/>
      <c r="AZ4" s="69"/>
      <c r="BA4" s="69"/>
    </row>
    <row r="5" spans="1:53" ht="36" x14ac:dyDescent="0.25">
      <c r="A5" s="57"/>
      <c r="B5" s="46"/>
      <c r="C5" s="46"/>
      <c r="D5" s="46"/>
      <c r="E5" s="46"/>
      <c r="F5" s="46"/>
      <c r="G5" s="46"/>
      <c r="H5" s="46"/>
      <c r="I5" s="46"/>
      <c r="J5" s="46"/>
      <c r="K5" s="46"/>
      <c r="L5" s="46"/>
      <c r="M5" s="46"/>
      <c r="N5" s="46"/>
      <c r="O5" s="46"/>
      <c r="P5" s="46"/>
      <c r="Q5" s="429"/>
      <c r="R5" s="46"/>
      <c r="S5" s="92"/>
      <c r="T5" s="92"/>
      <c r="U5" s="92"/>
      <c r="V5" s="92"/>
      <c r="W5" s="92"/>
      <c r="X5" s="92"/>
      <c r="Y5" s="92"/>
      <c r="Z5" s="92"/>
      <c r="AA5" s="92"/>
      <c r="AB5" s="92"/>
      <c r="AC5" s="92"/>
      <c r="AD5" s="92"/>
      <c r="AE5" s="92"/>
      <c r="AF5" s="92"/>
      <c r="AS5" s="35"/>
    </row>
    <row r="6" spans="1:53" x14ac:dyDescent="0.25">
      <c r="A6" s="57"/>
      <c r="B6" s="46"/>
      <c r="C6" s="46"/>
      <c r="D6" s="46"/>
      <c r="E6" s="46"/>
      <c r="F6" s="46"/>
      <c r="G6" s="46"/>
      <c r="H6" s="46"/>
      <c r="I6" s="46"/>
      <c r="J6" s="46"/>
      <c r="K6" s="46"/>
      <c r="L6" s="46"/>
      <c r="M6" s="46"/>
      <c r="N6" s="46"/>
      <c r="O6" s="46"/>
      <c r="P6" s="46"/>
      <c r="Q6" s="429"/>
      <c r="R6" s="1"/>
      <c r="AG6" s="330" t="s">
        <v>1</v>
      </c>
      <c r="AH6" s="330" t="s">
        <v>588</v>
      </c>
      <c r="AI6" s="330" t="s">
        <v>591</v>
      </c>
      <c r="AJ6" s="330" t="s">
        <v>590</v>
      </c>
      <c r="AK6" s="330" t="s">
        <v>592</v>
      </c>
      <c r="AL6" s="37" t="s">
        <v>906</v>
      </c>
      <c r="AS6" s="35"/>
    </row>
    <row r="7" spans="1:53" ht="9.75" customHeight="1" x14ac:dyDescent="0.25">
      <c r="A7" s="57"/>
      <c r="B7" s="46"/>
      <c r="C7" s="46"/>
      <c r="D7" s="46"/>
      <c r="E7" s="46"/>
      <c r="F7" s="46"/>
      <c r="G7" s="46"/>
      <c r="H7" s="46"/>
      <c r="I7" s="46"/>
      <c r="J7" s="46"/>
      <c r="K7" s="46"/>
      <c r="L7" s="46"/>
      <c r="M7" s="46"/>
      <c r="N7" s="46"/>
      <c r="O7" s="46"/>
      <c r="P7" s="46"/>
      <c r="Q7" s="429"/>
      <c r="R7" s="1"/>
      <c r="AG7" s="321" t="s">
        <v>607</v>
      </c>
      <c r="AH7" s="320">
        <f>SUMIFS(Camp_List[Total],Camp_List[TOWNSHIP_NAME],$AG7,Camp_List[Total],"&gt;0",Camp_List[Total],"&lt;=1000",Camp_List[Status],"Open")</f>
        <v>327</v>
      </c>
      <c r="AI7" s="320">
        <f>SUMIFS(Camp_List[Total],Camp_List[TOWNSHIP_NAME],$AG7,Camp_List[Total],"&gt;1000",Camp_List[Total],"&lt;=5000",Camp_List[Status],"Open")</f>
        <v>1274</v>
      </c>
      <c r="AJ7" s="320">
        <f>SUMIFS(Camp_List[Total],Camp_List[TOWNSHIP_NAME],$AG7,Camp_List[Total],"&gt;5000",Camp_List[Total],"&lt;=10000",Camp_List[Status],"Open")</f>
        <v>0</v>
      </c>
      <c r="AK7" s="320">
        <f>SUMIFS(Camp_List[Total],Camp_List[TOWNSHIP_NAME],$AG7,Camp_List[Total],"&gt;10000",Camp_List[Total],"&lt;=100000",Camp_List[Status],"Open")</f>
        <v>0</v>
      </c>
      <c r="AL7" s="320">
        <f>SUMIFS(Camp_List[Total],Camp_List[TOWNSHIP_NAME],$AG7,Camp_List[Total],"",Camp_List[Status],"Open")</f>
        <v>0</v>
      </c>
      <c r="AS7" s="35"/>
    </row>
    <row r="8" spans="1:53" ht="12.75" customHeight="1" x14ac:dyDescent="0.25">
      <c r="A8" s="57"/>
      <c r="B8" s="46"/>
      <c r="C8" s="46"/>
      <c r="D8" s="46"/>
      <c r="E8" s="46"/>
      <c r="F8" s="46"/>
      <c r="G8" s="46"/>
      <c r="H8" s="46"/>
      <c r="I8" s="46"/>
      <c r="J8" s="46"/>
      <c r="K8" s="46"/>
      <c r="L8" s="46"/>
      <c r="M8" s="46"/>
      <c r="N8" s="46"/>
      <c r="O8" s="46"/>
      <c r="P8" s="46"/>
      <c r="Q8" s="429"/>
      <c r="R8" s="1"/>
      <c r="AG8" s="321" t="s">
        <v>15</v>
      </c>
      <c r="AH8" s="320">
        <f>SUMIFS(Camp_List[Total],Camp_List[TOWNSHIP_NAME],$AG8,Camp_List[Total],"&gt;0",Camp_List[Total],"&lt;=1000",Camp_List[Status],"Open")</f>
        <v>546</v>
      </c>
      <c r="AI8" s="320">
        <f>SUMIFS(Camp_List[Total],Camp_List[TOWNSHIP_NAME],$AG8,Camp_List[Total],"&gt;1000",Camp_List[Total],"&lt;=5000",Camp_List[Status],"Open")</f>
        <v>0</v>
      </c>
      <c r="AJ8" s="320">
        <f>SUMIFS(Camp_List[Total],Camp_List[TOWNSHIP_NAME],$AG8,Camp_List[Total],"&gt;5000",Camp_List[Total],"&lt;=10000",Camp_List[Status],"Open")</f>
        <v>0</v>
      </c>
      <c r="AK8" s="320">
        <f>SUMIFS(Camp_List[Total],Camp_List[TOWNSHIP_NAME],$AG8,Camp_List[Total],"&gt;10000",Camp_List[Total],"&lt;=100000",Camp_List[Status],"Open")</f>
        <v>0</v>
      </c>
      <c r="AL8" s="320">
        <f>SUMIFS(Camp_List[Total],Camp_List[TOWNSHIP_NAME],$AG8,Camp_List[Total],"",Camp_List[Status],"Open")</f>
        <v>0</v>
      </c>
      <c r="AS8" s="35"/>
    </row>
    <row r="9" spans="1:53" ht="18.75" customHeight="1" x14ac:dyDescent="0.25">
      <c r="A9" s="57"/>
      <c r="B9" s="46"/>
      <c r="C9" s="46"/>
      <c r="D9" s="46"/>
      <c r="E9" s="46"/>
      <c r="F9" s="46"/>
      <c r="G9" s="46"/>
      <c r="H9" s="46"/>
      <c r="I9" s="46"/>
      <c r="J9" s="46"/>
      <c r="K9" s="46"/>
      <c r="L9" s="46"/>
      <c r="M9" s="46"/>
      <c r="N9" s="46"/>
      <c r="O9" s="46"/>
      <c r="P9" s="46"/>
      <c r="Q9" s="429"/>
      <c r="R9" s="1"/>
      <c r="AG9" s="321" t="s">
        <v>20</v>
      </c>
      <c r="AH9" s="320">
        <f>SUMIFS(Camp_List[Total],Camp_List[TOWNSHIP_NAME],$AG9,Camp_List[Total],"&gt;0",Camp_List[Total],"&lt;=1000",Camp_List[Status],"Open")</f>
        <v>1148</v>
      </c>
      <c r="AI9" s="320">
        <f>SUMIFS(Camp_List[Total],Camp_List[TOWNSHIP_NAME],$AG9,Camp_List[Total],"&gt;1000",Camp_List[Total],"&lt;=5000",Camp_List[Status],"Open")</f>
        <v>0</v>
      </c>
      <c r="AJ9" s="320">
        <f>SUMIFS(Camp_List[Total],Camp_List[TOWNSHIP_NAME],$AG9,Camp_List[Total],"&gt;5000",Camp_List[Total],"&lt;=10000",Camp_List[Status],"Open")</f>
        <v>0</v>
      </c>
      <c r="AK9" s="320">
        <f>SUMIFS(Camp_List[Total],Camp_List[TOWNSHIP_NAME],$AG9,Camp_List[Total],"&gt;10000",Camp_List[Total],"&lt;=100000",Camp_List[Status],"Open")</f>
        <v>0</v>
      </c>
      <c r="AL9" s="320">
        <f>SUMIFS(Camp_List[Total],Camp_List[TOWNSHIP_NAME],$AG9,Camp_List[Total],"",Camp_List[Status],"Open")</f>
        <v>0</v>
      </c>
      <c r="AS9" s="35"/>
    </row>
    <row r="10" spans="1:53" ht="29.25" customHeight="1" x14ac:dyDescent="0.25">
      <c r="A10" s="57"/>
      <c r="B10" s="46"/>
      <c r="C10" s="46"/>
      <c r="D10" s="46"/>
      <c r="E10" s="46"/>
      <c r="F10" s="46"/>
      <c r="G10" s="46"/>
      <c r="H10" s="1022" t="s">
        <v>994</v>
      </c>
      <c r="I10" s="1024"/>
      <c r="J10" s="1025"/>
      <c r="K10" s="1025"/>
      <c r="L10" s="1026"/>
      <c r="M10" s="46"/>
      <c r="N10" s="46"/>
      <c r="O10" s="46"/>
      <c r="P10" s="46"/>
      <c r="Q10" s="430"/>
      <c r="R10" s="1"/>
      <c r="AG10" s="321" t="s">
        <v>866</v>
      </c>
      <c r="AH10" s="320">
        <f>SUMIFS(Camp_List[Total],Camp_List[TOWNSHIP_NAME],$AG10,Camp_List[Total],"&gt;0",Camp_List[Total],"&lt;=1000",Camp_List[Status],"Open")</f>
        <v>0</v>
      </c>
      <c r="AI10" s="320">
        <f>SUMIFS(Camp_List[Total],Camp_List[TOWNSHIP_NAME],$AG10,Camp_List[Total],"&gt;1000",Camp_List[Total],"&lt;=5000",Camp_List[Status],"Open")</f>
        <v>2656</v>
      </c>
      <c r="AJ10" s="320">
        <f>SUMIFS(Camp_List[Total],Camp_List[TOWNSHIP_NAME],$AG10,Camp_List[Total],"&gt;5000",Camp_List[Total],"&lt;=10000",Camp_List[Status],"Open")</f>
        <v>0</v>
      </c>
      <c r="AK10" s="320">
        <f>SUMIFS(Camp_List[Total],Camp_List[TOWNSHIP_NAME],$AG10,Camp_List[Total],"&gt;10000",Camp_List[Total],"&lt;=100000",Camp_List[Status],"Open")</f>
        <v>0</v>
      </c>
      <c r="AL10" s="320">
        <f>SUMIFS(Camp_List[Total],Camp_List[TOWNSHIP_NAME],$AG10,Camp_List[Total],"",Camp_List[Status],"Open")</f>
        <v>0</v>
      </c>
      <c r="AS10" s="35"/>
    </row>
    <row r="11" spans="1:53" ht="18.75" x14ac:dyDescent="0.25">
      <c r="A11" s="57"/>
      <c r="B11" s="46"/>
      <c r="C11" s="46"/>
      <c r="D11" s="46"/>
      <c r="E11" s="46"/>
      <c r="F11" s="46"/>
      <c r="G11" s="46"/>
      <c r="H11" s="1023"/>
      <c r="I11" s="712" t="s">
        <v>717</v>
      </c>
      <c r="J11" s="713" t="s">
        <v>718</v>
      </c>
      <c r="K11" s="714" t="s">
        <v>719</v>
      </c>
      <c r="L11" s="715" t="s">
        <v>720</v>
      </c>
      <c r="M11" s="46"/>
      <c r="N11" s="46"/>
      <c r="O11" s="46"/>
      <c r="P11" s="46"/>
      <c r="Q11" s="431"/>
      <c r="AG11" s="321" t="s">
        <v>11</v>
      </c>
      <c r="AH11" s="320">
        <f>SUMIFS(Camp_List[Total],Camp_List[TOWNSHIP_NAME],$AG11,Camp_List[Total],"&gt;0",Camp_List[Total],"&lt;=1000",Camp_List[Status],"Open")</f>
        <v>0</v>
      </c>
      <c r="AI11" s="320">
        <f>SUMIFS(Camp_List[Total],Camp_List[TOWNSHIP_NAME],$AG11,Camp_List[Total],"&gt;1000",Camp_List[Total],"&lt;=5000",Camp_List[Status],"Open")</f>
        <v>0</v>
      </c>
      <c r="AJ11" s="320">
        <f>SUMIFS(Camp_List[Total],Camp_List[TOWNSHIP_NAME],$AG11,Camp_List[Total],"&gt;5000",Camp_List[Total],"&lt;=10000",Camp_List[Status],"Open")</f>
        <v>0</v>
      </c>
      <c r="AK11" s="320">
        <f>SUMIFS(Camp_List[Total],Camp_List[TOWNSHIP_NAME],$AG11,Camp_List[Total],"&gt;10000",Camp_List[Total],"&lt;=100000",Camp_List[Status],"Open")</f>
        <v>0</v>
      </c>
      <c r="AL11" s="320">
        <f>SUMIFS(Camp_List[Total],Camp_List[TOWNSHIP_NAME],$AG11,Camp_List[Total],"",Camp_List[Status],"Open")</f>
        <v>0</v>
      </c>
      <c r="AS11" s="35"/>
    </row>
    <row r="12" spans="1:53" ht="20.100000000000001" customHeight="1" x14ac:dyDescent="0.3">
      <c r="A12" s="57"/>
      <c r="B12" s="46"/>
      <c r="C12" s="46"/>
      <c r="D12" s="46"/>
      <c r="E12" s="46"/>
      <c r="F12" s="46"/>
      <c r="G12" s="46"/>
      <c r="H12" s="619" t="s">
        <v>761</v>
      </c>
      <c r="I12" s="620">
        <f>AH38</f>
        <v>14</v>
      </c>
      <c r="J12" s="620">
        <f>AI38</f>
        <v>14</v>
      </c>
      <c r="K12" s="620">
        <f>AJ38</f>
        <v>4</v>
      </c>
      <c r="L12" s="620">
        <f>AK38</f>
        <v>4</v>
      </c>
      <c r="M12" s="46"/>
      <c r="N12" s="46"/>
      <c r="O12" s="46"/>
      <c r="P12" s="46"/>
      <c r="Q12" s="431"/>
      <c r="V12" s="90"/>
      <c r="AG12" s="321" t="s">
        <v>1002</v>
      </c>
      <c r="AH12" s="320">
        <f>SUMIFS(Camp_List[Total],Camp_List[TOWNSHIP_NAME],$AG12,Camp_List[Total],"&gt;0",Camp_List[Total],"&lt;=1000",Camp_List[Status],"Open")</f>
        <v>0</v>
      </c>
      <c r="AI12" s="320">
        <f>SUMIFS(Camp_List[Total],Camp_List[TOWNSHIP_NAME],$AG12,Camp_List[Total],"&gt;1000",Camp_List[Total],"&lt;=5000",Camp_List[Status],"Open")</f>
        <v>0</v>
      </c>
      <c r="AJ12" s="320">
        <f>SUMIFS(Camp_List[Total],Camp_List[TOWNSHIP_NAME],$AG12,Camp_List[Total],"&gt;5000",Camp_List[Total],"&lt;=10000",Camp_List[Status],"Open")</f>
        <v>0</v>
      </c>
      <c r="AK12" s="320">
        <f>SUMIFS(Camp_List[Total],Camp_List[TOWNSHIP_NAME],$AG12,Camp_List[Total],"&gt;10000",Camp_List[Total],"&lt;=100000",Camp_List[Status],"Open")</f>
        <v>0</v>
      </c>
      <c r="AL12" s="320">
        <f>SUMIFS(Camp_List[Total],Camp_List[TOWNSHIP_NAME],$AG12,Camp_List[Total],"",Camp_List[Status],"Open")</f>
        <v>0</v>
      </c>
      <c r="AS12" s="35"/>
    </row>
    <row r="13" spans="1:53" ht="20.100000000000001" customHeight="1" x14ac:dyDescent="0.3">
      <c r="A13" s="57"/>
      <c r="B13" s="46"/>
      <c r="C13" s="46"/>
      <c r="D13" s="46"/>
      <c r="E13" s="46"/>
      <c r="F13" s="46"/>
      <c r="G13" s="46"/>
      <c r="H13" s="619" t="s">
        <v>578</v>
      </c>
      <c r="I13" s="620">
        <f>AH17</f>
        <v>3472</v>
      </c>
      <c r="J13" s="620">
        <f>AI17</f>
        <v>41738</v>
      </c>
      <c r="K13" s="620">
        <f>AJ17</f>
        <v>26138</v>
      </c>
      <c r="L13" s="620">
        <f>AK17</f>
        <v>49351</v>
      </c>
      <c r="M13" s="46"/>
      <c r="N13" s="46"/>
      <c r="O13" s="46"/>
      <c r="P13" s="46"/>
      <c r="Q13" s="429"/>
      <c r="R13" s="170"/>
      <c r="S13" s="169"/>
      <c r="T13" s="169"/>
      <c r="V13" s="90"/>
      <c r="AG13" s="321" t="s">
        <v>14</v>
      </c>
      <c r="AH13" s="320">
        <f>SUMIFS(Camp_List[Total],Camp_List[TOWNSHIP_NAME],$AG13,Camp_List[Total],"&gt;0",Camp_List[Total],"&lt;=1000",Camp_List[Status],"Open")</f>
        <v>0</v>
      </c>
      <c r="AI13" s="320">
        <f>SUMIFS(Camp_List[Total],Camp_List[TOWNSHIP_NAME],$AG13,Camp_List[Total],"&gt;1000",Camp_List[Total],"&lt;=5000",Camp_List[Status],"Open")</f>
        <v>10909</v>
      </c>
      <c r="AJ13" s="320">
        <f>SUMIFS(Camp_List[Total],Camp_List[TOWNSHIP_NAME],$AG13,Camp_List[Total],"&gt;5000",Camp_List[Total],"&lt;=10000",Camp_List[Status],"Open")</f>
        <v>5125</v>
      </c>
      <c r="AK13" s="320">
        <f>SUMIFS(Camp_List[Total],Camp_List[TOWNSHIP_NAME],$AG13,Camp_List[Total],"&gt;10000",Camp_List[Total],"&lt;=100000",Camp_List[Status],"Open")</f>
        <v>0</v>
      </c>
      <c r="AL13" s="320">
        <f>SUMIFS(Camp_List[Total],Camp_List[TOWNSHIP_NAME],$AG13,Camp_List[Total],"",Camp_List[Status],"Open")</f>
        <v>0</v>
      </c>
      <c r="AS13" s="35"/>
    </row>
    <row r="14" spans="1:53" hidden="1" x14ac:dyDescent="0.25">
      <c r="A14" s="57"/>
      <c r="B14" s="46"/>
      <c r="C14" s="46"/>
      <c r="D14" s="46"/>
      <c r="E14" s="46"/>
      <c r="F14" s="46"/>
      <c r="G14" s="46"/>
      <c r="H14" s="46"/>
      <c r="I14" s="711"/>
      <c r="J14" s="711"/>
      <c r="K14" s="711"/>
      <c r="L14" s="711"/>
      <c r="M14" s="46"/>
      <c r="N14" s="46"/>
      <c r="O14" s="46"/>
      <c r="P14" s="46"/>
      <c r="Q14" s="429"/>
      <c r="R14" s="26"/>
      <c r="S14" s="26"/>
      <c r="T14" s="26"/>
      <c r="V14" s="90"/>
      <c r="AG14" s="321" t="s">
        <v>18</v>
      </c>
      <c r="AH14" s="320">
        <f>SUMIFS(Camp_List[Total],Camp_List[TOWNSHIP_NAME],$AG14,Camp_List[Total],"&gt;0",Camp_List[Total],"&lt;=1000",Camp_List[Status],"Open")</f>
        <v>264</v>
      </c>
      <c r="AI14" s="320">
        <f>SUMIFS(Camp_List[Total],Camp_List[TOWNSHIP_NAME],$AG14,Camp_List[Total],"&gt;1000",Camp_List[Total],"&lt;=5000",Camp_List[Status],"Open")</f>
        <v>0</v>
      </c>
      <c r="AJ14" s="320">
        <f>SUMIFS(Camp_List[Total],Camp_List[TOWNSHIP_NAME],$AG14,Camp_List[Total],"&gt;5000",Camp_List[Total],"&lt;=10000",Camp_List[Status],"Open")</f>
        <v>0</v>
      </c>
      <c r="AK14" s="320">
        <f>SUMIFS(Camp_List[Total],Camp_List[TOWNSHIP_NAME],$AG14,Camp_List[Total],"&gt;10000",Camp_List[Total],"&lt;=100000",Camp_List[Status],"Open")</f>
        <v>0</v>
      </c>
      <c r="AL14" s="320">
        <f>SUMIFS(Camp_List[Total],Camp_List[TOWNSHIP_NAME],$AG14,Camp_List[Total],"",Camp_List[Status],"Open")</f>
        <v>0</v>
      </c>
      <c r="AS14" s="35"/>
    </row>
    <row r="15" spans="1:53" x14ac:dyDescent="0.25">
      <c r="A15" s="57"/>
      <c r="B15" s="46"/>
      <c r="C15" s="46"/>
      <c r="D15" s="46"/>
      <c r="E15" s="46"/>
      <c r="F15" s="46"/>
      <c r="G15" s="46"/>
      <c r="H15" s="46"/>
      <c r="I15" s="711"/>
      <c r="J15" s="711"/>
      <c r="K15" s="711"/>
      <c r="L15" s="711"/>
      <c r="M15" s="46"/>
      <c r="N15" s="46"/>
      <c r="O15" s="46"/>
      <c r="P15" s="46"/>
      <c r="Q15" s="429"/>
      <c r="V15" s="90"/>
      <c r="AG15" s="321" t="s">
        <v>16</v>
      </c>
      <c r="AH15" s="320">
        <f>SUMIFS(Camp_List[Total],Camp_List[TOWNSHIP_NAME],$AG15,Camp_List[Total],"&gt;0",Camp_List[Total],"&lt;=1000",Camp_List[Status],"Open")</f>
        <v>961</v>
      </c>
      <c r="AI15" s="320">
        <f>SUMIFS(Camp_List[Total],Camp_List[TOWNSHIP_NAME],$AG15,Camp_List[Total],"&gt;1000",Camp_List[Total],"&lt;=5000",Camp_List[Status],"Open")</f>
        <v>2605</v>
      </c>
      <c r="AJ15" s="320">
        <f>SUMIFS(Camp_List[Total],Camp_List[TOWNSHIP_NAME],$AG15,Camp_List[Total],"&gt;5000",Camp_List[Total],"&lt;=10000",Camp_List[Status],"Open")</f>
        <v>0</v>
      </c>
      <c r="AK15" s="320">
        <f>SUMIFS(Camp_List[Total],Camp_List[TOWNSHIP_NAME],$AG15,Camp_List[Total],"&gt;10000",Camp_List[Total],"&lt;=100000",Camp_List[Status],"Open")</f>
        <v>0</v>
      </c>
      <c r="AL15" s="320">
        <f>SUMIFS(Camp_List[Total],Camp_List[TOWNSHIP_NAME],$AG15,Camp_List[Total],"",Camp_List[Status],"Open")</f>
        <v>0</v>
      </c>
      <c r="AS15" s="35"/>
    </row>
    <row r="16" spans="1:53" ht="33" customHeight="1" x14ac:dyDescent="0.25">
      <c r="A16" s="57"/>
      <c r="B16" s="46"/>
      <c r="C16" s="46"/>
      <c r="D16" s="46"/>
      <c r="E16" s="46"/>
      <c r="F16" s="46"/>
      <c r="G16" s="46"/>
      <c r="H16" s="623" t="s">
        <v>1</v>
      </c>
      <c r="I16" s="624" t="s">
        <v>574</v>
      </c>
      <c r="J16" s="624" t="s">
        <v>578</v>
      </c>
      <c r="K16" s="624" t="s">
        <v>763</v>
      </c>
      <c r="L16" s="689" t="s">
        <v>775</v>
      </c>
      <c r="M16" s="46"/>
      <c r="N16" s="46"/>
      <c r="O16" s="46"/>
      <c r="P16" s="1"/>
      <c r="Q16" s="58"/>
      <c r="T16" s="80"/>
      <c r="U16" s="80"/>
      <c r="AG16" s="321" t="s">
        <v>19</v>
      </c>
      <c r="AH16" s="320">
        <f>SUMIFS(Camp_List[Total],Camp_List[TOWNSHIP_NAME],$AG16,Camp_List[Total],"&gt;0",Camp_List[Total],"&lt;=1000",Camp_List[Status],"Open")</f>
        <v>226</v>
      </c>
      <c r="AI16" s="320">
        <f>SUMIFS(Camp_List[Total],Camp_List[TOWNSHIP_NAME],$AG16,Camp_List[Total],"&gt;1000",Camp_List[Total],"&lt;=5000",Camp_List[Status],"Open")</f>
        <v>24294</v>
      </c>
      <c r="AJ16" s="320">
        <f>SUMIFS(Camp_List[Total],Camp_List[TOWNSHIP_NAME],$AG16,Camp_List[Total],"&gt;5000",Camp_List[Total],"&lt;=10000",Camp_List[Status],"Open")</f>
        <v>21013</v>
      </c>
      <c r="AK16" s="320">
        <f>SUMIFS(Camp_List[Total],Camp_List[TOWNSHIP_NAME],$AG16,Camp_List[Total],"&gt;10000",Camp_List[Total],"&lt;=100000",Camp_List[Status],"Open")</f>
        <v>49351</v>
      </c>
      <c r="AL16" s="320">
        <f>SUMIFS(Camp_List[Total],Camp_List[TOWNSHIP_NAME],$AG16,Camp_List[Total],"",Camp_List[Status],"Open")</f>
        <v>0</v>
      </c>
      <c r="AM16" s="65"/>
      <c r="AQ16" s="35"/>
      <c r="AR16" s="35"/>
      <c r="AS16" s="35"/>
    </row>
    <row r="17" spans="1:45" ht="18.95" customHeight="1" x14ac:dyDescent="0.3">
      <c r="A17" s="57"/>
      <c r="B17" s="46"/>
      <c r="C17" s="46"/>
      <c r="D17" s="46"/>
      <c r="E17" s="46"/>
      <c r="F17" s="46"/>
      <c r="G17" s="46"/>
      <c r="H17" s="625" t="s">
        <v>607</v>
      </c>
      <c r="I17" s="620">
        <f>SUMIFS(Camplist_HH,Camplist_Township,'CCCM Dashboard'!$H17,CampList_Status,"Open")</f>
        <v>492</v>
      </c>
      <c r="J17" s="620">
        <f>SUMIFS(Camplist_Popl,Camplist_Township,'CCCM Dashboard'!$H17,CampList_Status,"Open")</f>
        <v>1601</v>
      </c>
      <c r="K17" s="620">
        <f t="shared" ref="K17:K21" si="0">AN23</f>
        <v>2</v>
      </c>
      <c r="L17" s="620">
        <f>AR23-Table9[[#This Row],['# of Planned Camp]]</f>
        <v>0</v>
      </c>
      <c r="M17" s="46"/>
      <c r="N17" s="46"/>
      <c r="O17" s="46"/>
      <c r="P17" s="1"/>
      <c r="Q17" s="58"/>
      <c r="T17" s="80"/>
      <c r="U17" s="80"/>
      <c r="AG17" s="22" t="s">
        <v>235</v>
      </c>
      <c r="AH17" s="568">
        <f>SUM(AH7:AH16)</f>
        <v>3472</v>
      </c>
      <c r="AI17" s="568">
        <f>SUM(AI7:AI16)</f>
        <v>41738</v>
      </c>
      <c r="AJ17" s="568">
        <f>SUM(AJ7:AJ16)</f>
        <v>26138</v>
      </c>
      <c r="AK17" s="568">
        <f>SUM(AK7:AK16)</f>
        <v>49351</v>
      </c>
      <c r="AL17" s="568">
        <f>SUM(AL7:AL16)</f>
        <v>0</v>
      </c>
      <c r="AM17" s="569">
        <f>SUM(AH17:AL17)</f>
        <v>120699</v>
      </c>
      <c r="AR17" s="35"/>
      <c r="AS17" s="35"/>
    </row>
    <row r="18" spans="1:45" ht="18.95" customHeight="1" x14ac:dyDescent="0.3">
      <c r="A18" s="57"/>
      <c r="B18" s="46"/>
      <c r="C18" s="46"/>
      <c r="D18" s="46"/>
      <c r="E18" s="46"/>
      <c r="F18" s="46"/>
      <c r="G18" s="46"/>
      <c r="H18" s="625" t="s">
        <v>15</v>
      </c>
      <c r="I18" s="620">
        <f>SUMIFS(Camplist_HH,Camplist_Township,'CCCM Dashboard'!$H18,CampList_Status,"Open")</f>
        <v>85</v>
      </c>
      <c r="J18" s="620">
        <f>SUMIFS(Camplist_Popl,Camplist_Township,'CCCM Dashboard'!$H18,CampList_Status,"Open")</f>
        <v>546</v>
      </c>
      <c r="K18" s="620">
        <f t="shared" si="0"/>
        <v>0</v>
      </c>
      <c r="L18" s="620">
        <f>AR24-Table9[[#This Row],['# of Planned Camp]]</f>
        <v>1</v>
      </c>
      <c r="M18" s="46"/>
      <c r="N18" s="46"/>
      <c r="O18" s="46"/>
      <c r="P18" s="1"/>
      <c r="Q18" s="58"/>
      <c r="T18" s="80"/>
      <c r="U18" s="80"/>
      <c r="AG18" s="35"/>
      <c r="AH18" s="35"/>
      <c r="AI18" s="35"/>
      <c r="AJ18" s="35"/>
      <c r="AK18" s="35"/>
      <c r="AL18" s="24"/>
      <c r="AM18" s="25"/>
      <c r="AR18" s="35"/>
      <c r="AS18" s="35"/>
    </row>
    <row r="19" spans="1:45" ht="18.95" customHeight="1" x14ac:dyDescent="0.3">
      <c r="A19" s="57"/>
      <c r="B19" s="46"/>
      <c r="C19" s="46"/>
      <c r="D19" s="46"/>
      <c r="E19" s="46"/>
      <c r="F19" s="46"/>
      <c r="G19" s="46"/>
      <c r="H19" s="625" t="s">
        <v>20</v>
      </c>
      <c r="I19" s="620">
        <f>SUMIFS(Camplist_HH,Camplist_Township,'CCCM Dashboard'!$H19,CampList_Status,"Open")</f>
        <v>184</v>
      </c>
      <c r="J19" s="620">
        <f>SUMIFS(Camplist_Popl,Camplist_Township,'CCCM Dashboard'!$H19,CampList_Status,"Open")</f>
        <v>1148</v>
      </c>
      <c r="K19" s="620">
        <f t="shared" si="0"/>
        <v>0</v>
      </c>
      <c r="L19" s="620">
        <f>AR25-Table9[[#This Row],['# of Planned Camp]]</f>
        <v>8</v>
      </c>
      <c r="M19" s="46"/>
      <c r="N19" s="46"/>
      <c r="O19" s="46"/>
      <c r="P19" s="1"/>
      <c r="Q19" s="58"/>
      <c r="T19" s="80"/>
      <c r="U19" s="80"/>
      <c r="AG19" s="35"/>
      <c r="AH19" s="35"/>
      <c r="AI19" s="35"/>
      <c r="AJ19" s="35"/>
      <c r="AK19" s="35"/>
      <c r="AL19" s="24"/>
      <c r="AM19" s="25"/>
      <c r="AR19" s="35"/>
      <c r="AS19" s="35"/>
    </row>
    <row r="20" spans="1:45" ht="18.95" customHeight="1" x14ac:dyDescent="0.3">
      <c r="A20" s="57"/>
      <c r="B20" s="46"/>
      <c r="C20" s="46"/>
      <c r="D20" s="46"/>
      <c r="E20" s="46"/>
      <c r="F20" s="46"/>
      <c r="G20" s="46"/>
      <c r="H20" s="625" t="s">
        <v>866</v>
      </c>
      <c r="I20" s="620">
        <f>SUMIFS(Camplist_HH,Camplist_Township,'CCCM Dashboard'!$H20,CampList_Status,"Open")</f>
        <v>698</v>
      </c>
      <c r="J20" s="620">
        <f>SUMIFS(Camplist_Popl,Camplist_Township,'CCCM Dashboard'!$H20,CampList_Status,"Open")</f>
        <v>2656</v>
      </c>
      <c r="K20" s="620">
        <f t="shared" si="0"/>
        <v>1</v>
      </c>
      <c r="L20" s="620">
        <f>AR26-Table9[[#This Row],['# of Planned Camp]]</f>
        <v>0</v>
      </c>
      <c r="M20" s="46"/>
      <c r="N20" s="46"/>
      <c r="O20" s="46"/>
      <c r="P20" s="1"/>
      <c r="Q20" s="58"/>
      <c r="R20" s="573"/>
      <c r="T20" s="80"/>
      <c r="U20" s="80"/>
      <c r="AG20" s="35"/>
      <c r="AH20" s="35"/>
      <c r="AI20" s="35"/>
      <c r="AJ20" s="35"/>
      <c r="AK20" s="35"/>
      <c r="AL20" s="24"/>
      <c r="AM20" s="25"/>
      <c r="AR20" s="35"/>
      <c r="AS20" s="35"/>
    </row>
    <row r="21" spans="1:45" ht="18.95" customHeight="1" x14ac:dyDescent="0.3">
      <c r="A21" s="57"/>
      <c r="B21" s="46"/>
      <c r="C21" s="46"/>
      <c r="D21" s="46"/>
      <c r="E21" s="46"/>
      <c r="F21" s="46"/>
      <c r="G21" s="46"/>
      <c r="H21" s="625" t="s">
        <v>11</v>
      </c>
      <c r="I21" s="620">
        <f>SUMIFS(Camplist_HH,Camplist_Township,'CCCM Dashboard'!$H21,CampList_Status,"Open")</f>
        <v>0</v>
      </c>
      <c r="J21" s="620">
        <f>SUMIFS(Camplist_Popl,Camplist_Township,'CCCM Dashboard'!$H21,CampList_Status,"Open")</f>
        <v>0</v>
      </c>
      <c r="K21" s="620">
        <f t="shared" si="0"/>
        <v>0</v>
      </c>
      <c r="L21" s="620">
        <f>AR27-Table9[[#This Row],['# of Planned Camp]]</f>
        <v>0</v>
      </c>
      <c r="M21" s="46"/>
      <c r="N21" s="46"/>
      <c r="O21" s="46"/>
      <c r="P21" s="1"/>
      <c r="Q21" s="58"/>
      <c r="T21" s="80"/>
      <c r="U21" s="80"/>
      <c r="AG21" s="23" t="s">
        <v>764</v>
      </c>
      <c r="AI21" s="16"/>
      <c r="AJ21" s="16"/>
      <c r="AK21" s="35"/>
      <c r="AL21" s="24"/>
      <c r="AM21" s="25"/>
      <c r="AR21" s="35"/>
      <c r="AS21" s="35"/>
    </row>
    <row r="22" spans="1:45" ht="18.95" customHeight="1" x14ac:dyDescent="0.3">
      <c r="A22" s="57"/>
      <c r="B22" s="46"/>
      <c r="C22" s="46"/>
      <c r="D22" s="46"/>
      <c r="E22" s="46"/>
      <c r="F22" s="46"/>
      <c r="G22" s="46"/>
      <c r="H22" s="625" t="s">
        <v>1002</v>
      </c>
      <c r="I22" s="620">
        <f>SUMIFS(Camplist_HH,Camplist_Township,'CCCM Dashboard'!$H22,CampList_Status,"Open")</f>
        <v>0</v>
      </c>
      <c r="J22" s="620">
        <f>SUMIFS(Camplist_Popl,Camplist_Township,'CCCM Dashboard'!$H22,CampList_Status,"Open")</f>
        <v>0</v>
      </c>
      <c r="K22" s="620">
        <f t="shared" ref="K22:K27" si="1">AN33</f>
        <v>0</v>
      </c>
      <c r="L22" s="620">
        <f>AR33-Table9[[#This Row],['# of Planned Camp]]</f>
        <v>0</v>
      </c>
      <c r="M22" s="46"/>
      <c r="N22" s="46"/>
      <c r="O22" s="46"/>
      <c r="P22" s="1"/>
      <c r="Q22" s="58"/>
      <c r="T22" s="80"/>
      <c r="U22" s="80"/>
      <c r="AG22" s="22" t="s">
        <v>1</v>
      </c>
      <c r="AH22" s="29" t="s">
        <v>588</v>
      </c>
      <c r="AI22" s="29" t="s">
        <v>589</v>
      </c>
      <c r="AJ22" s="29" t="s">
        <v>590</v>
      </c>
      <c r="AK22" s="29" t="s">
        <v>593</v>
      </c>
      <c r="AL22" s="29" t="s">
        <v>599</v>
      </c>
      <c r="AM22" s="166" t="s">
        <v>5</v>
      </c>
      <c r="AN22" s="168" t="s">
        <v>22</v>
      </c>
      <c r="AO22" s="168" t="s">
        <v>865</v>
      </c>
      <c r="AP22" s="90" t="s">
        <v>23</v>
      </c>
      <c r="AQ22" s="90" t="s">
        <v>808</v>
      </c>
      <c r="AR22" s="35"/>
      <c r="AS22" s="35"/>
    </row>
    <row r="23" spans="1:45" ht="18.95" customHeight="1" x14ac:dyDescent="0.3">
      <c r="A23" s="57"/>
      <c r="B23" s="46"/>
      <c r="C23" s="46"/>
      <c r="D23" s="46"/>
      <c r="E23" s="46"/>
      <c r="F23" s="46"/>
      <c r="G23" s="46"/>
      <c r="H23" s="625" t="s">
        <v>14</v>
      </c>
      <c r="I23" s="620">
        <f>SUMIFS(Camplist_HH,Camplist_Township,'CCCM Dashboard'!$H23,CampList_Status,"Open")</f>
        <v>3640</v>
      </c>
      <c r="J23" s="620">
        <f>SUMIFS(Camplist_Popl,Camplist_Township,'CCCM Dashboard'!$H23,CampList_Status,"Open")</f>
        <v>16034</v>
      </c>
      <c r="K23" s="620">
        <f t="shared" si="1"/>
        <v>4</v>
      </c>
      <c r="L23" s="620">
        <f>AR34-Table9[[#This Row],['# of Planned Camp]]</f>
        <v>0</v>
      </c>
      <c r="M23" s="46"/>
      <c r="N23" s="46"/>
      <c r="O23" s="46"/>
      <c r="P23" s="1"/>
      <c r="Q23" s="58"/>
      <c r="T23" s="80"/>
      <c r="U23" s="80"/>
      <c r="AG23" s="321" t="s">
        <v>607</v>
      </c>
      <c r="AH23" s="36">
        <f>COUNTIFS(Camp_List[TOWNSHIP_NAME],$AG23,Camp_List[Total],"&gt;0",Camp_List[Total],"&lt;=1000", Camp_List[Status],"Open")</f>
        <v>1</v>
      </c>
      <c r="AI23" s="36">
        <f>COUNTIFS(Camp_List[TOWNSHIP_NAME],$AG23,Camp_List[Total],"&gt;1000",Camp_List[Total],"&lt;=5000",Camp_List[Status],"Open")</f>
        <v>1</v>
      </c>
      <c r="AJ23" s="320">
        <f>COUNTIFS(Camp_List[TOWNSHIP_NAME],$AG23,Camp_List[Total],"&gt;5000",Camp_List[Total],"&lt;=10000",Camp_List[Status],"Open")</f>
        <v>0</v>
      </c>
      <c r="AK23" s="320">
        <f>COUNTIFS(Camp_List[TOWNSHIP_NAME],$AG23,Camp_List[Total],"&gt;10000",Camp_List[Total],"&lt;=100000",Camp_List[Status],"Open")</f>
        <v>0</v>
      </c>
      <c r="AL23" s="320">
        <f>COUNTIFS(Camp_List[TOWNSHIP_NAME],$AG23,Camp_List[Total],"",Camp_List[Status],"Open")</f>
        <v>0</v>
      </c>
      <c r="AM23" s="167">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x14ac:dyDescent="0.3">
      <c r="A24" s="57"/>
      <c r="B24" s="420"/>
      <c r="C24" s="46"/>
      <c r="D24" s="46"/>
      <c r="E24" s="46"/>
      <c r="F24" s="46"/>
      <c r="G24" s="46"/>
      <c r="H24" s="625" t="s">
        <v>18</v>
      </c>
      <c r="I24" s="620">
        <f>SUMIFS(Camplist_HH,Camplist_Township,'CCCM Dashboard'!$H24,CampList_Status,"Open")</f>
        <v>75</v>
      </c>
      <c r="J24" s="620">
        <f>SUMIFS(Camplist_Popl,Camplist_Township,'CCCM Dashboard'!$H24,CampList_Status,"Open")</f>
        <v>264</v>
      </c>
      <c r="K24" s="620">
        <f>AN35</f>
        <v>1</v>
      </c>
      <c r="L24" s="620">
        <f>AR35-Table9[[#This Row],['# of Planned Camp]]</f>
        <v>1</v>
      </c>
      <c r="M24" s="46"/>
      <c r="N24" s="46"/>
      <c r="O24" s="46"/>
      <c r="P24" s="1"/>
      <c r="Q24" s="58"/>
      <c r="T24" s="80"/>
      <c r="U24" s="80"/>
      <c r="AG24" s="321" t="s">
        <v>15</v>
      </c>
      <c r="AH24" s="36">
        <f>COUNTIFS(Camp_List[TOWNSHIP_NAME],$AG24,Camp_List[Total],"&gt;0",Camp_List[Total],"&lt;=1000", Camp_List[Status],"Open")</f>
        <v>1</v>
      </c>
      <c r="AI24" s="36">
        <f>COUNTIFS(Camp_List[TOWNSHIP_NAME],$AG24,Camp_List[Total],"&gt;1000",Camp_List[Total],"&lt;=5000",Camp_List[Status],"Open")</f>
        <v>0</v>
      </c>
      <c r="AJ24" s="320">
        <f>COUNTIFS(Camp_List[TOWNSHIP_NAME],$AG24,Camp_List[Total],"&gt;5000",Camp_List[Total],"&lt;=10000",Camp_List[Status],"Open")</f>
        <v>0</v>
      </c>
      <c r="AK24" s="320">
        <f>COUNTIFS(Camp_List[TOWNSHIP_NAME],$AG24,Camp_List[Total],"&gt;10000",Camp_List[Total],"&lt;=100000",Camp_List[Status],"Open")</f>
        <v>0</v>
      </c>
      <c r="AL24" s="320">
        <f>COUNTIFS(Camp_List[TOWNSHIP_NAME],$AG24,Camp_List[Total],"",Camp_List[Status],"Open")</f>
        <v>0</v>
      </c>
      <c r="AM24" s="167">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x14ac:dyDescent="0.3">
      <c r="A25" s="57"/>
      <c r="B25" s="46"/>
      <c r="C25" s="46"/>
      <c r="D25" s="46"/>
      <c r="E25" s="46"/>
      <c r="F25" s="46"/>
      <c r="G25" s="46"/>
      <c r="H25" s="625" t="s">
        <v>16</v>
      </c>
      <c r="I25" s="620">
        <f>SUMIFS(Camplist_HH,Camplist_Township,'CCCM Dashboard'!$H25,CampList_Status,"Open")</f>
        <v>661</v>
      </c>
      <c r="J25" s="620">
        <f>SUMIFS(Camplist_Popl,Camplist_Township,'CCCM Dashboard'!$H25,CampList_Status,"Open")</f>
        <v>3566</v>
      </c>
      <c r="K25" s="620">
        <f t="shared" si="1"/>
        <v>2</v>
      </c>
      <c r="L25" s="620">
        <f>AR36-Table9[[#This Row],['# of Planned Camp]]</f>
        <v>1</v>
      </c>
      <c r="M25" s="46"/>
      <c r="N25" s="46"/>
      <c r="O25" s="46"/>
      <c r="P25" s="1"/>
      <c r="Q25" s="58"/>
      <c r="T25" s="80"/>
      <c r="U25" s="80"/>
      <c r="AG25" s="321" t="s">
        <v>20</v>
      </c>
      <c r="AH25" s="36">
        <f>COUNTIFS(Camp_List[TOWNSHIP_NAME],$AG25,Camp_List[Total],"&gt;0",Camp_List[Total],"&lt;=1000", Camp_List[Status],"Open")</f>
        <v>8</v>
      </c>
      <c r="AI25" s="36">
        <f>COUNTIFS(Camp_List[TOWNSHIP_NAME],$AG25,Camp_List[Total],"&gt;1000",Camp_List[Total],"&lt;=5000",Camp_List[Status],"Open")</f>
        <v>0</v>
      </c>
      <c r="AJ25" s="320">
        <f>COUNTIFS(Camp_List[TOWNSHIP_NAME],$AG25,Camp_List[Total],"&gt;5000",Camp_List[Total],"&lt;=10000",Camp_List[Status],"Open")</f>
        <v>0</v>
      </c>
      <c r="AK25" s="320">
        <f>COUNTIFS(Camp_List[TOWNSHIP_NAME],$AG25,Camp_List[Total],"&gt;10000",Camp_List[Total],"&lt;=100000",Camp_List[Status],"Open")</f>
        <v>0</v>
      </c>
      <c r="AL25" s="320">
        <f>COUNTIFS(Camp_List[TOWNSHIP_NAME],$AG25,Camp_List[Total],"",Camp_List[Status],"Open")</f>
        <v>0</v>
      </c>
      <c r="AM25" s="167">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x14ac:dyDescent="0.3">
      <c r="A26" s="57"/>
      <c r="B26" s="46"/>
      <c r="C26" s="46"/>
      <c r="D26" s="46"/>
      <c r="E26" s="46"/>
      <c r="F26" s="46"/>
      <c r="G26" s="46"/>
      <c r="H26" s="625" t="s">
        <v>19</v>
      </c>
      <c r="I26" s="620">
        <f>SUMIFS(Camplist_HH,Camplist_Township,'CCCM Dashboard'!$H26,CampList_Status,"Open")</f>
        <v>17820</v>
      </c>
      <c r="J26" s="620">
        <f>SUMIFS(Camplist_Popl,Camplist_Township,'CCCM Dashboard'!$H26,CampList_Status,"Open")</f>
        <v>94884</v>
      </c>
      <c r="K26" s="620">
        <f t="shared" si="1"/>
        <v>11</v>
      </c>
      <c r="L26" s="620">
        <f>AR37-Table9[[#This Row],['# of Planned Camp]]</f>
        <v>4</v>
      </c>
      <c r="M26" s="46"/>
      <c r="N26" s="46"/>
      <c r="O26" s="46"/>
      <c r="P26" s="1"/>
      <c r="Q26" s="58"/>
      <c r="T26" s="80"/>
      <c r="U26" s="80"/>
      <c r="AG26" s="321" t="s">
        <v>866</v>
      </c>
      <c r="AH26" s="36">
        <f>COUNTIFS(Camp_List[TOWNSHIP_NAME],$AG26,Camp_List[Total],"&gt;0",Camp_List[Total],"&lt;=1000", Camp_List[Status],"Open")</f>
        <v>0</v>
      </c>
      <c r="AI26" s="36">
        <f>COUNTIFS(Camp_List[TOWNSHIP_NAME],$AG26,Camp_List[Total],"&gt;1000",Camp_List[Total],"&lt;=5000",Camp_List[Status],"Open")</f>
        <v>1</v>
      </c>
      <c r="AJ26" s="320">
        <f>COUNTIFS(Camp_List[TOWNSHIP_NAME],$AG26,Camp_List[Total],"&gt;5000",Camp_List[Total],"&lt;=10000",Camp_List[Status],"Open")</f>
        <v>0</v>
      </c>
      <c r="AK26" s="320">
        <f>COUNTIFS(Camp_List[TOWNSHIP_NAME],$AG26,Camp_List[Total],"&gt;10000",Camp_List[Total],"&lt;=100000",Camp_List[Status],"Open")</f>
        <v>0</v>
      </c>
      <c r="AL26" s="320">
        <f>COUNTIFS(Camp_List[TOWNSHIP_NAME],$AG26,Camp_List[Total],"",Camp_List[Status],"Open")</f>
        <v>0</v>
      </c>
      <c r="AM26" s="167">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x14ac:dyDescent="0.3">
      <c r="A27" s="57"/>
      <c r="B27" s="46"/>
      <c r="C27" s="46"/>
      <c r="D27" s="46"/>
      <c r="E27" s="46"/>
      <c r="F27" s="46"/>
      <c r="G27" s="421"/>
      <c r="H27" s="626" t="s">
        <v>5</v>
      </c>
      <c r="I27" s="621">
        <f>SUM(I17:I26)</f>
        <v>23655</v>
      </c>
      <c r="J27" s="621">
        <f>SUM(J17:J26)</f>
        <v>120699</v>
      </c>
      <c r="K27" s="621">
        <f t="shared" si="1"/>
        <v>21</v>
      </c>
      <c r="L27" s="622">
        <f>AR38-Table9[[#This Row],['# of Planned Camp]]</f>
        <v>15</v>
      </c>
      <c r="M27" s="46"/>
      <c r="N27" s="46"/>
      <c r="O27" s="46"/>
      <c r="P27" s="1"/>
      <c r="Q27" s="58"/>
      <c r="T27" s="80"/>
      <c r="U27" s="80"/>
      <c r="AG27" s="321" t="s">
        <v>11</v>
      </c>
      <c r="AH27" s="36">
        <f>COUNTIFS(Camp_List[TOWNSHIP_NAME],$AG27,Camp_List[Total],"&gt;0",Camp_List[Total],"&lt;=1000", Camp_List[Status],"Open")</f>
        <v>0</v>
      </c>
      <c r="AI27" s="36">
        <f>COUNTIFS(Camp_List[TOWNSHIP_NAME],$AG27,Camp_List[Total],"&gt;1000",Camp_List[Total],"&lt;=5000",Camp_List[Status],"Open")</f>
        <v>0</v>
      </c>
      <c r="AJ27" s="320">
        <f>COUNTIFS(Camp_List[TOWNSHIP_NAME],$AG27,Camp_List[Total],"&gt;5000",Camp_List[Total],"&lt;=10000",Camp_List[Status],"Open")</f>
        <v>0</v>
      </c>
      <c r="AK27" s="320">
        <f>COUNTIFS(Camp_List[TOWNSHIP_NAME],$AG27,Camp_List[Total],"&gt;10000",Camp_List[Total],"&lt;=100000",Camp_List[Status],"Open")</f>
        <v>0</v>
      </c>
      <c r="AL27" s="320">
        <f>COUNTIFS(Camp_List[TOWNSHIP_NAME],$AG27,Camp_List[Total],"",Camp_List[Status],"Open")</f>
        <v>0</v>
      </c>
      <c r="AM27" s="167">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x14ac:dyDescent="0.25">
      <c r="A28" s="57"/>
      <c r="B28" s="46"/>
      <c r="C28" s="46"/>
      <c r="D28" s="46"/>
      <c r="E28" s="46"/>
      <c r="F28" s="46"/>
      <c r="G28" s="421"/>
      <c r="H28" s="616"/>
      <c r="I28" s="617"/>
      <c r="J28" s="617"/>
      <c r="K28" s="617"/>
      <c r="L28" s="617"/>
      <c r="M28" s="46"/>
      <c r="N28" s="46"/>
      <c r="O28" s="46"/>
      <c r="P28" s="1"/>
      <c r="Q28" s="58"/>
      <c r="AG28" s="321"/>
      <c r="AH28" s="36"/>
      <c r="AI28" s="36"/>
      <c r="AJ28" s="320"/>
      <c r="AK28" s="320"/>
      <c r="AL28" s="320"/>
      <c r="AM28" s="167"/>
    </row>
    <row r="29" spans="1:45" s="90" customFormat="1" x14ac:dyDescent="0.25">
      <c r="A29" s="57"/>
      <c r="B29" s="46"/>
      <c r="C29" s="46"/>
      <c r="D29" s="46"/>
      <c r="E29" s="46"/>
      <c r="F29" s="46"/>
      <c r="G29" s="421"/>
      <c r="H29" s="616"/>
      <c r="I29" s="617"/>
      <c r="J29" s="617"/>
      <c r="K29" s="617"/>
      <c r="L29" s="617"/>
      <c r="M29" s="46"/>
      <c r="N29" s="46"/>
      <c r="O29" s="46"/>
      <c r="P29" s="1"/>
      <c r="Q29" s="58"/>
      <c r="AG29" s="321"/>
      <c r="AH29" s="36"/>
      <c r="AI29" s="36"/>
      <c r="AJ29" s="320"/>
      <c r="AK29" s="320"/>
      <c r="AL29" s="320"/>
      <c r="AM29" s="167"/>
    </row>
    <row r="30" spans="1:45" s="90" customFormat="1" x14ac:dyDescent="0.25">
      <c r="A30" s="57"/>
      <c r="B30" s="46"/>
      <c r="C30" s="46"/>
      <c r="D30" s="46"/>
      <c r="E30" s="46"/>
      <c r="F30" s="46"/>
      <c r="G30" s="421"/>
      <c r="H30" s="616"/>
      <c r="I30" s="617"/>
      <c r="J30" s="617"/>
      <c r="K30" s="617"/>
      <c r="L30" s="617"/>
      <c r="M30" s="46"/>
      <c r="N30" s="46"/>
      <c r="O30" s="46"/>
      <c r="P30" s="1"/>
      <c r="Q30" s="58"/>
      <c r="AG30" s="321"/>
      <c r="AH30" s="36"/>
      <c r="AI30" s="36"/>
      <c r="AJ30" s="320"/>
      <c r="AK30" s="320"/>
      <c r="AL30" s="320"/>
      <c r="AM30" s="167"/>
    </row>
    <row r="31" spans="1:45" s="90" customFormat="1" x14ac:dyDescent="0.25">
      <c r="A31" s="57"/>
      <c r="B31" s="46"/>
      <c r="C31" s="46"/>
      <c r="D31" s="46"/>
      <c r="E31" s="46"/>
      <c r="F31" s="46"/>
      <c r="G31" s="421"/>
      <c r="H31" s="616"/>
      <c r="I31" s="617"/>
      <c r="J31" s="617"/>
      <c r="K31" s="617"/>
      <c r="L31" s="617"/>
      <c r="M31" s="46"/>
      <c r="N31" s="46"/>
      <c r="O31" s="46"/>
      <c r="P31" s="1"/>
      <c r="Q31" s="58"/>
      <c r="AG31" s="321"/>
      <c r="AH31" s="36"/>
      <c r="AI31" s="36"/>
      <c r="AJ31" s="320"/>
      <c r="AK31" s="320"/>
      <c r="AL31" s="320"/>
      <c r="AM31" s="167"/>
    </row>
    <row r="32" spans="1:45" s="90" customFormat="1" x14ac:dyDescent="0.25">
      <c r="A32" s="57"/>
      <c r="B32" s="46"/>
      <c r="C32" s="46"/>
      <c r="D32" s="46"/>
      <c r="E32" s="46"/>
      <c r="F32" s="46"/>
      <c r="G32" s="421"/>
      <c r="H32" s="616"/>
      <c r="I32" s="617"/>
      <c r="J32" s="617"/>
      <c r="K32" s="617"/>
      <c r="L32" s="617"/>
      <c r="M32" s="46"/>
      <c r="N32" s="46"/>
      <c r="O32" s="46"/>
      <c r="P32" s="1"/>
      <c r="Q32" s="58"/>
      <c r="AG32" s="321"/>
      <c r="AH32" s="36"/>
      <c r="AI32" s="36"/>
      <c r="AJ32" s="320"/>
      <c r="AK32" s="320"/>
      <c r="AL32" s="320"/>
      <c r="AM32" s="167"/>
    </row>
    <row r="33" spans="1:46" x14ac:dyDescent="0.25">
      <c r="A33" s="432"/>
      <c r="B33" s="46"/>
      <c r="C33" s="46"/>
      <c r="D33" s="46"/>
      <c r="E33" s="46"/>
      <c r="F33" s="46"/>
      <c r="G33" s="421"/>
      <c r="H33" s="421"/>
      <c r="I33" s="421"/>
      <c r="J33" s="422"/>
      <c r="K33" s="422"/>
      <c r="L33" s="422"/>
      <c r="M33" s="46"/>
      <c r="N33" s="46"/>
      <c r="O33" s="46"/>
      <c r="P33" s="46"/>
      <c r="Q33" s="429"/>
      <c r="AG33" s="321" t="s">
        <v>1002</v>
      </c>
      <c r="AH33" s="36">
        <f>COUNTIFS(Camp_List[TOWNSHIP_NAME],$AG33,Camp_List[Total],"&gt;0",Camp_List[Total],"&lt;=1000", Camp_List[Status],"Open")</f>
        <v>0</v>
      </c>
      <c r="AI33" s="36">
        <f>COUNTIFS(Camp_List[TOWNSHIP_NAME],$AG33,Camp_List[Total],"&gt;1000",Camp_List[Total],"&lt;=5000",Camp_List[Status],"Open")</f>
        <v>0</v>
      </c>
      <c r="AJ33" s="320">
        <f>COUNTIFS(Camp_List[TOWNSHIP_NAME],$AG33,Camp_List[Total],"&gt;5000",Camp_List[Total],"&lt;=10000",Camp_List[Status],"Open")</f>
        <v>0</v>
      </c>
      <c r="AK33" s="320">
        <f>COUNTIFS(Camp_List[TOWNSHIP_NAME],$AG33,Camp_List[Total],"&gt;10000",Camp_List[Total],"&lt;=100000",Camp_List[Status],"Open")</f>
        <v>0</v>
      </c>
      <c r="AL33" s="320">
        <f>COUNTIFS(Camp_List[TOWNSHIP_NAME],$AG33,Camp_List[Total],"",Camp_List[Status],"Open")</f>
        <v>0</v>
      </c>
      <c r="AM33" s="167">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x14ac:dyDescent="0.25">
      <c r="A34" s="432"/>
      <c r="B34" s="46"/>
      <c r="C34" s="46"/>
      <c r="D34" s="46"/>
      <c r="E34" s="46"/>
      <c r="F34" s="46"/>
      <c r="G34" s="421"/>
      <c r="H34" s="421"/>
      <c r="I34" s="421"/>
      <c r="J34" s="422"/>
      <c r="K34" s="422"/>
      <c r="L34" s="422"/>
      <c r="M34" s="46"/>
      <c r="N34" s="46"/>
      <c r="O34" s="46"/>
      <c r="P34" s="46"/>
      <c r="Q34" s="429"/>
      <c r="AG34" s="321" t="s">
        <v>14</v>
      </c>
      <c r="AH34" s="36">
        <f>COUNTIFS(Camp_List[TOWNSHIP_NAME],$AG34,Camp_List[Total],"&gt;0",Camp_List[Total],"&lt;=1000", Camp_List[Status],"Open")</f>
        <v>0</v>
      </c>
      <c r="AI34" s="36">
        <f>COUNTIFS(Camp_List[TOWNSHIP_NAME],$AG34,Camp_List[Total],"&gt;1000",Camp_List[Total],"&lt;=5000",Camp_List[Status],"Open")</f>
        <v>3</v>
      </c>
      <c r="AJ34" s="320">
        <f>COUNTIFS(Camp_List[TOWNSHIP_NAME],$AG34,Camp_List[Total],"&gt;5000",Camp_List[Total],"&lt;=10000",Camp_List[Status],"Open")</f>
        <v>1</v>
      </c>
      <c r="AK34" s="320">
        <f>COUNTIFS(Camp_List[TOWNSHIP_NAME],$AG34,Camp_List[Total],"&gt;10000",Camp_List[Total],"&lt;=100000",Camp_List[Status],"Open")</f>
        <v>0</v>
      </c>
      <c r="AL34" s="320">
        <f>COUNTIFS(Camp_List[TOWNSHIP_NAME],$AG34,Camp_List[Total],"",Camp_List[Status],"Open")</f>
        <v>0</v>
      </c>
      <c r="AM34" s="167">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x14ac:dyDescent="0.25">
      <c r="A35" s="432"/>
      <c r="B35" s="46"/>
      <c r="C35" s="46"/>
      <c r="D35" s="46"/>
      <c r="E35" s="46"/>
      <c r="F35" s="46"/>
      <c r="G35" s="421"/>
      <c r="H35" s="46"/>
      <c r="I35" s="46"/>
      <c r="J35" s="46"/>
      <c r="K35" s="46"/>
      <c r="L35" s="46"/>
      <c r="M35" s="46"/>
      <c r="N35" s="46"/>
      <c r="O35" s="46"/>
      <c r="P35" s="46"/>
      <c r="Q35" s="429"/>
      <c r="AG35" s="321" t="s">
        <v>18</v>
      </c>
      <c r="AH35" s="36">
        <f>COUNTIFS(Camp_List[TOWNSHIP_NAME],$AG35,Camp_List[Total],"&gt;0",Camp_List[Total],"&lt;=1000", Camp_List[Status],"Open")</f>
        <v>2</v>
      </c>
      <c r="AI35" s="36">
        <f>COUNTIFS(Camp_List[TOWNSHIP_NAME],$AG35,Camp_List[Total],"&gt;1000",Camp_List[Total],"&lt;=5000",Camp_List[Status],"Open")</f>
        <v>0</v>
      </c>
      <c r="AJ35" s="320">
        <f>COUNTIFS(Camp_List[TOWNSHIP_NAME],$AG35,Camp_List[Total],"&gt;5000",Camp_List[Total],"&lt;=10000",Camp_List[Status],"Open")</f>
        <v>0</v>
      </c>
      <c r="AK35" s="320">
        <f>COUNTIFS(Camp_List[TOWNSHIP_NAME],$AG35,Camp_List[Total],"&gt;10000",Camp_List[Total],"&lt;=100000",Camp_List[Status],"Open")</f>
        <v>0</v>
      </c>
      <c r="AL35" s="320">
        <f>COUNTIFS(Camp_List[TOWNSHIP_NAME],$AG35,Camp_List[Total],"",Camp_List[Status],"Open")</f>
        <v>0</v>
      </c>
      <c r="AM35" s="167">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x14ac:dyDescent="0.25">
      <c r="A36" s="432"/>
      <c r="B36" s="46"/>
      <c r="C36" s="46"/>
      <c r="D36" s="46"/>
      <c r="E36" s="46"/>
      <c r="F36" s="46"/>
      <c r="G36" s="421"/>
      <c r="H36" s="46"/>
      <c r="I36" s="46"/>
      <c r="J36" s="46"/>
      <c r="K36" s="46"/>
      <c r="L36" s="46"/>
      <c r="M36" s="46"/>
      <c r="N36" s="46"/>
      <c r="O36" s="46"/>
      <c r="P36" s="46"/>
      <c r="Q36" s="429"/>
      <c r="AG36" s="321" t="s">
        <v>16</v>
      </c>
      <c r="AH36" s="36">
        <f>COUNTIFS(Camp_List[TOWNSHIP_NAME],$AG36,Camp_List[Total],"&gt;0",Camp_List[Total],"&lt;=1000", Camp_List[Status],"Open")</f>
        <v>1</v>
      </c>
      <c r="AI36" s="36">
        <f>COUNTIFS(Camp_List[TOWNSHIP_NAME],$AG36,Camp_List[Total],"&gt;1000",Camp_List[Total],"&lt;=5000",Camp_List[Status],"Open")</f>
        <v>2</v>
      </c>
      <c r="AJ36" s="320">
        <f>COUNTIFS(Camp_List[TOWNSHIP_NAME],$AG36,Camp_List[Total],"&gt;5000",Camp_List[Total],"&lt;=10000",Camp_List[Status],"Open")</f>
        <v>0</v>
      </c>
      <c r="AK36" s="320">
        <f>COUNTIFS(Camp_List[TOWNSHIP_NAME],$AG36,Camp_List[Total],"&gt;10000",Camp_List[Total],"&lt;=100000",Camp_List[Status],"Open")</f>
        <v>0</v>
      </c>
      <c r="AL36" s="320">
        <f>COUNTIFS(Camp_List[TOWNSHIP_NAME],$AG36,Camp_List[Total],"",Camp_List[Status],"Open")</f>
        <v>0</v>
      </c>
      <c r="AM36" s="167">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x14ac:dyDescent="0.25">
      <c r="A37" s="432"/>
      <c r="B37" s="46"/>
      <c r="C37" s="46"/>
      <c r="D37" s="46"/>
      <c r="E37" s="46"/>
      <c r="F37" s="46"/>
      <c r="G37" s="421"/>
      <c r="H37" s="46"/>
      <c r="I37" s="46"/>
      <c r="J37" s="46"/>
      <c r="K37" s="46"/>
      <c r="L37" s="46"/>
      <c r="M37" s="46"/>
      <c r="N37" s="46"/>
      <c r="O37" s="46"/>
      <c r="P37" s="46"/>
      <c r="Q37" s="429"/>
      <c r="AG37" s="321" t="s">
        <v>19</v>
      </c>
      <c r="AH37" s="36">
        <f>COUNTIFS(Camp_List[TOWNSHIP_NAME],$AG37,Camp_List[Total],"&gt;0",Camp_List[Total],"&lt;=1000", Camp_List[Status],"Open")</f>
        <v>1</v>
      </c>
      <c r="AI37" s="36">
        <f>COUNTIFS(Camp_List[TOWNSHIP_NAME],$AG37,Camp_List[Total],"&gt;1000",Camp_List[Total],"&lt;=5000",Camp_List[Status],"Open")</f>
        <v>7</v>
      </c>
      <c r="AJ37" s="320">
        <f>COUNTIFS(Camp_List[TOWNSHIP_NAME],$AG37,Camp_List[Total],"&gt;5000",Camp_List[Total],"&lt;=10000",Camp_List[Status],"Open")</f>
        <v>3</v>
      </c>
      <c r="AK37" s="320">
        <f>COUNTIFS(Camp_List[TOWNSHIP_NAME],$AG37,Camp_List[Total],"&gt;10000",Camp_List[Total],"&lt;=100000",Camp_List[Status],"Open")</f>
        <v>4</v>
      </c>
      <c r="AL37" s="320">
        <f>COUNTIFS(Camp_List[TOWNSHIP_NAME],$AG37,Camp_List[Total],"",Camp_List[Status],"Open")</f>
        <v>0</v>
      </c>
      <c r="AM37" s="167">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x14ac:dyDescent="0.25">
      <c r="A38" s="432"/>
      <c r="B38" s="46"/>
      <c r="C38" s="46"/>
      <c r="D38" s="46"/>
      <c r="E38" s="46"/>
      <c r="F38" s="46"/>
      <c r="G38" s="46"/>
      <c r="H38" s="46"/>
      <c r="I38" s="46"/>
      <c r="J38" s="46"/>
      <c r="K38" s="46"/>
      <c r="L38" s="46"/>
      <c r="M38" s="46"/>
      <c r="N38" s="46"/>
      <c r="O38" s="46"/>
      <c r="P38" s="46"/>
      <c r="Q38" s="429"/>
      <c r="AG38" s="330" t="s">
        <v>5</v>
      </c>
      <c r="AH38" s="567">
        <f>SUM(AH23:AH37)</f>
        <v>14</v>
      </c>
      <c r="AI38" s="567">
        <f>SUM(AI23:AI37)</f>
        <v>14</v>
      </c>
      <c r="AJ38" s="329">
        <f t="shared" ref="AJ38:AR38" si="4">SUM(AJ23:AJ37)</f>
        <v>4</v>
      </c>
      <c r="AK38" s="329">
        <f t="shared" si="4"/>
        <v>4</v>
      </c>
      <c r="AL38" s="566">
        <f t="shared" si="4"/>
        <v>0</v>
      </c>
      <c r="AM38" s="167">
        <f>SUM(AM23:AM37)</f>
        <v>36</v>
      </c>
      <c r="AN38" s="297">
        <f>SUM(AN23:AN37)</f>
        <v>21</v>
      </c>
      <c r="AO38" s="167">
        <f>SUM(AO23:AO37)</f>
        <v>0</v>
      </c>
      <c r="AP38" s="90">
        <f>SUM(AP23:AP37)</f>
        <v>12</v>
      </c>
      <c r="AQ38" s="90">
        <f>SUM(AQ23:AQ37)</f>
        <v>3</v>
      </c>
      <c r="AR38" s="167">
        <f t="shared" si="4"/>
        <v>36</v>
      </c>
      <c r="AS38" s="167"/>
      <c r="AT38" s="65"/>
    </row>
    <row r="39" spans="1:46" x14ac:dyDescent="0.25">
      <c r="A39" s="432"/>
      <c r="B39" s="46"/>
      <c r="C39" s="46"/>
      <c r="D39" s="46"/>
      <c r="E39" s="46"/>
      <c r="F39" s="46"/>
      <c r="G39" s="46"/>
      <c r="H39" s="46"/>
      <c r="I39" s="46"/>
      <c r="J39" s="46"/>
      <c r="K39" s="46"/>
      <c r="L39" s="46"/>
      <c r="M39" s="46"/>
      <c r="N39" s="46"/>
      <c r="O39" s="46"/>
      <c r="P39" s="46"/>
      <c r="Q39" s="429"/>
      <c r="U39" s="80"/>
      <c r="AH39" s="35"/>
      <c r="AI39" s="35"/>
      <c r="AJ39" s="35"/>
      <c r="AK39" s="35"/>
      <c r="AL39" s="35"/>
      <c r="AM39" s="35"/>
      <c r="AN39" s="35"/>
      <c r="AO39" s="35"/>
    </row>
    <row r="40" spans="1:46" x14ac:dyDescent="0.25">
      <c r="A40" s="432"/>
      <c r="B40" s="46"/>
      <c r="C40" s="46"/>
      <c r="D40" s="46"/>
      <c r="E40" s="46"/>
      <c r="F40" s="46"/>
      <c r="G40" s="46"/>
      <c r="H40" s="46"/>
      <c r="I40" s="46"/>
      <c r="J40" s="46"/>
      <c r="K40" s="46"/>
      <c r="L40" s="46"/>
      <c r="M40" s="46"/>
      <c r="N40" s="46"/>
      <c r="O40" s="46"/>
      <c r="P40" s="46"/>
      <c r="Q40" s="429"/>
      <c r="U40" s="80"/>
      <c r="AH40" s="35"/>
      <c r="AO40" s="35"/>
    </row>
    <row r="41" spans="1:46" s="90" customFormat="1" x14ac:dyDescent="0.25">
      <c r="A41" s="432"/>
      <c r="B41" s="46"/>
      <c r="C41" s="46"/>
      <c r="D41" s="46"/>
      <c r="E41" s="46"/>
      <c r="F41" s="46"/>
      <c r="G41" s="46"/>
      <c r="H41" s="46"/>
      <c r="I41" s="46"/>
      <c r="J41" s="46"/>
      <c r="K41" s="46"/>
      <c r="L41" s="46"/>
      <c r="M41" s="46"/>
      <c r="N41" s="46"/>
      <c r="O41" s="46"/>
      <c r="P41" s="46"/>
      <c r="Q41" s="429"/>
      <c r="AI41" s="80"/>
      <c r="AJ41" s="80"/>
      <c r="AK41" s="80"/>
      <c r="AL41" s="80"/>
      <c r="AM41" s="80"/>
      <c r="AN41" s="80"/>
      <c r="AO41" s="35"/>
      <c r="AP41" s="80"/>
      <c r="AQ41" s="80"/>
      <c r="AR41" s="80"/>
      <c r="AS41" s="80"/>
    </row>
    <row r="42" spans="1:46" ht="63.75" customHeight="1" x14ac:dyDescent="0.25">
      <c r="A42" s="432"/>
      <c r="B42" s="46"/>
      <c r="C42" s="46"/>
      <c r="D42" s="46"/>
      <c r="E42" s="46"/>
      <c r="F42" s="46"/>
      <c r="G42" s="46"/>
      <c r="H42" s="46"/>
      <c r="I42" s="46"/>
      <c r="J42" s="46"/>
      <c r="K42" s="46"/>
      <c r="L42" s="46"/>
      <c r="M42" s="46"/>
      <c r="N42" s="46"/>
      <c r="O42" s="46"/>
      <c r="P42" s="46"/>
      <c r="Q42" s="429"/>
      <c r="U42" s="80"/>
      <c r="AH42" s="35"/>
      <c r="AO42" s="35"/>
    </row>
    <row r="43" spans="1:46" s="90" customFormat="1" ht="6.75" customHeight="1" x14ac:dyDescent="0.25">
      <c r="A43" s="432"/>
      <c r="B43" s="46"/>
      <c r="C43" s="46"/>
      <c r="D43" s="46"/>
      <c r="E43" s="46"/>
      <c r="F43" s="46"/>
      <c r="G43" s="423"/>
      <c r="H43" s="423"/>
      <c r="I43" s="423"/>
      <c r="J43" s="423"/>
      <c r="K43" s="423"/>
      <c r="L43" s="423"/>
      <c r="M43" s="46"/>
      <c r="N43" s="46"/>
      <c r="O43" s="46"/>
      <c r="P43" s="46"/>
      <c r="Q43" s="429"/>
      <c r="AI43" s="80"/>
      <c r="AJ43" s="80"/>
      <c r="AK43" s="80"/>
      <c r="AL43" s="80"/>
      <c r="AM43" s="80"/>
      <c r="AN43" s="80"/>
      <c r="AO43" s="35"/>
      <c r="AP43" s="80"/>
      <c r="AQ43" s="80"/>
      <c r="AR43" s="80"/>
      <c r="AS43" s="80"/>
    </row>
    <row r="44" spans="1:46" x14ac:dyDescent="0.25">
      <c r="A44" s="432"/>
      <c r="B44" s="46"/>
      <c r="C44" s="46"/>
      <c r="D44" s="46"/>
      <c r="E44" s="46"/>
      <c r="F44" s="46"/>
      <c r="G44" s="46"/>
      <c r="H44" s="46"/>
      <c r="I44" s="46"/>
      <c r="J44" s="46"/>
      <c r="K44" s="46"/>
      <c r="L44" s="46"/>
      <c r="M44" s="46"/>
      <c r="N44" s="46"/>
      <c r="O44" s="46"/>
      <c r="P44" s="46"/>
      <c r="Q44" s="429"/>
      <c r="AO44" s="35"/>
    </row>
    <row r="45" spans="1:46" x14ac:dyDescent="0.25">
      <c r="A45" s="432"/>
      <c r="B45" s="46"/>
      <c r="C45" s="46"/>
      <c r="D45" s="46"/>
      <c r="E45" s="46"/>
      <c r="F45" s="46"/>
      <c r="G45" s="46"/>
      <c r="H45" s="46"/>
      <c r="I45" s="46"/>
      <c r="J45" s="46"/>
      <c r="K45" s="46"/>
      <c r="L45" s="46"/>
      <c r="M45" s="46"/>
      <c r="N45" s="46"/>
      <c r="O45" s="46"/>
      <c r="P45" s="46"/>
      <c r="Q45" s="429"/>
      <c r="AO45" s="35"/>
    </row>
    <row r="46" spans="1:46" ht="3.75" customHeight="1" x14ac:dyDescent="0.25">
      <c r="A46" s="432"/>
      <c r="B46" s="46"/>
      <c r="C46" s="46"/>
      <c r="D46" s="46"/>
      <c r="E46" s="46"/>
      <c r="F46" s="46"/>
      <c r="G46" s="46"/>
      <c r="H46" s="46"/>
      <c r="I46" s="46"/>
      <c r="J46" s="46"/>
      <c r="K46" s="46"/>
      <c r="L46" s="46"/>
      <c r="M46" s="46"/>
      <c r="N46" s="46"/>
      <c r="O46" s="46"/>
      <c r="P46" s="46"/>
      <c r="Q46" s="429"/>
      <c r="AO46" s="35"/>
    </row>
    <row r="47" spans="1:46" x14ac:dyDescent="0.25">
      <c r="A47" s="432"/>
      <c r="B47" s="46"/>
      <c r="C47" s="46"/>
      <c r="D47" s="46"/>
      <c r="E47" s="46"/>
      <c r="F47" s="46"/>
      <c r="G47" s="46"/>
      <c r="H47" s="46"/>
      <c r="I47" s="46"/>
      <c r="J47" s="46"/>
      <c r="K47" s="46"/>
      <c r="L47" s="46"/>
      <c r="M47" s="46"/>
      <c r="N47" s="46"/>
      <c r="O47" s="46"/>
      <c r="P47" s="46"/>
      <c r="Q47" s="429"/>
      <c r="AO47" s="35"/>
    </row>
    <row r="48" spans="1:46" x14ac:dyDescent="0.25">
      <c r="A48" s="1016"/>
      <c r="B48" s="1017"/>
      <c r="C48" s="1017"/>
      <c r="D48" s="1017"/>
      <c r="E48" s="1017"/>
      <c r="F48" s="1017"/>
      <c r="G48" s="1017"/>
      <c r="H48" s="1017"/>
      <c r="I48" s="1017"/>
      <c r="J48" s="1017"/>
      <c r="K48" s="1017"/>
      <c r="L48" s="1017"/>
      <c r="M48" s="1017"/>
      <c r="N48" s="1017"/>
      <c r="O48" s="1017"/>
      <c r="P48" s="1017"/>
      <c r="Q48" s="1018"/>
      <c r="AO48" s="35"/>
    </row>
    <row r="49" spans="1:41" x14ac:dyDescent="0.25">
      <c r="A49" s="1016"/>
      <c r="B49" s="1017"/>
      <c r="C49" s="1017"/>
      <c r="D49" s="1017"/>
      <c r="E49" s="1017"/>
      <c r="F49" s="1017"/>
      <c r="G49" s="1017"/>
      <c r="H49" s="1017"/>
      <c r="I49" s="1017"/>
      <c r="J49" s="1017"/>
      <c r="K49" s="1017"/>
      <c r="L49" s="1017"/>
      <c r="M49" s="1017"/>
      <c r="N49" s="1017"/>
      <c r="O49" s="1017"/>
      <c r="P49" s="1017"/>
      <c r="Q49" s="1018"/>
      <c r="AO49" s="35"/>
    </row>
    <row r="50" spans="1:41" ht="15.75" thickBot="1" x14ac:dyDescent="0.3">
      <c r="A50" s="1019"/>
      <c r="B50" s="1020"/>
      <c r="C50" s="1020"/>
      <c r="D50" s="1020"/>
      <c r="E50" s="1020"/>
      <c r="F50" s="1020"/>
      <c r="G50" s="1020"/>
      <c r="H50" s="1020"/>
      <c r="I50" s="1020"/>
      <c r="J50" s="1020"/>
      <c r="K50" s="1020"/>
      <c r="L50" s="1020"/>
      <c r="M50" s="1020"/>
      <c r="N50" s="1020"/>
      <c r="O50" s="1020"/>
      <c r="P50" s="1020"/>
      <c r="Q50" s="1021"/>
      <c r="AO50" s="35"/>
    </row>
    <row r="51" spans="1:41" x14ac:dyDescent="0.25">
      <c r="AO51" s="35"/>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 right="0.157" top="0.157" bottom="0.157" header="0" footer="0"/>
  <pageSetup paperSize="9" scale="65"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x14ac:dyDescent="0.25"/>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x14ac:dyDescent="0.3">
      <c r="O1" s="19"/>
      <c r="P1" s="19"/>
      <c r="S1" s="19">
        <v>19</v>
      </c>
      <c r="T1" s="132" t="s">
        <v>535</v>
      </c>
      <c r="U1" s="133"/>
      <c r="V1" s="133"/>
      <c r="W1" s="133"/>
      <c r="X1" s="133"/>
      <c r="Y1" s="133"/>
      <c r="Z1" s="133"/>
      <c r="AA1" s="134" t="s">
        <v>239</v>
      </c>
      <c r="AB1" s="132" t="s">
        <v>240</v>
      </c>
      <c r="AC1" s="133"/>
      <c r="AD1" s="88"/>
      <c r="CT1" s="5"/>
      <c r="CU1" s="5"/>
      <c r="CV1" s="5"/>
      <c r="CW1" s="5"/>
      <c r="CX1" s="5"/>
      <c r="CY1" s="5"/>
      <c r="CZ1" s="5"/>
      <c r="DA1" s="5"/>
      <c r="DB1" s="5"/>
      <c r="DC1" s="5"/>
      <c r="DD1" s="5"/>
      <c r="DE1" s="5"/>
      <c r="DF1" s="5"/>
      <c r="DG1" s="5"/>
      <c r="DH1" s="5"/>
    </row>
    <row r="2" spans="15:112" ht="15" x14ac:dyDescent="0.25">
      <c r="O2" s="19"/>
      <c r="P2" s="19"/>
      <c r="S2" s="19">
        <v>92.8</v>
      </c>
      <c r="T2" s="135" t="s">
        <v>565</v>
      </c>
      <c r="U2" s="136" t="s">
        <v>1</v>
      </c>
      <c r="V2" s="136" t="s">
        <v>567</v>
      </c>
      <c r="W2" s="137" t="s">
        <v>566</v>
      </c>
      <c r="X2" s="135" t="s">
        <v>570</v>
      </c>
      <c r="Y2" s="136" t="s">
        <v>571</v>
      </c>
      <c r="Z2" s="138" t="s">
        <v>707</v>
      </c>
      <c r="AA2" s="139" t="s">
        <v>234</v>
      </c>
      <c r="AB2" s="140" t="s">
        <v>536</v>
      </c>
      <c r="AC2" s="136" t="s">
        <v>537</v>
      </c>
      <c r="AD2" s="141" t="s">
        <v>538</v>
      </c>
      <c r="AE2" s="86" t="s">
        <v>568</v>
      </c>
      <c r="AF2" s="85" t="s">
        <v>569</v>
      </c>
      <c r="AG2" s="142" t="s">
        <v>708</v>
      </c>
      <c r="CT2" s="5"/>
      <c r="CU2" s="5"/>
      <c r="CV2" s="5"/>
      <c r="CW2" s="5"/>
      <c r="CX2" s="5"/>
      <c r="CY2" s="5"/>
      <c r="CZ2" s="5"/>
      <c r="DA2" s="5"/>
      <c r="DB2" s="5"/>
      <c r="DC2" s="5"/>
      <c r="DD2" s="5"/>
      <c r="DE2" s="5"/>
      <c r="DF2" s="5"/>
      <c r="DG2" s="5"/>
      <c r="DH2" s="5"/>
    </row>
    <row r="3" spans="15:112" ht="15" x14ac:dyDescent="0.25">
      <c r="O3" s="19"/>
      <c r="P3" s="19"/>
      <c r="S3" s="19">
        <v>600</v>
      </c>
      <c r="T3" s="143" t="s">
        <v>709</v>
      </c>
      <c r="U3" s="144" t="str">
        <f>'CCCM Dashboard'!H17</f>
        <v>Kyaukpyu</v>
      </c>
      <c r="V3" s="81">
        <v>93.5</v>
      </c>
      <c r="W3" s="83">
        <v>19.315330739299597</v>
      </c>
      <c r="X3" s="144">
        <f>'CCCM Dashboard'!I17</f>
        <v>492</v>
      </c>
      <c r="Y3" s="144">
        <f>'CCCM Dashboard'!J17</f>
        <v>1601</v>
      </c>
      <c r="Z3" s="144">
        <f>'CCCM Dashboard'!K17</f>
        <v>2</v>
      </c>
      <c r="AA3" s="145">
        <f ca="1">'Shelter Coverage &amp; Gaps'!G18</f>
        <v>0.97560975609756095</v>
      </c>
      <c r="AB3" s="145">
        <v>0</v>
      </c>
      <c r="AC3" s="145">
        <v>0</v>
      </c>
      <c r="AD3" s="78">
        <v>0</v>
      </c>
      <c r="AE3" s="146">
        <f t="shared" ref="AE3:AE12" si="0">$S$3-ROUND((W3-$S$1)*$S$5,0)</f>
        <v>521</v>
      </c>
      <c r="AF3" s="147">
        <f t="shared" ref="AF3:AF12" si="1">ROUND((V3-$S$2)*$S$5,0)+$S$4</f>
        <v>325</v>
      </c>
      <c r="AG3" s="148">
        <v>13</v>
      </c>
      <c r="CT3" s="5"/>
      <c r="CU3" s="5"/>
      <c r="CV3" s="5"/>
      <c r="CW3" s="5"/>
      <c r="CX3" s="5"/>
      <c r="CY3" s="5"/>
      <c r="CZ3" s="5"/>
      <c r="DA3" s="5"/>
      <c r="DB3" s="5"/>
      <c r="DC3" s="5"/>
      <c r="DD3" s="5"/>
      <c r="DE3" s="5"/>
      <c r="DF3" s="5"/>
      <c r="DG3" s="5"/>
      <c r="DH3" s="5"/>
    </row>
    <row r="4" spans="15:112" ht="15" x14ac:dyDescent="0.25">
      <c r="O4" s="19"/>
      <c r="P4" s="19"/>
      <c r="S4" s="19">
        <v>150</v>
      </c>
      <c r="T4" s="149" t="s">
        <v>710</v>
      </c>
      <c r="U4" s="144" t="str">
        <f>'CCCM Dashboard'!H18</f>
        <v>Kyauktaw</v>
      </c>
      <c r="V4" s="81">
        <v>92.954056224899546</v>
      </c>
      <c r="W4" s="83">
        <v>20.835542168674699</v>
      </c>
      <c r="X4" s="144">
        <f>'CCCM Dashboard'!I18</f>
        <v>85</v>
      </c>
      <c r="Y4" s="144">
        <f>'CCCM Dashboard'!J18</f>
        <v>546</v>
      </c>
      <c r="Z4" s="144">
        <f>'CCCM Dashboard'!K18</f>
        <v>0</v>
      </c>
      <c r="AA4" s="145">
        <f ca="1">'Shelter Coverage &amp; Gaps'!G19</f>
        <v>7.1928071928071935E-2</v>
      </c>
      <c r="AB4" s="145">
        <v>1</v>
      </c>
      <c r="AC4" s="145">
        <v>0</v>
      </c>
      <c r="AD4" s="78">
        <v>0.95387840670859536</v>
      </c>
      <c r="AE4" s="146">
        <f t="shared" si="0"/>
        <v>141</v>
      </c>
      <c r="AF4" s="147">
        <f t="shared" si="1"/>
        <v>189</v>
      </c>
      <c r="AG4" s="148">
        <v>6</v>
      </c>
      <c r="CT4" s="5"/>
      <c r="CU4" s="5"/>
      <c r="CV4" s="5"/>
      <c r="CW4" s="5"/>
      <c r="CX4" s="5"/>
      <c r="CY4" s="5"/>
      <c r="CZ4" s="5"/>
      <c r="DA4" s="5"/>
      <c r="DB4" s="5"/>
      <c r="DC4" s="5"/>
      <c r="DD4" s="5"/>
      <c r="DE4" s="5"/>
      <c r="DF4" s="5"/>
      <c r="DG4" s="5"/>
      <c r="DH4" s="5"/>
    </row>
    <row r="5" spans="15:112" ht="15" x14ac:dyDescent="0.25">
      <c r="O5" s="19"/>
      <c r="P5" s="19"/>
      <c r="S5" s="19">
        <v>250</v>
      </c>
      <c r="T5" s="143" t="s">
        <v>711</v>
      </c>
      <c r="U5" s="144" t="str">
        <f>'CCCM Dashboard'!H19</f>
        <v>Maungdaw</v>
      </c>
      <c r="V5" s="81">
        <v>92.3</v>
      </c>
      <c r="W5" s="83">
        <v>20.89</v>
      </c>
      <c r="X5" s="144">
        <f>'CCCM Dashboard'!I19</f>
        <v>184</v>
      </c>
      <c r="Y5" s="144">
        <f>'CCCM Dashboard'!J19</f>
        <v>1148</v>
      </c>
      <c r="Z5" s="144">
        <f>'CCCM Dashboard'!K19</f>
        <v>0</v>
      </c>
      <c r="AA5" s="145">
        <f ca="1">'Shelter Coverage &amp; Gaps'!G20</f>
        <v>0</v>
      </c>
      <c r="AB5" s="145">
        <v>0.69172932330827064</v>
      </c>
      <c r="AC5" s="145">
        <v>0</v>
      </c>
      <c r="AD5" s="78">
        <v>1</v>
      </c>
      <c r="AE5" s="146">
        <f t="shared" si="0"/>
        <v>127</v>
      </c>
      <c r="AF5" s="147">
        <f t="shared" si="1"/>
        <v>25</v>
      </c>
      <c r="AG5" s="148">
        <v>24</v>
      </c>
      <c r="CT5" s="5"/>
      <c r="CU5" s="5"/>
      <c r="CV5" s="5"/>
      <c r="CW5" s="5"/>
      <c r="CX5" s="5"/>
      <c r="CY5" s="5"/>
      <c r="CZ5" s="5"/>
      <c r="DA5" s="5"/>
      <c r="DB5" s="5"/>
      <c r="DC5" s="5"/>
      <c r="DD5" s="5"/>
      <c r="DE5" s="5"/>
      <c r="DF5" s="5"/>
      <c r="DG5" s="5"/>
      <c r="DH5" s="5"/>
    </row>
    <row r="6" spans="15:112" ht="15" x14ac:dyDescent="0.25">
      <c r="O6" s="19"/>
      <c r="P6" s="19"/>
      <c r="T6" s="149"/>
      <c r="U6" s="144" t="str">
        <f>'CCCM Dashboard'!H20</f>
        <v>Myebon</v>
      </c>
      <c r="V6" s="81">
        <v>93.45</v>
      </c>
      <c r="W6" s="83">
        <v>19.899999999999999</v>
      </c>
      <c r="X6" s="144">
        <f>'CCCM Dashboard'!I20</f>
        <v>698</v>
      </c>
      <c r="Y6" s="144">
        <f>'CCCM Dashboard'!J20</f>
        <v>2656</v>
      </c>
      <c r="Z6" s="144">
        <f>'CCCM Dashboard'!K20</f>
        <v>1</v>
      </c>
      <c r="AA6" s="145">
        <f ca="1">'Shelter Coverage &amp; Gaps'!G21</f>
        <v>0.9621621621621621</v>
      </c>
      <c r="AB6" s="145"/>
      <c r="AC6" s="145"/>
      <c r="AD6" s="78"/>
      <c r="AE6" s="146">
        <f t="shared" si="0"/>
        <v>375</v>
      </c>
      <c r="AF6" s="147">
        <f t="shared" si="1"/>
        <v>313</v>
      </c>
      <c r="AG6" s="148">
        <v>1</v>
      </c>
      <c r="AI6" s="19"/>
      <c r="CT6" s="5"/>
      <c r="CU6" s="5"/>
      <c r="CV6" s="5"/>
      <c r="CW6" s="5"/>
      <c r="CX6" s="5"/>
      <c r="CY6" s="5"/>
      <c r="CZ6" s="5"/>
      <c r="DA6" s="5"/>
      <c r="DB6" s="5"/>
      <c r="DC6" s="5"/>
      <c r="DD6" s="5"/>
      <c r="DE6" s="5"/>
      <c r="DF6" s="5"/>
      <c r="DG6" s="5"/>
      <c r="DH6" s="5"/>
    </row>
    <row r="7" spans="15:112" ht="15" x14ac:dyDescent="0.25">
      <c r="O7" s="19"/>
      <c r="P7" s="19"/>
      <c r="T7" s="149" t="s">
        <v>712</v>
      </c>
      <c r="U7" s="144" t="str">
        <f>'CCCM Dashboard'!H21</f>
        <v>Minbya</v>
      </c>
      <c r="V7" s="81">
        <v>93.42</v>
      </c>
      <c r="W7" s="83">
        <v>20.39</v>
      </c>
      <c r="X7" s="144">
        <f>'CCCM Dashboard'!I21</f>
        <v>0</v>
      </c>
      <c r="Y7" s="144">
        <f>'CCCM Dashboard'!J21</f>
        <v>0</v>
      </c>
      <c r="Z7" s="144">
        <f>'CCCM Dashboard'!K21</f>
        <v>0</v>
      </c>
      <c r="AA7" s="145">
        <f ca="1">'Shelter Coverage &amp; Gaps'!G22</f>
        <v>0</v>
      </c>
      <c r="AB7" s="145">
        <v>0</v>
      </c>
      <c r="AC7" s="145">
        <v>0</v>
      </c>
      <c r="AD7" s="78">
        <v>0</v>
      </c>
      <c r="AE7" s="146">
        <f t="shared" si="0"/>
        <v>252</v>
      </c>
      <c r="AF7" s="147">
        <f t="shared" si="1"/>
        <v>305</v>
      </c>
      <c r="AG7" s="148">
        <v>1</v>
      </c>
      <c r="CT7" s="5"/>
      <c r="CU7" s="5"/>
      <c r="CV7" s="5"/>
      <c r="CW7" s="5"/>
      <c r="CX7" s="5"/>
      <c r="CY7" s="5"/>
      <c r="CZ7" s="5"/>
      <c r="DA7" s="5"/>
      <c r="DB7" s="5"/>
      <c r="DC7" s="5"/>
      <c r="DD7" s="5"/>
      <c r="DE7" s="5"/>
      <c r="DF7" s="5"/>
      <c r="DG7" s="5"/>
      <c r="DH7" s="5"/>
    </row>
    <row r="8" spans="15:112" ht="15" x14ac:dyDescent="0.25">
      <c r="O8" s="19"/>
      <c r="P8" s="19"/>
      <c r="T8" s="143" t="s">
        <v>713</v>
      </c>
      <c r="U8" s="144" t="str">
        <f>'CCCM Dashboard'!H22</f>
        <v>Mrauk-U</v>
      </c>
      <c r="V8" s="81">
        <v>93.171744680851077</v>
      </c>
      <c r="W8" s="83">
        <v>20.580936170212777</v>
      </c>
      <c r="X8" s="144">
        <f>'CCCM Dashboard'!I22</f>
        <v>0</v>
      </c>
      <c r="Y8" s="144">
        <f>'CCCM Dashboard'!J22</f>
        <v>0</v>
      </c>
      <c r="Z8" s="144">
        <f>'CCCM Dashboard'!K22</f>
        <v>0</v>
      </c>
      <c r="AA8" s="145">
        <f ca="1">'Shelter Coverage &amp; Gaps'!G23</f>
        <v>0</v>
      </c>
      <c r="AB8" s="145">
        <v>0</v>
      </c>
      <c r="AC8" s="145">
        <v>0</v>
      </c>
      <c r="AD8" s="78">
        <v>0</v>
      </c>
      <c r="AE8" s="146">
        <f t="shared" si="0"/>
        <v>205</v>
      </c>
      <c r="AF8" s="147">
        <f t="shared" si="1"/>
        <v>243</v>
      </c>
      <c r="AG8" s="148">
        <v>1</v>
      </c>
      <c r="CT8" s="5"/>
      <c r="CU8" s="5"/>
      <c r="CV8" s="5"/>
      <c r="CW8" s="5"/>
      <c r="CX8" s="5"/>
      <c r="CY8" s="5"/>
      <c r="CZ8" s="5"/>
      <c r="DA8" s="5"/>
      <c r="DB8" s="5"/>
      <c r="DC8" s="5"/>
      <c r="DD8" s="5"/>
      <c r="DE8" s="5"/>
      <c r="DF8" s="5"/>
      <c r="DG8" s="5"/>
      <c r="DH8" s="5"/>
    </row>
    <row r="9" spans="15:112" ht="15" x14ac:dyDescent="0.25">
      <c r="O9" s="19"/>
      <c r="P9" s="19"/>
      <c r="T9" s="149" t="s">
        <v>714</v>
      </c>
      <c r="U9" s="144" t="str">
        <f>'CCCM Dashboard'!H23</f>
        <v>Pauktaw</v>
      </c>
      <c r="V9" s="81">
        <v>93.15</v>
      </c>
      <c r="W9" s="83">
        <v>19.984999999999999</v>
      </c>
      <c r="X9" s="144">
        <f>'CCCM Dashboard'!I23</f>
        <v>3640</v>
      </c>
      <c r="Y9" s="144">
        <f>'CCCM Dashboard'!J23</f>
        <v>16034</v>
      </c>
      <c r="Z9" s="144">
        <f>'CCCM Dashboard'!K23</f>
        <v>4</v>
      </c>
      <c r="AA9" s="145">
        <f ca="1">'Shelter Coverage &amp; Gaps'!G24</f>
        <v>0.56766256590509667</v>
      </c>
      <c r="AB9" s="145">
        <v>0</v>
      </c>
      <c r="AC9" s="145">
        <v>0</v>
      </c>
      <c r="AD9" s="78">
        <v>1</v>
      </c>
      <c r="AE9" s="146">
        <f t="shared" si="0"/>
        <v>354</v>
      </c>
      <c r="AF9" s="147">
        <f t="shared" si="1"/>
        <v>238</v>
      </c>
      <c r="AG9" s="148">
        <v>8</v>
      </c>
      <c r="CT9" s="5"/>
      <c r="CU9" s="5"/>
      <c r="CV9" s="5"/>
      <c r="CW9" s="5"/>
      <c r="CX9" s="5"/>
      <c r="CY9" s="5"/>
      <c r="CZ9" s="5"/>
      <c r="DA9" s="5"/>
      <c r="DB9" s="5"/>
      <c r="DC9" s="5"/>
      <c r="DD9" s="5"/>
      <c r="DE9" s="5"/>
      <c r="DF9" s="5"/>
      <c r="DG9" s="5"/>
      <c r="DH9" s="5"/>
    </row>
    <row r="10" spans="15:112" ht="15" x14ac:dyDescent="0.25">
      <c r="O10" s="19"/>
      <c r="P10" s="19"/>
      <c r="T10" s="149"/>
      <c r="U10" s="144" t="str">
        <f>'CCCM Dashboard'!H24</f>
        <v>Ramree</v>
      </c>
      <c r="V10" s="81">
        <v>93.7</v>
      </c>
      <c r="W10" s="83">
        <v>19.033045977011483</v>
      </c>
      <c r="X10" s="144">
        <f>'CCCM Dashboard'!I24</f>
        <v>75</v>
      </c>
      <c r="Y10" s="144">
        <f>'CCCM Dashboard'!J24</f>
        <v>264</v>
      </c>
      <c r="Z10" s="144">
        <f>'CCCM Dashboard'!K24</f>
        <v>1</v>
      </c>
      <c r="AA10" s="145">
        <f ca="1">'Shelter Coverage &amp; Gaps'!G25</f>
        <v>1</v>
      </c>
      <c r="AB10" s="145"/>
      <c r="AC10" s="145"/>
      <c r="AD10" s="78"/>
      <c r="AE10" s="146">
        <f t="shared" si="0"/>
        <v>592</v>
      </c>
      <c r="AF10" s="147">
        <f t="shared" si="1"/>
        <v>375</v>
      </c>
      <c r="AG10" s="148">
        <v>1</v>
      </c>
      <c r="CT10" s="5"/>
      <c r="CU10" s="5"/>
      <c r="CV10" s="5"/>
      <c r="CW10" s="5"/>
      <c r="CX10" s="5"/>
      <c r="CY10" s="5"/>
      <c r="CZ10" s="5"/>
      <c r="DA10" s="5"/>
      <c r="DB10" s="5"/>
      <c r="DC10" s="5"/>
      <c r="DD10" s="5"/>
      <c r="DE10" s="5"/>
      <c r="DF10" s="5"/>
      <c r="DG10" s="5"/>
      <c r="DH10" s="5"/>
    </row>
    <row r="11" spans="15:112" ht="15" x14ac:dyDescent="0.25">
      <c r="O11" s="19"/>
      <c r="P11" s="19"/>
      <c r="T11" s="143" t="s">
        <v>715</v>
      </c>
      <c r="U11" s="144" t="str">
        <f>'CCCM Dashboard'!H25</f>
        <v>Rathedaung</v>
      </c>
      <c r="V11" s="81">
        <v>92.74</v>
      </c>
      <c r="W11" s="83">
        <v>20.399999999999999</v>
      </c>
      <c r="X11" s="144">
        <f>'CCCM Dashboard'!I25</f>
        <v>661</v>
      </c>
      <c r="Y11" s="144">
        <f>'CCCM Dashboard'!J25</f>
        <v>3566</v>
      </c>
      <c r="Z11" s="144">
        <f>'CCCM Dashboard'!K25</f>
        <v>2</v>
      </c>
      <c r="AA11" s="145">
        <f ca="1">'Shelter Coverage &amp; Gaps'!G26</f>
        <v>0.56760374832663985</v>
      </c>
      <c r="AB11" s="145">
        <v>0</v>
      </c>
      <c r="AC11" s="145">
        <v>0</v>
      </c>
      <c r="AD11" s="78">
        <v>0</v>
      </c>
      <c r="AE11" s="146">
        <f t="shared" si="0"/>
        <v>250</v>
      </c>
      <c r="AF11" s="147">
        <f t="shared" si="1"/>
        <v>135</v>
      </c>
      <c r="AG11" s="148">
        <v>17</v>
      </c>
      <c r="CT11" s="5"/>
      <c r="CU11" s="5"/>
      <c r="CV11" s="5"/>
      <c r="CW11" s="5"/>
      <c r="CX11" s="5"/>
      <c r="CY11" s="5"/>
      <c r="CZ11" s="5"/>
      <c r="DA11" s="5"/>
      <c r="DB11" s="5"/>
      <c r="DC11" s="5"/>
      <c r="DD11" s="5"/>
      <c r="DE11" s="5"/>
      <c r="DF11" s="5"/>
      <c r="DG11" s="5"/>
      <c r="DH11" s="5"/>
    </row>
    <row r="12" spans="15:112" ht="15.75" thickBot="1" x14ac:dyDescent="0.3">
      <c r="O12" s="19"/>
      <c r="P12" s="19"/>
      <c r="T12" s="149" t="s">
        <v>716</v>
      </c>
      <c r="U12" s="144" t="str">
        <f>'CCCM Dashboard'!H26</f>
        <v>Sittwe</v>
      </c>
      <c r="V12" s="82">
        <v>92.7</v>
      </c>
      <c r="W12" s="84">
        <v>20.11</v>
      </c>
      <c r="X12" s="144">
        <f>'CCCM Dashboard'!I26</f>
        <v>17820</v>
      </c>
      <c r="Y12" s="144">
        <f>'CCCM Dashboard'!J26</f>
        <v>94884</v>
      </c>
      <c r="Z12" s="144">
        <f>'CCCM Dashboard'!K26</f>
        <v>11</v>
      </c>
      <c r="AA12" s="145">
        <f ca="1">'Shelter Coverage &amp; Gaps'!G27</f>
        <v>0.79786210582576167</v>
      </c>
      <c r="AB12" s="145">
        <v>0</v>
      </c>
      <c r="AC12" s="145">
        <v>0</v>
      </c>
      <c r="AD12" s="78">
        <v>0</v>
      </c>
      <c r="AE12" s="146">
        <f t="shared" si="0"/>
        <v>322</v>
      </c>
      <c r="AF12" s="147">
        <f t="shared" si="1"/>
        <v>125</v>
      </c>
      <c r="AG12" s="148">
        <v>4</v>
      </c>
      <c r="CT12" s="5"/>
      <c r="CU12" s="5"/>
      <c r="CV12" s="5"/>
      <c r="CW12" s="5"/>
      <c r="CX12" s="5"/>
      <c r="CY12" s="5"/>
      <c r="CZ12" s="5"/>
      <c r="DA12" s="5"/>
      <c r="DB12" s="5"/>
      <c r="DC12" s="5"/>
      <c r="DD12" s="5"/>
      <c r="DE12" s="5"/>
      <c r="DF12" s="5"/>
      <c r="DG12" s="5"/>
      <c r="DH12" s="5"/>
    </row>
    <row r="13" spans="15:112" ht="15" x14ac:dyDescent="0.25">
      <c r="O13" s="19"/>
      <c r="P13" s="19"/>
      <c r="T13" s="143"/>
      <c r="U13" s="144" t="s">
        <v>7</v>
      </c>
      <c r="V13" s="149">
        <v>94</v>
      </c>
      <c r="W13" s="144">
        <v>20</v>
      </c>
      <c r="X13" s="148">
        <f>SUBTOTAL(109,X3:X12)</f>
        <v>23655</v>
      </c>
      <c r="Y13" s="148">
        <f>SUBTOTAL(109,Y3:Y12)</f>
        <v>120699</v>
      </c>
      <c r="Z13" s="148">
        <f>SUBTOTAL(109,Z3:Z12)</f>
        <v>21</v>
      </c>
      <c r="AA13" s="148"/>
      <c r="AB13" s="148"/>
      <c r="AC13" s="148"/>
      <c r="AD13" s="148"/>
      <c r="AE13" s="146">
        <f>$S$3-ROUND((W13-$S$1)*$S$5,0)</f>
        <v>350</v>
      </c>
      <c r="AF13" s="147">
        <f>ROUND((V13-$S$2)*$S$5,0)+$S$4</f>
        <v>450</v>
      </c>
      <c r="AG13" s="148">
        <f>SUBTOTAL(109,AG3:AG12)</f>
        <v>76</v>
      </c>
      <c r="CT13" s="5"/>
      <c r="CU13" s="5"/>
      <c r="CV13" s="5"/>
      <c r="CW13" s="5"/>
      <c r="CX13" s="5"/>
      <c r="CY13" s="5"/>
      <c r="CZ13" s="5"/>
      <c r="DA13" s="5"/>
      <c r="DB13" s="5"/>
      <c r="DC13" s="5"/>
      <c r="DD13" s="5"/>
      <c r="DE13" s="5"/>
      <c r="DF13" s="5"/>
      <c r="DG13" s="5"/>
      <c r="DH13" s="5"/>
    </row>
    <row r="14" spans="15:112" ht="15" x14ac:dyDescent="0.25">
      <c r="O14" s="19"/>
      <c r="P14" s="19"/>
      <c r="CT14" s="5"/>
      <c r="CU14" s="5"/>
      <c r="CV14" s="5"/>
      <c r="CW14" s="5"/>
      <c r="CX14" s="5"/>
      <c r="CY14" s="5"/>
      <c r="CZ14" s="5"/>
      <c r="DA14" s="5"/>
      <c r="DB14" s="5"/>
      <c r="DC14" s="5"/>
      <c r="DD14" s="5"/>
      <c r="DE14" s="5"/>
      <c r="DF14" s="5"/>
      <c r="DG14" s="5"/>
      <c r="DH14" s="5"/>
    </row>
    <row r="15" spans="15:112" ht="15" x14ac:dyDescent="0.25">
      <c r="O15" s="19"/>
      <c r="P15" s="19"/>
      <c r="CT15" s="5"/>
      <c r="CU15" s="5"/>
      <c r="CV15" s="5"/>
      <c r="CW15" s="5"/>
      <c r="CX15" s="5"/>
      <c r="CY15" s="5"/>
      <c r="CZ15" s="5"/>
      <c r="DA15" s="5"/>
      <c r="DB15" s="5"/>
      <c r="DC15" s="5"/>
      <c r="DD15" s="5"/>
      <c r="DE15" s="5"/>
      <c r="DF15" s="5"/>
      <c r="DG15" s="5"/>
      <c r="DH15" s="5"/>
    </row>
    <row r="16" spans="15:112" ht="15" x14ac:dyDescent="0.25">
      <c r="O16" s="19"/>
      <c r="P16" s="19"/>
      <c r="CT16" s="5"/>
      <c r="CU16" s="5"/>
      <c r="CV16" s="5"/>
      <c r="CW16" s="5"/>
      <c r="CX16" s="5"/>
      <c r="CY16" s="5"/>
      <c r="CZ16" s="5"/>
      <c r="DA16" s="5"/>
      <c r="DB16" s="5"/>
      <c r="DC16" s="5"/>
      <c r="DD16" s="5"/>
      <c r="DE16" s="5"/>
      <c r="DF16" s="5"/>
      <c r="DG16" s="5"/>
      <c r="DH16" s="5"/>
    </row>
    <row r="17" spans="1:112" ht="15" x14ac:dyDescent="0.25">
      <c r="O17" s="19"/>
      <c r="P17" s="19"/>
      <c r="CT17" s="5"/>
      <c r="CU17" s="5"/>
      <c r="CV17" s="5"/>
      <c r="CW17" s="5"/>
      <c r="CX17" s="5"/>
      <c r="CY17" s="5"/>
      <c r="CZ17" s="5"/>
      <c r="DA17" s="5"/>
      <c r="DB17" s="5"/>
      <c r="DC17" s="5"/>
      <c r="DD17" s="5"/>
      <c r="DE17" s="5"/>
      <c r="DF17" s="5"/>
      <c r="DG17" s="5"/>
      <c r="DH17" s="5"/>
    </row>
    <row r="18" spans="1:112" ht="15" x14ac:dyDescent="0.25">
      <c r="O18" s="19"/>
      <c r="P18" s="19"/>
      <c r="CT18" s="5"/>
      <c r="CU18" s="5"/>
      <c r="CV18" s="5"/>
      <c r="CW18" s="5"/>
      <c r="CX18" s="5"/>
      <c r="CY18" s="5"/>
      <c r="CZ18" s="5"/>
      <c r="DA18" s="5"/>
      <c r="DB18" s="5"/>
      <c r="DC18" s="5"/>
      <c r="DD18" s="5"/>
      <c r="DE18" s="5"/>
      <c r="DF18" s="5"/>
      <c r="DG18" s="5"/>
      <c r="DH18" s="5"/>
    </row>
    <row r="19" spans="1:112" ht="15" x14ac:dyDescent="0.25">
      <c r="O19" s="19"/>
      <c r="P19" s="19"/>
      <c r="CT19" s="5"/>
      <c r="CU19" s="5"/>
      <c r="CV19" s="5"/>
      <c r="CW19" s="5"/>
      <c r="CX19" s="5"/>
      <c r="CY19" s="5"/>
      <c r="CZ19" s="5"/>
      <c r="DA19" s="5"/>
      <c r="DB19" s="5"/>
      <c r="DC19" s="5"/>
      <c r="DD19" s="5"/>
      <c r="DE19" s="5"/>
      <c r="DF19" s="5"/>
      <c r="DG19" s="5"/>
      <c r="DH19" s="5"/>
    </row>
    <row r="20" spans="1:112" ht="15" x14ac:dyDescent="0.25">
      <c r="O20" s="19"/>
      <c r="P20" s="19"/>
      <c r="CT20" s="5"/>
      <c r="CU20" s="5"/>
      <c r="CV20" s="5"/>
      <c r="CW20" s="5"/>
      <c r="CX20" s="5"/>
      <c r="CY20" s="5"/>
      <c r="CZ20" s="5"/>
      <c r="DA20" s="5"/>
      <c r="DB20" s="5"/>
      <c r="DC20" s="5"/>
      <c r="DD20" s="5"/>
      <c r="DE20" s="5"/>
      <c r="DF20" s="5"/>
      <c r="DG20" s="5"/>
      <c r="DH20" s="5"/>
    </row>
    <row r="21" spans="1:112" ht="15" x14ac:dyDescent="0.25">
      <c r="DA21" s="77"/>
      <c r="DB21" s="78"/>
      <c r="DC21" s="78"/>
      <c r="DD21" s="78"/>
      <c r="DE21" s="78"/>
    </row>
    <row r="22" spans="1:112" ht="15" x14ac:dyDescent="0.25">
      <c r="A22" s="152"/>
      <c r="B22" s="152"/>
      <c r="C22" s="152"/>
      <c r="D22" s="152"/>
      <c r="E22" s="152"/>
      <c r="F22" s="152"/>
      <c r="G22" s="152"/>
      <c r="H22" s="152"/>
      <c r="I22" s="152"/>
      <c r="J22" s="152"/>
      <c r="K22" s="152"/>
      <c r="L22" s="152"/>
      <c r="M22" s="152"/>
      <c r="N22" s="153"/>
      <c r="DA22" s="77"/>
      <c r="DB22" s="78"/>
      <c r="DC22" s="78"/>
      <c r="DD22" s="78"/>
      <c r="DE22" s="78"/>
    </row>
    <row r="23" spans="1:112" ht="15" x14ac:dyDescent="0.25">
      <c r="A23" s="144"/>
      <c r="B23" s="144"/>
      <c r="C23" s="150"/>
      <c r="D23" s="150"/>
      <c r="E23" s="151"/>
      <c r="F23" s="151"/>
      <c r="G23" s="152"/>
      <c r="H23" s="152"/>
      <c r="I23" s="152"/>
      <c r="J23" s="152"/>
      <c r="K23" s="152"/>
      <c r="L23" s="152"/>
      <c r="M23" s="152"/>
      <c r="N23" s="153"/>
      <c r="DA23" s="77"/>
      <c r="DB23" s="78"/>
      <c r="DC23" s="78"/>
      <c r="DD23" s="78"/>
      <c r="DE23" s="78"/>
    </row>
    <row r="24" spans="1:112" ht="15" x14ac:dyDescent="0.25">
      <c r="G24" s="152"/>
      <c r="H24" s="152"/>
      <c r="I24" s="152"/>
      <c r="J24" s="152"/>
      <c r="K24" s="152"/>
      <c r="L24" s="152"/>
      <c r="DA24" s="77"/>
      <c r="DE24" s="1"/>
      <c r="DF24" s="55"/>
    </row>
    <row r="25" spans="1:112" ht="15" x14ac:dyDescent="0.25">
      <c r="DA25" s="77"/>
      <c r="DE25" s="1"/>
      <c r="DF25" s="55"/>
    </row>
    <row r="26" spans="1:112" ht="15" x14ac:dyDescent="0.25">
      <c r="P26" s="87"/>
      <c r="Q26" s="87"/>
      <c r="DA26" s="77"/>
      <c r="DE26" s="1"/>
      <c r="DF26" s="55"/>
    </row>
    <row r="27" spans="1:112" s="19" customFormat="1" ht="1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257" priority="1" operator="between">
      <formula>0.4</formula>
      <formula>0.6</formula>
    </cfRule>
    <cfRule type="cellIs" dxfId="1256" priority="2" operator="greaterThan">
      <formula>0.8</formula>
    </cfRule>
    <cfRule type="cellIs" dxfId="1255" priority="3" operator="between">
      <formula>0.6</formula>
      <formula>0.8</formula>
    </cfRule>
    <cfRule type="cellIs" dxfId="1254" priority="4" operator="between">
      <formula>0.2</formula>
      <formula>0.4</formula>
    </cfRule>
    <cfRule type="cellIs" dxfId="1253"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B5" sqref="B5:B7"/>
    </sheetView>
  </sheetViews>
  <sheetFormatPr defaultRowHeight="15" x14ac:dyDescent="0.25"/>
  <cols>
    <col min="1" max="1" width="36.28515625" bestFit="1" customWidth="1"/>
    <col min="2" max="2" width="16.7109375" customWidth="1"/>
  </cols>
  <sheetData>
    <row r="2" spans="1:15" x14ac:dyDescent="0.25">
      <c r="B2" t="s">
        <v>974</v>
      </c>
      <c r="D2" t="s">
        <v>983</v>
      </c>
    </row>
    <row r="3" spans="1:15" x14ac:dyDescent="0.25">
      <c r="B3" t="s">
        <v>975</v>
      </c>
    </row>
    <row r="5" spans="1:15" x14ac:dyDescent="0.25">
      <c r="A5" s="29" t="s">
        <v>979</v>
      </c>
      <c r="B5" s="558">
        <f>SUMIFS(Camplist_Popl,CampList_TypeOfAcc,"Planned Camp")</f>
        <v>99737</v>
      </c>
    </row>
    <row r="6" spans="1:15" s="90" customFormat="1" x14ac:dyDescent="0.25">
      <c r="A6" s="29" t="s">
        <v>981</v>
      </c>
      <c r="B6" s="558">
        <f>SUMIFS(Camplist_Popl,CampList_TypeOfAcc,"Self Settled Camp")</f>
        <v>14843</v>
      </c>
      <c r="C6" s="789"/>
    </row>
    <row r="7" spans="1:15" s="90" customFormat="1" x14ac:dyDescent="0.25">
      <c r="A7" s="29" t="s">
        <v>980</v>
      </c>
      <c r="B7" s="558">
        <f>SUMIFS(Camplist_Popl,CampList_TypeOfAcc,"Host Families")</f>
        <v>6119</v>
      </c>
      <c r="C7" s="789"/>
    </row>
    <row r="8" spans="1:15" ht="30" x14ac:dyDescent="0.25">
      <c r="A8" s="572" t="s">
        <v>982</v>
      </c>
      <c r="B8" s="558">
        <f>SUMIFS(Camplist_Popl,CampList_Status,"Relocated in Individual Housing")</f>
        <v>0</v>
      </c>
    </row>
    <row r="9" spans="1:15" ht="30" x14ac:dyDescent="0.25">
      <c r="A9" s="564" t="s">
        <v>987</v>
      </c>
      <c r="B9" s="558">
        <f>SUMIFS(Camplist_Popl,CampList_Status,"Returned in Individual Housing")</f>
        <v>0</v>
      </c>
      <c r="N9" s="565"/>
      <c r="O9" s="19"/>
    </row>
    <row r="10" spans="1:15" x14ac:dyDescent="0.25">
      <c r="B10" s="559"/>
      <c r="N10" s="565"/>
      <c r="O10" s="19"/>
    </row>
    <row r="11" spans="1:15" x14ac:dyDescent="0.25">
      <c r="B11" s="559">
        <f>SUM(B5:B9)</f>
        <v>120699</v>
      </c>
      <c r="N11" s="565"/>
      <c r="O11" s="19"/>
    </row>
    <row r="17" spans="1:1" x14ac:dyDescent="0.25">
      <c r="A17" s="560"/>
    </row>
    <row r="18" spans="1:1" x14ac:dyDescent="0.25">
      <c r="A18" s="561"/>
    </row>
    <row r="19" spans="1:1" x14ac:dyDescent="0.25">
      <c r="A19" s="561"/>
    </row>
    <row r="20" spans="1:1" x14ac:dyDescent="0.25">
      <c r="A20" s="561"/>
    </row>
  </sheetData>
  <conditionalFormatting sqref="A17:A20">
    <cfRule type="cellIs" dxfId="1219"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J26" sqref="J26"/>
    </sheetView>
  </sheetViews>
  <sheetFormatPr defaultColWidth="9.140625" defaultRowHeight="15" x14ac:dyDescent="0.25"/>
  <cols>
    <col min="1" max="1" width="22.7109375" style="1" bestFit="1" customWidth="1"/>
    <col min="2" max="2" width="32.85546875" style="1" bestFit="1" customWidth="1"/>
    <col min="3" max="3" width="16.5703125" style="1" bestFit="1" customWidth="1"/>
    <col min="4" max="4" width="9.85546875" style="292" bestFit="1" customWidth="1"/>
    <col min="5" max="5" width="15.28515625" style="287" customWidth="1"/>
    <col min="6" max="6" width="7.28515625" style="287" bestFit="1" customWidth="1"/>
    <col min="7" max="7" width="22.7109375" style="293" bestFit="1" customWidth="1"/>
    <col min="8" max="8" width="9.140625" style="1"/>
    <col min="9" max="9" width="35.7109375" style="1" customWidth="1"/>
    <col min="10" max="16384" width="9.140625" style="1"/>
  </cols>
  <sheetData>
    <row r="1" spans="1:11" ht="23.25" x14ac:dyDescent="0.35">
      <c r="A1" s="1042" t="s">
        <v>772</v>
      </c>
      <c r="B1" s="1043"/>
      <c r="C1" s="1043"/>
      <c r="D1" s="602"/>
      <c r="E1" s="603"/>
      <c r="F1" s="603"/>
      <c r="G1" s="604"/>
      <c r="H1" s="605"/>
    </row>
    <row r="2" spans="1:11" ht="15.75" thickBot="1" x14ac:dyDescent="0.3">
      <c r="A2" s="606">
        <f>Report_Date</f>
        <v>42856</v>
      </c>
      <c r="B2" s="607"/>
      <c r="C2" s="607"/>
      <c r="D2" s="607"/>
      <c r="E2" s="608"/>
      <c r="F2" s="608"/>
      <c r="G2" s="609"/>
      <c r="H2" s="610"/>
    </row>
    <row r="3" spans="1:11" ht="15.75" thickBot="1" x14ac:dyDescent="0.3"/>
    <row r="4" spans="1:11" ht="15.75" thickBot="1" x14ac:dyDescent="0.3">
      <c r="A4" s="756" t="s">
        <v>346</v>
      </c>
      <c r="B4" s="757" t="s">
        <v>348</v>
      </c>
      <c r="E4" s="733"/>
      <c r="F4" s="733"/>
    </row>
    <row r="5" spans="1:11" ht="15.75" thickBot="1" x14ac:dyDescent="0.3">
      <c r="A5" s="756" t="s">
        <v>24</v>
      </c>
      <c r="B5" s="757" t="s">
        <v>767</v>
      </c>
      <c r="E5" s="733"/>
      <c r="F5" s="733"/>
    </row>
    <row r="6" spans="1:11" ht="15.75" thickBot="1" x14ac:dyDescent="0.3">
      <c r="E6" s="733"/>
      <c r="F6" s="733"/>
    </row>
    <row r="7" spans="1:11" ht="15.75" thickBot="1" x14ac:dyDescent="0.3">
      <c r="A7" s="601" t="s">
        <v>0</v>
      </c>
      <c r="B7" s="613" t="s">
        <v>9</v>
      </c>
      <c r="C7" s="615" t="s">
        <v>8</v>
      </c>
      <c r="D7" s="784" t="s">
        <v>653</v>
      </c>
      <c r="E7" s="785" t="s">
        <v>803</v>
      </c>
      <c r="F7" s="786" t="s">
        <v>798</v>
      </c>
      <c r="G7" s="766" t="s">
        <v>993</v>
      </c>
      <c r="H7"/>
      <c r="I7"/>
    </row>
    <row r="8" spans="1:11" ht="15.75" thickBot="1" x14ac:dyDescent="0.3">
      <c r="A8" s="1031" t="s">
        <v>14</v>
      </c>
      <c r="B8" s="1001" t="s">
        <v>40</v>
      </c>
      <c r="C8" s="176" t="s">
        <v>126</v>
      </c>
      <c r="D8" s="769">
        <v>1238</v>
      </c>
      <c r="E8" s="770">
        <v>4280</v>
      </c>
      <c r="F8" s="771">
        <v>1</v>
      </c>
      <c r="G8" s="772">
        <v>0.62035541195476573</v>
      </c>
      <c r="H8"/>
      <c r="I8"/>
    </row>
    <row r="9" spans="1:11" ht="15.75" thickBot="1" x14ac:dyDescent="0.3">
      <c r="A9" s="1032"/>
      <c r="B9" s="1002" t="s">
        <v>42</v>
      </c>
      <c r="C9" s="176" t="s">
        <v>128</v>
      </c>
      <c r="D9" s="773">
        <v>1012</v>
      </c>
      <c r="E9" s="722">
        <v>5125</v>
      </c>
      <c r="F9" s="723">
        <v>1</v>
      </c>
      <c r="G9" s="724">
        <v>0.95652173913043481</v>
      </c>
      <c r="H9"/>
      <c r="I9"/>
    </row>
    <row r="10" spans="1:11" s="287" customFormat="1" ht="15.75" thickBot="1" x14ac:dyDescent="0.3">
      <c r="A10" s="1032"/>
      <c r="B10" s="768" t="s">
        <v>43</v>
      </c>
      <c r="C10" s="176" t="s">
        <v>129</v>
      </c>
      <c r="D10" s="774">
        <v>534</v>
      </c>
      <c r="E10" s="775">
        <v>2683</v>
      </c>
      <c r="F10" s="776">
        <v>1</v>
      </c>
      <c r="G10" s="777">
        <v>1</v>
      </c>
      <c r="H10"/>
      <c r="I10"/>
    </row>
    <row r="11" spans="1:11" ht="15.75" thickBot="1" x14ac:dyDescent="0.3">
      <c r="A11" s="1033"/>
      <c r="B11" s="1003" t="s">
        <v>1067</v>
      </c>
      <c r="C11" s="1003" t="s">
        <v>127</v>
      </c>
      <c r="D11" s="773">
        <v>856</v>
      </c>
      <c r="E11" s="722">
        <v>3946</v>
      </c>
      <c r="F11" s="723">
        <v>1</v>
      </c>
      <c r="G11" s="721">
        <v>0</v>
      </c>
      <c r="H11"/>
      <c r="I11"/>
    </row>
    <row r="12" spans="1:11" ht="15.75" thickBot="1" x14ac:dyDescent="0.3">
      <c r="A12" s="1034" t="s">
        <v>646</v>
      </c>
      <c r="B12" s="1035"/>
      <c r="C12" s="1036"/>
      <c r="D12" s="778">
        <v>3640</v>
      </c>
      <c r="E12" s="779">
        <v>16034</v>
      </c>
      <c r="F12" s="780">
        <v>4</v>
      </c>
      <c r="G12" s="781">
        <v>2.5768771510852004</v>
      </c>
      <c r="H12"/>
      <c r="I12"/>
    </row>
    <row r="13" spans="1:11" ht="15.75" thickBot="1" x14ac:dyDescent="0.3">
      <c r="A13" s="1031" t="s">
        <v>19</v>
      </c>
      <c r="B13" s="1001" t="s">
        <v>61</v>
      </c>
      <c r="C13" s="176" t="s">
        <v>149</v>
      </c>
      <c r="D13" s="773">
        <v>397</v>
      </c>
      <c r="E13" s="722">
        <v>2240</v>
      </c>
      <c r="F13" s="723">
        <v>1</v>
      </c>
      <c r="G13" s="724">
        <v>1</v>
      </c>
      <c r="H13"/>
      <c r="I13"/>
    </row>
    <row r="14" spans="1:11" ht="15.75" thickBot="1" x14ac:dyDescent="0.3">
      <c r="A14" s="1032"/>
      <c r="B14" s="1002" t="s">
        <v>552</v>
      </c>
      <c r="C14" s="176" t="s">
        <v>553</v>
      </c>
      <c r="D14" s="773">
        <v>41</v>
      </c>
      <c r="E14" s="722">
        <v>226</v>
      </c>
      <c r="F14" s="723">
        <v>1</v>
      </c>
      <c r="G14" s="721">
        <v>0</v>
      </c>
      <c r="H14"/>
      <c r="I14"/>
    </row>
    <row r="15" spans="1:11" ht="15.75" thickBot="1" x14ac:dyDescent="0.3">
      <c r="A15" s="1032"/>
      <c r="B15" s="1002" t="s">
        <v>629</v>
      </c>
      <c r="C15" s="176" t="s">
        <v>631</v>
      </c>
      <c r="D15" s="773">
        <v>1011</v>
      </c>
      <c r="E15" s="722">
        <v>4890</v>
      </c>
      <c r="F15" s="723">
        <v>1</v>
      </c>
      <c r="G15" s="724">
        <v>1</v>
      </c>
      <c r="H15"/>
      <c r="I15"/>
    </row>
    <row r="16" spans="1:11" ht="15.75" thickBot="1" x14ac:dyDescent="0.3">
      <c r="A16" s="1032"/>
      <c r="B16" s="1002" t="s">
        <v>630</v>
      </c>
      <c r="C16" s="176" t="s">
        <v>632</v>
      </c>
      <c r="D16" s="773">
        <v>1289</v>
      </c>
      <c r="E16" s="722">
        <v>6967</v>
      </c>
      <c r="F16" s="723">
        <v>1</v>
      </c>
      <c r="G16" s="724">
        <v>1</v>
      </c>
      <c r="H16"/>
      <c r="I16"/>
      <c r="K16" s="1" t="s">
        <v>773</v>
      </c>
    </row>
    <row r="17" spans="1:9" ht="15.75" thickBot="1" x14ac:dyDescent="0.3">
      <c r="A17" s="1032"/>
      <c r="B17" s="1002" t="s">
        <v>63</v>
      </c>
      <c r="C17" s="176" t="s">
        <v>151</v>
      </c>
      <c r="D17" s="773">
        <v>1431</v>
      </c>
      <c r="E17" s="722">
        <v>8208</v>
      </c>
      <c r="F17" s="723">
        <v>1</v>
      </c>
      <c r="G17" s="724">
        <v>1</v>
      </c>
      <c r="H17"/>
      <c r="I17"/>
    </row>
    <row r="18" spans="1:9" ht="15.75" thickBot="1" x14ac:dyDescent="0.3">
      <c r="A18" s="1032"/>
      <c r="B18" s="1002" t="s">
        <v>542</v>
      </c>
      <c r="C18" s="176" t="s">
        <v>543</v>
      </c>
      <c r="D18" s="773">
        <v>518</v>
      </c>
      <c r="E18" s="722">
        <v>2951</v>
      </c>
      <c r="F18" s="723">
        <v>1</v>
      </c>
      <c r="G18" s="721">
        <v>0</v>
      </c>
      <c r="H18"/>
      <c r="I18"/>
    </row>
    <row r="19" spans="1:9" ht="15.75" thickBot="1" x14ac:dyDescent="0.3">
      <c r="A19" s="1032"/>
      <c r="B19" s="1002" t="s">
        <v>64</v>
      </c>
      <c r="C19" s="176" t="s">
        <v>152</v>
      </c>
      <c r="D19" s="773">
        <v>799</v>
      </c>
      <c r="E19" s="722">
        <v>4428</v>
      </c>
      <c r="F19" s="723">
        <v>1</v>
      </c>
      <c r="G19" s="724">
        <v>1</v>
      </c>
      <c r="H19"/>
      <c r="I19"/>
    </row>
    <row r="20" spans="1:9" ht="15.75" thickBot="1" x14ac:dyDescent="0.3">
      <c r="A20" s="1032"/>
      <c r="B20" s="1002" t="s">
        <v>628</v>
      </c>
      <c r="C20" s="176" t="s">
        <v>281</v>
      </c>
      <c r="D20" s="773">
        <v>622</v>
      </c>
      <c r="E20" s="722">
        <v>3435</v>
      </c>
      <c r="F20" s="723">
        <v>1</v>
      </c>
      <c r="G20" s="724">
        <v>1</v>
      </c>
      <c r="H20"/>
      <c r="I20"/>
    </row>
    <row r="21" spans="1:9" ht="15.75" thickBot="1" x14ac:dyDescent="0.3">
      <c r="A21" s="1032"/>
      <c r="B21" s="1002" t="s">
        <v>633</v>
      </c>
      <c r="C21" s="176" t="s">
        <v>545</v>
      </c>
      <c r="D21" s="773">
        <v>681</v>
      </c>
      <c r="E21" s="722">
        <v>3408</v>
      </c>
      <c r="F21" s="723">
        <v>1</v>
      </c>
      <c r="G21" s="724">
        <v>0.9397944199706314</v>
      </c>
      <c r="H21"/>
      <c r="I21"/>
    </row>
    <row r="22" spans="1:9" ht="15.75" thickBot="1" x14ac:dyDescent="0.3">
      <c r="A22" s="1032"/>
      <c r="B22" s="1002" t="s">
        <v>634</v>
      </c>
      <c r="C22" s="176" t="s">
        <v>636</v>
      </c>
      <c r="D22" s="773">
        <v>2640</v>
      </c>
      <c r="E22" s="722">
        <v>13655</v>
      </c>
      <c r="F22" s="723">
        <v>1</v>
      </c>
      <c r="G22" s="724">
        <v>1</v>
      </c>
      <c r="H22"/>
      <c r="I22"/>
    </row>
    <row r="23" spans="1:9" ht="15.75" thickBot="1" x14ac:dyDescent="0.3">
      <c r="A23" s="1032"/>
      <c r="B23" s="1002" t="s">
        <v>635</v>
      </c>
      <c r="C23" s="176" t="s">
        <v>637</v>
      </c>
      <c r="D23" s="773">
        <v>2256</v>
      </c>
      <c r="E23" s="722">
        <v>11659</v>
      </c>
      <c r="F23" s="723">
        <v>1</v>
      </c>
      <c r="G23" s="724">
        <v>1</v>
      </c>
      <c r="H23"/>
      <c r="I23"/>
    </row>
    <row r="24" spans="1:9" ht="15.75" thickBot="1" x14ac:dyDescent="0.3">
      <c r="A24" s="1032"/>
      <c r="B24" s="1002" t="s">
        <v>67</v>
      </c>
      <c r="C24" s="176" t="s">
        <v>155</v>
      </c>
      <c r="D24" s="773">
        <v>2497</v>
      </c>
      <c r="E24" s="722">
        <v>12273</v>
      </c>
      <c r="F24" s="723">
        <v>1</v>
      </c>
      <c r="G24" s="724">
        <v>1</v>
      </c>
      <c r="H24"/>
      <c r="I24"/>
    </row>
    <row r="25" spans="1:9" ht="15.75" thickBot="1" x14ac:dyDescent="0.3">
      <c r="A25" s="1032"/>
      <c r="B25" s="1002" t="s">
        <v>68</v>
      </c>
      <c r="C25" s="176" t="s">
        <v>156</v>
      </c>
      <c r="D25" s="773">
        <v>2145</v>
      </c>
      <c r="E25" s="722">
        <v>11764</v>
      </c>
      <c r="F25" s="723">
        <v>1</v>
      </c>
      <c r="G25" s="724">
        <v>0</v>
      </c>
      <c r="H25"/>
      <c r="I25"/>
    </row>
    <row r="26" spans="1:9" ht="15.75" thickBot="1" x14ac:dyDescent="0.3">
      <c r="A26" s="1032"/>
      <c r="B26" s="1002" t="s">
        <v>70</v>
      </c>
      <c r="C26" s="176" t="s">
        <v>158</v>
      </c>
      <c r="D26" s="773">
        <v>997</v>
      </c>
      <c r="E26" s="722">
        <v>5838</v>
      </c>
      <c r="F26" s="723">
        <v>1</v>
      </c>
      <c r="G26" s="724">
        <v>0.9869608826479439</v>
      </c>
      <c r="H26"/>
      <c r="I26"/>
    </row>
    <row r="27" spans="1:9" ht="15.75" thickBot="1" x14ac:dyDescent="0.3">
      <c r="A27" s="1033"/>
      <c r="B27" s="768" t="s">
        <v>540</v>
      </c>
      <c r="C27" s="176" t="s">
        <v>280</v>
      </c>
      <c r="D27" s="774">
        <v>496</v>
      </c>
      <c r="E27" s="775">
        <v>2942</v>
      </c>
      <c r="F27" s="776">
        <v>1</v>
      </c>
      <c r="G27" s="782">
        <v>0</v>
      </c>
      <c r="H27"/>
      <c r="I27"/>
    </row>
    <row r="28" spans="1:9" ht="15.75" thickBot="1" x14ac:dyDescent="0.3">
      <c r="A28" s="1034" t="s">
        <v>644</v>
      </c>
      <c r="B28" s="1035"/>
      <c r="C28" s="1036"/>
      <c r="D28" s="778">
        <v>17820</v>
      </c>
      <c r="E28" s="779">
        <v>94884</v>
      </c>
      <c r="F28" s="780">
        <v>15</v>
      </c>
      <c r="G28" s="781">
        <v>10.926755302618576</v>
      </c>
      <c r="H28"/>
      <c r="I28"/>
    </row>
    <row r="29" spans="1:9" ht="15.75" thickBot="1" x14ac:dyDescent="0.3">
      <c r="A29" s="176" t="s">
        <v>866</v>
      </c>
      <c r="B29" s="176" t="s">
        <v>38</v>
      </c>
      <c r="C29" s="176" t="s">
        <v>124</v>
      </c>
      <c r="D29" s="774">
        <v>698</v>
      </c>
      <c r="E29" s="775">
        <v>2656</v>
      </c>
      <c r="F29" s="776">
        <v>1</v>
      </c>
      <c r="G29" s="777">
        <v>1</v>
      </c>
      <c r="H29"/>
      <c r="I29"/>
    </row>
    <row r="30" spans="1:9" ht="15.75" thickBot="1" x14ac:dyDescent="0.3">
      <c r="A30" s="1034" t="s">
        <v>867</v>
      </c>
      <c r="B30" s="1037"/>
      <c r="C30" s="1038"/>
      <c r="D30" s="778">
        <v>698</v>
      </c>
      <c r="E30" s="779">
        <v>2656</v>
      </c>
      <c r="F30" s="780">
        <v>1</v>
      </c>
      <c r="G30" s="781">
        <v>1</v>
      </c>
      <c r="H30"/>
      <c r="I30"/>
    </row>
    <row r="31" spans="1:9" ht="15.75" thickBot="1" x14ac:dyDescent="0.3">
      <c r="A31" s="1039" t="s">
        <v>213</v>
      </c>
      <c r="B31" s="1040"/>
      <c r="C31" s="1041"/>
      <c r="D31" s="783">
        <v>22158</v>
      </c>
      <c r="E31" s="725">
        <v>113574</v>
      </c>
      <c r="F31" s="726">
        <v>20</v>
      </c>
      <c r="G31" s="727">
        <v>14.503632453703776</v>
      </c>
      <c r="H31"/>
      <c r="I31"/>
    </row>
    <row r="32" spans="1:9" x14ac:dyDescent="0.25">
      <c r="A32"/>
      <c r="B32"/>
      <c r="C32"/>
      <c r="D32"/>
      <c r="E32"/>
      <c r="F32"/>
      <c r="G32"/>
      <c r="H32"/>
      <c r="I32"/>
    </row>
    <row r="33" spans="1:9" ht="15.75" thickBot="1" x14ac:dyDescent="0.3">
      <c r="A33"/>
      <c r="B33"/>
      <c r="C33"/>
      <c r="D33"/>
      <c r="E33"/>
      <c r="F33"/>
      <c r="G33"/>
      <c r="H33"/>
      <c r="I33"/>
    </row>
    <row r="34" spans="1:9" ht="15.75" thickBot="1" x14ac:dyDescent="0.3">
      <c r="A34"/>
      <c r="B34"/>
      <c r="C34"/>
      <c r="D34"/>
      <c r="E34"/>
      <c r="F34"/>
      <c r="G34"/>
      <c r="H34"/>
      <c r="I34"/>
    </row>
    <row r="35" spans="1:9" ht="15.75" thickBot="1" x14ac:dyDescent="0.3">
      <c r="A35"/>
      <c r="B35"/>
      <c r="C35"/>
      <c r="D35"/>
      <c r="E35"/>
      <c r="F35"/>
      <c r="G35"/>
    </row>
    <row r="36" spans="1:9" ht="15.75" thickBot="1" x14ac:dyDescent="0.3">
      <c r="A36"/>
      <c r="B36"/>
      <c r="C36"/>
      <c r="D36"/>
      <c r="E36"/>
      <c r="F36"/>
      <c r="G36"/>
    </row>
    <row r="37" spans="1:9" ht="15.75" thickBot="1" x14ac:dyDescent="0.3">
      <c r="A37"/>
      <c r="B37"/>
      <c r="C37"/>
      <c r="D37"/>
      <c r="E37"/>
      <c r="F37"/>
      <c r="G37"/>
    </row>
    <row r="38" spans="1:9" ht="15.75" thickBot="1" x14ac:dyDescent="0.3">
      <c r="A38"/>
      <c r="B38"/>
      <c r="C38"/>
      <c r="D38"/>
      <c r="E38"/>
      <c r="F38"/>
      <c r="G38"/>
    </row>
    <row r="39" spans="1:9" ht="15.75" thickBot="1" x14ac:dyDescent="0.3">
      <c r="A39"/>
      <c r="B39"/>
      <c r="C39"/>
      <c r="D39"/>
      <c r="E39"/>
      <c r="F39"/>
      <c r="G39"/>
    </row>
    <row r="40" spans="1:9" ht="15.75" thickBot="1" x14ac:dyDescent="0.3">
      <c r="A40"/>
      <c r="B40"/>
      <c r="C40"/>
      <c r="D40"/>
      <c r="E40"/>
      <c r="F40"/>
      <c r="G40"/>
    </row>
    <row r="41" spans="1:9" ht="15.75" thickBot="1" x14ac:dyDescent="0.3">
      <c r="A41"/>
      <c r="B41"/>
      <c r="C41"/>
      <c r="D41"/>
      <c r="E41"/>
      <c r="F41"/>
      <c r="G41"/>
    </row>
    <row r="42" spans="1:9" ht="15.75" thickBot="1" x14ac:dyDescent="0.3">
      <c r="A42"/>
      <c r="B42"/>
      <c r="C42"/>
      <c r="D42"/>
      <c r="E42"/>
      <c r="F42"/>
      <c r="G42"/>
    </row>
    <row r="43" spans="1:9" ht="15.75" thickBot="1" x14ac:dyDescent="0.3">
      <c r="A43"/>
      <c r="B43"/>
      <c r="C43"/>
      <c r="D43"/>
      <c r="E43"/>
      <c r="F43"/>
      <c r="G43"/>
    </row>
    <row r="44" spans="1:9" ht="15.75" thickBot="1" x14ac:dyDescent="0.3">
      <c r="A44"/>
      <c r="B44"/>
      <c r="C44"/>
      <c r="D44"/>
      <c r="E44"/>
      <c r="F44"/>
      <c r="G44"/>
    </row>
    <row r="45" spans="1:9" ht="15.75" thickBot="1" x14ac:dyDescent="0.3">
      <c r="A45"/>
      <c r="B45"/>
      <c r="C45"/>
      <c r="D45"/>
      <c r="E45"/>
      <c r="F45"/>
      <c r="G45"/>
    </row>
    <row r="46" spans="1:9" ht="15.75" thickBot="1" x14ac:dyDescent="0.3">
      <c r="A46"/>
      <c r="B46"/>
      <c r="C46"/>
      <c r="D46"/>
      <c r="E46"/>
      <c r="F46"/>
      <c r="G46"/>
    </row>
    <row r="47" spans="1:9" ht="15.75" thickBot="1" x14ac:dyDescent="0.3">
      <c r="A47"/>
      <c r="B47"/>
      <c r="C47"/>
      <c r="D47"/>
      <c r="E47"/>
      <c r="F47"/>
      <c r="G47"/>
    </row>
    <row r="48" spans="1:9" ht="15.75" thickBot="1" x14ac:dyDescent="0.3">
      <c r="A48"/>
      <c r="B48"/>
      <c r="C48"/>
      <c r="D48"/>
      <c r="E48"/>
      <c r="F48"/>
      <c r="G48"/>
    </row>
    <row r="49" spans="1:7" x14ac:dyDescent="0.25">
      <c r="A49"/>
      <c r="B49"/>
      <c r="C49"/>
      <c r="D49"/>
      <c r="E49"/>
      <c r="F49"/>
      <c r="G49"/>
    </row>
    <row r="50" spans="1:7" ht="15.75" thickBot="1" x14ac:dyDescent="0.3">
      <c r="A50"/>
      <c r="B50"/>
      <c r="C50"/>
      <c r="D50"/>
      <c r="E50"/>
      <c r="F50"/>
      <c r="G50"/>
    </row>
    <row r="51" spans="1:7" ht="15.75" thickBot="1" x14ac:dyDescent="0.3">
      <c r="A51"/>
      <c r="B51"/>
      <c r="C51"/>
      <c r="D51"/>
      <c r="E51"/>
      <c r="F51"/>
      <c r="G51"/>
    </row>
    <row r="52" spans="1:7" ht="15.75" thickBot="1" x14ac:dyDescent="0.3">
      <c r="A52"/>
      <c r="B52"/>
      <c r="C52"/>
      <c r="D52"/>
      <c r="E52"/>
      <c r="F52"/>
      <c r="G52"/>
    </row>
  </sheetData>
  <mergeCells count="7">
    <mergeCell ref="A1:C1"/>
    <mergeCell ref="A8:A11"/>
    <mergeCell ref="A12:C12"/>
    <mergeCell ref="A13:A27"/>
    <mergeCell ref="A28:C28"/>
    <mergeCell ref="A30:C30"/>
    <mergeCell ref="A31:C3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199" activePane="bottomLeft" state="frozen"/>
      <selection activeCell="L12" sqref="L12"/>
      <selection pane="bottomLeft" activeCell="R240" sqref="R240"/>
    </sheetView>
  </sheetViews>
  <sheetFormatPr defaultColWidth="9.140625" defaultRowHeight="15" x14ac:dyDescent="0.25"/>
  <cols>
    <col min="1" max="1" width="12.28515625" style="6" customWidth="1"/>
    <col min="2" max="2" width="10.140625" style="6" customWidth="1"/>
    <col min="3" max="3" width="10.5703125" style="6" customWidth="1"/>
    <col min="4" max="4" width="10.7109375" style="6" customWidth="1"/>
    <col min="5" max="5" width="11.28515625" style="6" customWidth="1"/>
    <col min="6" max="6" width="16.85546875" style="6" customWidth="1"/>
    <col min="7" max="7" width="13.28515625" style="6" customWidth="1"/>
    <col min="8" max="8" width="18.5703125" style="6" customWidth="1"/>
    <col min="9" max="9" width="10.710937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x14ac:dyDescent="0.25">
      <c r="A1" s="186"/>
      <c r="B1" s="187"/>
      <c r="C1" s="187"/>
      <c r="D1" s="187"/>
      <c r="E1" s="187"/>
      <c r="F1" s="187"/>
      <c r="G1" s="187"/>
      <c r="H1" s="187"/>
      <c r="I1" s="187"/>
      <c r="J1" s="203"/>
      <c r="K1" s="6"/>
      <c r="L1" s="6"/>
      <c r="M1" s="6"/>
      <c r="N1" s="6"/>
      <c r="O1" s="6"/>
      <c r="P1" s="6"/>
      <c r="Q1" s="6"/>
      <c r="R1" s="6"/>
      <c r="BC1" s="3"/>
      <c r="BD1" s="3"/>
    </row>
    <row r="2" spans="1:56" s="1" customFormat="1" ht="63.75" customHeight="1" x14ac:dyDescent="0.25">
      <c r="A2" s="204" t="s">
        <v>783</v>
      </c>
      <c r="B2" s="205"/>
      <c r="C2" s="205"/>
      <c r="D2" s="205"/>
      <c r="E2" s="205"/>
      <c r="F2" s="205"/>
      <c r="G2" s="205"/>
      <c r="H2" s="205"/>
      <c r="I2" s="205"/>
      <c r="J2" s="206"/>
      <c r="K2" s="6"/>
      <c r="L2" s="6"/>
      <c r="M2" s="6"/>
      <c r="N2" s="6"/>
      <c r="O2" s="6"/>
      <c r="P2" s="6"/>
      <c r="Q2" s="6"/>
      <c r="R2" s="6"/>
      <c r="BC2" s="68"/>
      <c r="BD2" s="68"/>
    </row>
    <row r="3" spans="1:56" s="19" customFormat="1" ht="24" customHeight="1" x14ac:dyDescent="0.25">
      <c r="A3" s="1044">
        <f>Report_Date</f>
        <v>42856</v>
      </c>
      <c r="B3" s="1044"/>
      <c r="C3" s="6"/>
      <c r="D3" s="6"/>
      <c r="E3" s="6"/>
      <c r="F3" s="6"/>
      <c r="G3" s="6"/>
      <c r="H3" s="6"/>
      <c r="I3" s="6"/>
      <c r="J3" s="6"/>
      <c r="K3" s="6"/>
      <c r="L3" s="6"/>
      <c r="M3" s="6"/>
      <c r="N3" s="6"/>
      <c r="O3" s="6"/>
      <c r="P3" s="6"/>
      <c r="Q3" s="6"/>
      <c r="R3" s="6"/>
      <c r="BC3" s="69"/>
      <c r="BD3" s="69"/>
    </row>
    <row r="4" spans="1:56" s="19" customFormat="1" ht="17.25" customHeight="1" x14ac:dyDescent="0.25">
      <c r="A4" s="754"/>
      <c r="B4" s="754"/>
      <c r="C4" s="46"/>
      <c r="D4" s="46"/>
      <c r="E4" s="46"/>
      <c r="F4" s="46"/>
      <c r="G4" s="46"/>
      <c r="H4" s="46"/>
      <c r="I4" s="46"/>
      <c r="J4" s="46"/>
      <c r="K4" s="46"/>
      <c r="L4" s="46"/>
      <c r="M4" s="46"/>
      <c r="N4" s="46"/>
      <c r="O4" s="46"/>
      <c r="P4" s="46"/>
      <c r="Q4" s="46"/>
      <c r="R4" s="46"/>
      <c r="BC4" s="69"/>
      <c r="BD4" s="69"/>
    </row>
    <row r="5" spans="1:56" s="19" customFormat="1" ht="15.75" x14ac:dyDescent="0.25">
      <c r="A5" s="754" t="s">
        <v>1093</v>
      </c>
      <c r="B5" s="754"/>
      <c r="C5" s="616"/>
      <c r="D5" s="616"/>
      <c r="E5" s="46"/>
      <c r="F5" s="46"/>
      <c r="G5" s="46"/>
      <c r="H5" s="46"/>
      <c r="I5" s="46"/>
      <c r="J5" s="46"/>
      <c r="K5" s="46"/>
      <c r="L5" s="46"/>
      <c r="M5" s="46"/>
      <c r="N5" s="46"/>
      <c r="O5" s="46"/>
      <c r="P5" s="46"/>
      <c r="Q5" s="46"/>
      <c r="R5" s="46"/>
      <c r="BC5" s="69"/>
      <c r="BD5" s="69"/>
    </row>
    <row r="6" spans="1:56" s="19" customFormat="1" ht="15.75" x14ac:dyDescent="0.25">
      <c r="A6" s="755"/>
      <c r="B6" s="754"/>
      <c r="C6" s="46"/>
      <c r="D6" s="46"/>
      <c r="E6" s="46"/>
      <c r="F6" s="46"/>
      <c r="G6" s="46"/>
      <c r="H6" s="46"/>
      <c r="I6" s="46"/>
      <c r="J6" s="46"/>
      <c r="K6" s="46"/>
      <c r="L6" s="46"/>
      <c r="M6" s="46"/>
      <c r="N6" s="46"/>
      <c r="O6" s="46"/>
      <c r="P6" s="46"/>
      <c r="Q6" s="46"/>
      <c r="R6" s="46"/>
      <c r="BC6" s="69"/>
      <c r="BD6" s="69"/>
    </row>
    <row r="7" spans="1:56" x14ac:dyDescent="0.25">
      <c r="A7" s="986" t="s">
        <v>10</v>
      </c>
      <c r="B7" s="986" t="s">
        <v>7</v>
      </c>
      <c r="C7" s="6" t="s">
        <v>218</v>
      </c>
    </row>
    <row r="9" spans="1:56" x14ac:dyDescent="0.25">
      <c r="A9" s="980" t="s">
        <v>212</v>
      </c>
      <c r="B9" s="981" t="s">
        <v>214</v>
      </c>
      <c r="C9" s="981" t="s">
        <v>216</v>
      </c>
      <c r="D9" s="982" t="s">
        <v>215</v>
      </c>
      <c r="M9" s="9" t="s">
        <v>10</v>
      </c>
      <c r="N9" s="6" t="s">
        <v>652</v>
      </c>
      <c r="O9" s="6" t="s">
        <v>218</v>
      </c>
    </row>
    <row r="10" spans="1:56" x14ac:dyDescent="0.25">
      <c r="A10" s="515" t="s">
        <v>349</v>
      </c>
      <c r="B10" s="516">
        <v>50</v>
      </c>
      <c r="C10" s="516"/>
      <c r="D10" s="983"/>
      <c r="T10"/>
      <c r="U10"/>
    </row>
    <row r="11" spans="1:56" x14ac:dyDescent="0.25">
      <c r="A11" s="515" t="s">
        <v>20</v>
      </c>
      <c r="B11" s="516">
        <v>11</v>
      </c>
      <c r="C11" s="516"/>
      <c r="D11" s="983"/>
      <c r="M11" s="9" t="s">
        <v>212</v>
      </c>
      <c r="N11" s="6" t="s">
        <v>215</v>
      </c>
      <c r="O11"/>
      <c r="T11"/>
      <c r="U11"/>
    </row>
    <row r="12" spans="1:56" x14ac:dyDescent="0.25">
      <c r="A12" s="515" t="s">
        <v>11</v>
      </c>
      <c r="B12" s="516">
        <v>2</v>
      </c>
      <c r="C12" s="516"/>
      <c r="D12" s="983"/>
      <c r="M12" s="7" t="s">
        <v>19</v>
      </c>
      <c r="N12" s="8">
        <v>99482</v>
      </c>
      <c r="O12"/>
      <c r="T12"/>
      <c r="U12"/>
    </row>
    <row r="13" spans="1:56" x14ac:dyDescent="0.25">
      <c r="A13" s="515" t="s">
        <v>14</v>
      </c>
      <c r="B13" s="516">
        <v>1</v>
      </c>
      <c r="C13" s="516"/>
      <c r="D13" s="983"/>
      <c r="M13" s="7" t="s">
        <v>14</v>
      </c>
      <c r="N13" s="8">
        <v>20395</v>
      </c>
      <c r="O13"/>
      <c r="T13"/>
      <c r="U13"/>
    </row>
    <row r="14" spans="1:56" x14ac:dyDescent="0.25">
      <c r="A14" s="515" t="s">
        <v>19</v>
      </c>
      <c r="B14" s="516">
        <v>35</v>
      </c>
      <c r="C14" s="516"/>
      <c r="D14" s="983"/>
      <c r="M14" s="7" t="s">
        <v>15</v>
      </c>
      <c r="N14" s="8">
        <v>6527</v>
      </c>
      <c r="O14"/>
      <c r="T14"/>
      <c r="U14"/>
    </row>
    <row r="15" spans="1:56" x14ac:dyDescent="0.25">
      <c r="A15" s="515" t="s">
        <v>1002</v>
      </c>
      <c r="B15" s="516">
        <v>1</v>
      </c>
      <c r="C15" s="516"/>
      <c r="D15" s="983"/>
      <c r="M15" s="7" t="s">
        <v>11</v>
      </c>
      <c r="N15" s="8">
        <v>5638</v>
      </c>
      <c r="O15"/>
      <c r="T15"/>
      <c r="U15"/>
    </row>
    <row r="16" spans="1:56" x14ac:dyDescent="0.25">
      <c r="A16" s="515" t="s">
        <v>348</v>
      </c>
      <c r="B16" s="516">
        <v>36</v>
      </c>
      <c r="C16" s="516">
        <v>23655</v>
      </c>
      <c r="D16" s="983">
        <v>120699</v>
      </c>
      <c r="M16" s="7" t="s">
        <v>16</v>
      </c>
      <c r="N16" s="8">
        <v>4055</v>
      </c>
      <c r="O16"/>
      <c r="T16"/>
      <c r="U16"/>
    </row>
    <row r="17" spans="1:21" x14ac:dyDescent="0.25">
      <c r="A17" s="515" t="s">
        <v>15</v>
      </c>
      <c r="B17" s="516">
        <v>1</v>
      </c>
      <c r="C17" s="516">
        <v>85</v>
      </c>
      <c r="D17" s="983">
        <v>546</v>
      </c>
      <c r="M17" s="7" t="s">
        <v>1002</v>
      </c>
      <c r="N17" s="8">
        <v>3826</v>
      </c>
      <c r="O17"/>
      <c r="T17"/>
      <c r="U17"/>
    </row>
    <row r="18" spans="1:21" x14ac:dyDescent="0.25">
      <c r="A18" s="515" t="s">
        <v>20</v>
      </c>
      <c r="B18" s="516">
        <v>8</v>
      </c>
      <c r="C18" s="516">
        <v>184</v>
      </c>
      <c r="D18" s="983">
        <v>1148</v>
      </c>
      <c r="M18" s="7" t="s">
        <v>866</v>
      </c>
      <c r="N18" s="8">
        <v>2860</v>
      </c>
      <c r="O18"/>
      <c r="T18"/>
      <c r="U18"/>
    </row>
    <row r="19" spans="1:21" x14ac:dyDescent="0.25">
      <c r="A19" s="515" t="s">
        <v>14</v>
      </c>
      <c r="B19" s="516">
        <v>4</v>
      </c>
      <c r="C19" s="516">
        <v>3640</v>
      </c>
      <c r="D19" s="983">
        <v>16034</v>
      </c>
      <c r="M19" s="7" t="s">
        <v>607</v>
      </c>
      <c r="N19" s="8">
        <v>1601</v>
      </c>
      <c r="O19"/>
      <c r="T19"/>
      <c r="U19"/>
    </row>
    <row r="20" spans="1:21" x14ac:dyDescent="0.25">
      <c r="A20" s="515" t="s">
        <v>18</v>
      </c>
      <c r="B20" s="516">
        <v>2</v>
      </c>
      <c r="C20" s="516">
        <v>75</v>
      </c>
      <c r="D20" s="983">
        <v>264</v>
      </c>
      <c r="M20" s="7" t="s">
        <v>20</v>
      </c>
      <c r="N20" s="8">
        <v>1257</v>
      </c>
      <c r="O20"/>
      <c r="T20"/>
      <c r="U20"/>
    </row>
    <row r="21" spans="1:21" x14ac:dyDescent="0.25">
      <c r="A21" s="515" t="s">
        <v>16</v>
      </c>
      <c r="B21" s="516">
        <v>3</v>
      </c>
      <c r="C21" s="516">
        <v>661</v>
      </c>
      <c r="D21" s="983">
        <v>3566</v>
      </c>
      <c r="M21" s="7" t="s">
        <v>18</v>
      </c>
      <c r="N21" s="8">
        <v>264</v>
      </c>
      <c r="O21"/>
      <c r="T21"/>
      <c r="U21"/>
    </row>
    <row r="22" spans="1:21" x14ac:dyDescent="0.25">
      <c r="A22" s="515" t="s">
        <v>19</v>
      </c>
      <c r="B22" s="516">
        <v>15</v>
      </c>
      <c r="C22" s="516">
        <v>17820</v>
      </c>
      <c r="D22" s="983">
        <v>94884</v>
      </c>
      <c r="M22" s="7" t="s">
        <v>995</v>
      </c>
      <c r="N22" s="8"/>
      <c r="O22"/>
      <c r="T22"/>
      <c r="U22"/>
    </row>
    <row r="23" spans="1:21" x14ac:dyDescent="0.25">
      <c r="A23" s="515" t="s">
        <v>866</v>
      </c>
      <c r="B23" s="516">
        <v>1</v>
      </c>
      <c r="C23" s="516">
        <v>698</v>
      </c>
      <c r="D23" s="983">
        <v>2656</v>
      </c>
      <c r="M23" s="10" t="s">
        <v>213</v>
      </c>
      <c r="N23" s="11">
        <v>145905</v>
      </c>
      <c r="O23"/>
      <c r="T23"/>
      <c r="U23"/>
    </row>
    <row r="24" spans="1:21" x14ac:dyDescent="0.25">
      <c r="A24" s="515" t="s">
        <v>607</v>
      </c>
      <c r="B24" s="516">
        <v>2</v>
      </c>
      <c r="C24" s="516">
        <v>492</v>
      </c>
      <c r="D24" s="983">
        <v>1601</v>
      </c>
      <c r="M24"/>
      <c r="N24"/>
      <c r="O24"/>
      <c r="T24"/>
      <c r="U24"/>
    </row>
    <row r="25" spans="1:21" x14ac:dyDescent="0.25">
      <c r="A25" s="515" t="s">
        <v>1004</v>
      </c>
      <c r="B25" s="516">
        <v>10</v>
      </c>
      <c r="C25" s="516">
        <v>1982</v>
      </c>
      <c r="D25" s="983">
        <v>9915</v>
      </c>
      <c r="M25"/>
      <c r="N25"/>
      <c r="O25"/>
      <c r="T25"/>
      <c r="U25"/>
    </row>
    <row r="26" spans="1:21" x14ac:dyDescent="0.25">
      <c r="A26" s="515" t="s">
        <v>15</v>
      </c>
      <c r="B26" s="516">
        <v>1</v>
      </c>
      <c r="C26" s="516">
        <v>97</v>
      </c>
      <c r="D26" s="983">
        <v>557</v>
      </c>
      <c r="M26"/>
      <c r="N26"/>
      <c r="O26"/>
      <c r="T26"/>
      <c r="U26"/>
    </row>
    <row r="27" spans="1:21" x14ac:dyDescent="0.25">
      <c r="A27" s="515" t="s">
        <v>14</v>
      </c>
      <c r="B27" s="516">
        <v>2</v>
      </c>
      <c r="C27" s="516">
        <v>912</v>
      </c>
      <c r="D27" s="983">
        <v>4361</v>
      </c>
      <c r="M27"/>
      <c r="N27"/>
      <c r="T27"/>
      <c r="U27"/>
    </row>
    <row r="28" spans="1:21" x14ac:dyDescent="0.25">
      <c r="A28" s="515" t="s">
        <v>19</v>
      </c>
      <c r="B28" s="516">
        <v>4</v>
      </c>
      <c r="C28" s="516">
        <v>890</v>
      </c>
      <c r="D28" s="983">
        <v>4598</v>
      </c>
      <c r="M28"/>
      <c r="N28"/>
      <c r="T28"/>
      <c r="U28"/>
    </row>
    <row r="29" spans="1:21" x14ac:dyDescent="0.25">
      <c r="A29" s="515" t="s">
        <v>866</v>
      </c>
      <c r="B29" s="516">
        <v>1</v>
      </c>
      <c r="C29" s="516">
        <v>42</v>
      </c>
      <c r="D29" s="983">
        <v>204</v>
      </c>
      <c r="T29"/>
      <c r="U29"/>
    </row>
    <row r="30" spans="1:21" x14ac:dyDescent="0.25">
      <c r="A30" s="515" t="s">
        <v>1002</v>
      </c>
      <c r="B30" s="516">
        <v>2</v>
      </c>
      <c r="C30" s="516">
        <v>41</v>
      </c>
      <c r="D30" s="983">
        <v>195</v>
      </c>
      <c r="T30"/>
      <c r="U30"/>
    </row>
    <row r="31" spans="1:21" x14ac:dyDescent="0.25">
      <c r="A31" s="515" t="s">
        <v>1005</v>
      </c>
      <c r="B31" s="516">
        <v>21</v>
      </c>
      <c r="C31" s="516">
        <v>2402</v>
      </c>
      <c r="D31" s="983">
        <v>15291</v>
      </c>
      <c r="T31"/>
      <c r="U31"/>
    </row>
    <row r="32" spans="1:21" x14ac:dyDescent="0.25">
      <c r="A32" s="515" t="s">
        <v>15</v>
      </c>
      <c r="B32" s="516">
        <v>9</v>
      </c>
      <c r="C32" s="516">
        <v>819</v>
      </c>
      <c r="D32" s="983">
        <v>5424</v>
      </c>
      <c r="T32"/>
      <c r="U32"/>
    </row>
    <row r="33" spans="1:21" x14ac:dyDescent="0.25">
      <c r="A33" s="515" t="s">
        <v>20</v>
      </c>
      <c r="B33" s="516">
        <v>1</v>
      </c>
      <c r="C33" s="516">
        <v>17</v>
      </c>
      <c r="D33" s="983">
        <v>109</v>
      </c>
      <c r="T33"/>
      <c r="U33"/>
    </row>
    <row r="34" spans="1:21" x14ac:dyDescent="0.25">
      <c r="A34" s="515" t="s">
        <v>11</v>
      </c>
      <c r="B34" s="516">
        <v>7</v>
      </c>
      <c r="C34" s="516">
        <v>911</v>
      </c>
      <c r="D34" s="983">
        <v>5638</v>
      </c>
      <c r="T34"/>
      <c r="U34"/>
    </row>
    <row r="35" spans="1:21" x14ac:dyDescent="0.25">
      <c r="A35" s="515" t="s">
        <v>16</v>
      </c>
      <c r="B35" s="516">
        <v>2</v>
      </c>
      <c r="C35" s="516">
        <v>86</v>
      </c>
      <c r="D35" s="983">
        <v>489</v>
      </c>
      <c r="T35" s="90"/>
      <c r="U35" s="90"/>
    </row>
    <row r="36" spans="1:21" x14ac:dyDescent="0.25">
      <c r="A36" s="515" t="s">
        <v>1002</v>
      </c>
      <c r="B36" s="516">
        <v>2</v>
      </c>
      <c r="C36" s="516">
        <v>569</v>
      </c>
      <c r="D36" s="983">
        <v>3631</v>
      </c>
      <c r="T36"/>
      <c r="U36"/>
    </row>
    <row r="37" spans="1:21" x14ac:dyDescent="0.25">
      <c r="A37" s="984" t="s">
        <v>213</v>
      </c>
      <c r="B37" s="517">
        <v>117</v>
      </c>
      <c r="C37" s="517">
        <v>28039</v>
      </c>
      <c r="D37" s="985">
        <v>145905</v>
      </c>
      <c r="T37" s="90"/>
      <c r="U37" s="90"/>
    </row>
    <row r="38" spans="1:21" x14ac:dyDescent="0.25">
      <c r="A38"/>
      <c r="B38"/>
      <c r="C38"/>
      <c r="D38"/>
      <c r="T38" s="90"/>
      <c r="U38" s="90"/>
    </row>
    <row r="39" spans="1:21" x14ac:dyDescent="0.25">
      <c r="A39"/>
      <c r="B39"/>
      <c r="C39"/>
      <c r="D39"/>
      <c r="T39" s="90"/>
      <c r="U39" s="90"/>
    </row>
    <row r="40" spans="1:21" x14ac:dyDescent="0.25">
      <c r="A40" s="515"/>
      <c r="B40" s="516"/>
      <c r="C40" s="516"/>
      <c r="D40" s="516"/>
      <c r="T40" s="90"/>
      <c r="U40" s="90"/>
    </row>
    <row r="41" spans="1:21" x14ac:dyDescent="0.25">
      <c r="A41" s="516"/>
      <c r="B41" s="516"/>
      <c r="C41" s="516"/>
      <c r="D41" s="516"/>
      <c r="T41" s="90"/>
      <c r="U41" s="90"/>
    </row>
    <row r="42" spans="1:21" ht="15.75" x14ac:dyDescent="0.25">
      <c r="A42" s="844" t="s">
        <v>1094</v>
      </c>
      <c r="B42" s="517"/>
      <c r="C42" s="516"/>
      <c r="D42" s="516"/>
      <c r="T42" s="90"/>
      <c r="U42" s="90"/>
    </row>
    <row r="43" spans="1:21" x14ac:dyDescent="0.25">
      <c r="A43" s="388" t="s">
        <v>346</v>
      </c>
      <c r="B43" s="388" t="s">
        <v>348</v>
      </c>
      <c r="E43"/>
      <c r="T43" s="90"/>
      <c r="U43" s="90"/>
    </row>
    <row r="44" spans="1:21" x14ac:dyDescent="0.25">
      <c r="A44"/>
      <c r="B44"/>
      <c r="C44"/>
      <c r="E44" s="1"/>
      <c r="T44"/>
      <c r="U44"/>
    </row>
    <row r="45" spans="1:21" x14ac:dyDescent="0.25">
      <c r="A45" s="200"/>
      <c r="B45" s="393" t="s">
        <v>664</v>
      </c>
      <c r="C45" s="201"/>
      <c r="D45" s="202"/>
      <c r="E45"/>
      <c r="T45"/>
      <c r="U45"/>
    </row>
    <row r="46" spans="1:21" x14ac:dyDescent="0.25">
      <c r="A46" s="175"/>
      <c r="B46" s="1" t="s">
        <v>660</v>
      </c>
      <c r="C46" s="1" t="s">
        <v>661</v>
      </c>
      <c r="D46" s="182" t="s">
        <v>213</v>
      </c>
      <c r="T46"/>
      <c r="U46"/>
    </row>
    <row r="47" spans="1:21" x14ac:dyDescent="0.25">
      <c r="A47" s="184" t="s">
        <v>722</v>
      </c>
      <c r="B47" s="268">
        <v>104799</v>
      </c>
      <c r="C47" s="268">
        <v>15900</v>
      </c>
      <c r="D47" s="386">
        <v>120699</v>
      </c>
      <c r="L47"/>
      <c r="M47"/>
      <c r="T47"/>
      <c r="U47"/>
    </row>
    <row r="48" spans="1:21" ht="15.75" x14ac:dyDescent="0.25">
      <c r="G48" s="842" t="s">
        <v>1041</v>
      </c>
      <c r="L48"/>
      <c r="M48"/>
      <c r="T48"/>
      <c r="U48"/>
    </row>
    <row r="49" spans="1:21" ht="15.75" x14ac:dyDescent="0.25">
      <c r="A49" s="843" t="s">
        <v>1095</v>
      </c>
      <c r="G49" s="394" t="s">
        <v>346</v>
      </c>
      <c r="H49" s="196" t="s">
        <v>348</v>
      </c>
      <c r="L49"/>
      <c r="M49"/>
      <c r="T49"/>
      <c r="U49"/>
    </row>
    <row r="50" spans="1:21" x14ac:dyDescent="0.25">
      <c r="A50" s="199" t="s">
        <v>346</v>
      </c>
      <c r="B50" s="790" t="s">
        <v>348</v>
      </c>
      <c r="G50" s="90"/>
      <c r="H50" s="90"/>
      <c r="L50"/>
      <c r="M50"/>
      <c r="T50"/>
      <c r="U50"/>
    </row>
    <row r="51" spans="1:21" x14ac:dyDescent="0.25">
      <c r="A51" s="90"/>
      <c r="B51" s="90"/>
      <c r="C51"/>
      <c r="G51" s="395" t="s">
        <v>534</v>
      </c>
      <c r="H51" s="393" t="s">
        <v>664</v>
      </c>
      <c r="I51" s="201"/>
      <c r="J51" s="202"/>
      <c r="L51"/>
      <c r="M51"/>
      <c r="T51"/>
      <c r="U51"/>
    </row>
    <row r="52" spans="1:21" x14ac:dyDescent="0.25">
      <c r="A52" s="200"/>
      <c r="B52" s="393" t="s">
        <v>664</v>
      </c>
      <c r="C52" s="201"/>
      <c r="D52" s="201"/>
      <c r="E52" s="202"/>
      <c r="F52"/>
      <c r="G52" s="396" t="s">
        <v>212</v>
      </c>
      <c r="H52" s="1" t="s">
        <v>660</v>
      </c>
      <c r="I52" s="1" t="s">
        <v>661</v>
      </c>
      <c r="J52" s="182" t="s">
        <v>213</v>
      </c>
      <c r="L52"/>
      <c r="T52"/>
      <c r="U52"/>
    </row>
    <row r="53" spans="1:21" x14ac:dyDescent="0.25">
      <c r="A53" s="175"/>
      <c r="B53" s="1" t="s">
        <v>759</v>
      </c>
      <c r="C53" s="1" t="s">
        <v>766</v>
      </c>
      <c r="D53" s="1" t="s">
        <v>991</v>
      </c>
      <c r="E53" s="182" t="s">
        <v>213</v>
      </c>
      <c r="F53"/>
      <c r="G53" s="397" t="s">
        <v>288</v>
      </c>
      <c r="H53" s="55">
        <v>57209</v>
      </c>
      <c r="I53" s="55"/>
      <c r="J53" s="398">
        <v>57209</v>
      </c>
      <c r="L53"/>
      <c r="T53"/>
      <c r="U53"/>
    </row>
    <row r="54" spans="1:21" x14ac:dyDescent="0.25">
      <c r="A54" s="184" t="s">
        <v>534</v>
      </c>
      <c r="B54" s="268">
        <v>404</v>
      </c>
      <c r="C54" s="268">
        <v>2683</v>
      </c>
      <c r="D54" s="268">
        <v>117612</v>
      </c>
      <c r="E54" s="386">
        <v>120699</v>
      </c>
      <c r="F54"/>
      <c r="G54" s="397" t="s">
        <v>623</v>
      </c>
      <c r="H54" s="55">
        <v>38317</v>
      </c>
      <c r="I54" s="55"/>
      <c r="J54" s="398">
        <v>38317</v>
      </c>
      <c r="L54"/>
      <c r="T54"/>
      <c r="U54"/>
    </row>
    <row r="55" spans="1:21" x14ac:dyDescent="0.25">
      <c r="G55" s="397" t="s">
        <v>285</v>
      </c>
      <c r="H55" s="55"/>
      <c r="I55" s="55">
        <v>13244</v>
      </c>
      <c r="J55" s="398">
        <v>13244</v>
      </c>
      <c r="T55"/>
      <c r="U55"/>
    </row>
    <row r="56" spans="1:21" x14ac:dyDescent="0.25">
      <c r="G56" s="397" t="s">
        <v>970</v>
      </c>
      <c r="H56" s="55">
        <v>9273</v>
      </c>
      <c r="I56" s="55"/>
      <c r="J56" s="398">
        <v>9273</v>
      </c>
      <c r="T56"/>
      <c r="U56"/>
    </row>
    <row r="57" spans="1:21" x14ac:dyDescent="0.25">
      <c r="G57" s="397" t="s">
        <v>706</v>
      </c>
      <c r="H57" s="55"/>
      <c r="I57" s="55">
        <v>2656</v>
      </c>
      <c r="J57" s="398">
        <v>2656</v>
      </c>
      <c r="T57"/>
      <c r="U57"/>
    </row>
    <row r="58" spans="1:21" customFormat="1" x14ac:dyDescent="0.25">
      <c r="A58" s="6"/>
      <c r="B58" s="6"/>
      <c r="C58" s="6"/>
      <c r="D58" s="6"/>
      <c r="E58" s="6"/>
      <c r="F58" s="6"/>
      <c r="G58" s="399" t="s">
        <v>213</v>
      </c>
      <c r="H58" s="268">
        <v>104799</v>
      </c>
      <c r="I58" s="268">
        <v>15900</v>
      </c>
      <c r="J58" s="386">
        <v>120699</v>
      </c>
      <c r="K58" s="6"/>
      <c r="L58" s="6"/>
      <c r="M58" s="6"/>
      <c r="N58" s="6"/>
      <c r="O58" s="6"/>
      <c r="P58" s="6"/>
      <c r="Q58" s="6"/>
      <c r="R58" s="6"/>
    </row>
    <row r="59" spans="1:21" customFormat="1" x14ac:dyDescent="0.25">
      <c r="A59" s="6"/>
      <c r="B59" s="6"/>
      <c r="C59" s="6"/>
      <c r="D59" s="6"/>
      <c r="E59" s="6"/>
      <c r="F59" s="6"/>
      <c r="G59" s="6"/>
      <c r="H59" s="6"/>
      <c r="I59" s="6"/>
      <c r="J59" s="6"/>
      <c r="K59" s="6"/>
      <c r="L59" s="6"/>
      <c r="M59" s="6"/>
      <c r="N59" s="6"/>
      <c r="O59" s="6"/>
      <c r="P59" s="6"/>
      <c r="Q59" s="6"/>
      <c r="R59" s="6"/>
    </row>
    <row r="60" spans="1:21" customFormat="1" ht="15.75" x14ac:dyDescent="0.25">
      <c r="A60" s="842" t="s">
        <v>997</v>
      </c>
      <c r="B60" s="6"/>
      <c r="C60" s="6"/>
      <c r="D60" s="6"/>
      <c r="E60" s="6"/>
      <c r="F60" s="6"/>
      <c r="G60" s="6"/>
      <c r="H60" s="6"/>
      <c r="I60" s="6"/>
      <c r="J60" s="6"/>
      <c r="K60" s="6"/>
      <c r="L60" s="6"/>
      <c r="M60" s="6"/>
      <c r="N60" s="6"/>
      <c r="O60" s="6"/>
      <c r="P60" s="6"/>
      <c r="Q60" s="6"/>
      <c r="R60" s="6"/>
    </row>
    <row r="61" spans="1:21" customFormat="1" x14ac:dyDescent="0.25">
      <c r="A61" s="6"/>
      <c r="B61" s="6"/>
      <c r="C61" s="6"/>
      <c r="D61" s="6"/>
      <c r="E61" s="6"/>
      <c r="F61" s="6"/>
      <c r="G61" s="6"/>
      <c r="H61" s="6"/>
      <c r="I61" s="6"/>
      <c r="J61" s="6"/>
      <c r="K61" s="6"/>
      <c r="L61" s="6"/>
      <c r="M61" s="6"/>
      <c r="N61" s="6"/>
      <c r="O61" s="6"/>
      <c r="P61" s="6"/>
      <c r="Q61" s="6"/>
      <c r="R61" s="6"/>
    </row>
    <row r="62" spans="1:21" customFormat="1" x14ac:dyDescent="0.25">
      <c r="A62" s="199" t="s">
        <v>346</v>
      </c>
      <c r="B62" s="790" t="s">
        <v>348</v>
      </c>
      <c r="C62" s="6"/>
      <c r="D62" s="6"/>
      <c r="E62" s="6"/>
      <c r="F62" s="6"/>
      <c r="G62" s="6"/>
      <c r="H62" s="6"/>
      <c r="I62" s="6"/>
      <c r="J62" s="6"/>
      <c r="K62" s="6"/>
      <c r="L62" s="6"/>
      <c r="M62" s="6"/>
      <c r="N62" s="6"/>
      <c r="O62" s="6"/>
      <c r="P62" s="6"/>
      <c r="Q62" s="6"/>
      <c r="R62" s="6"/>
    </row>
    <row r="63" spans="1:21" customFormat="1" x14ac:dyDescent="0.25">
      <c r="A63" s="199" t="s">
        <v>24</v>
      </c>
      <c r="B63" s="790" t="s">
        <v>767</v>
      </c>
      <c r="C63" s="6"/>
      <c r="D63" s="6"/>
      <c r="E63" s="6"/>
      <c r="F63" s="6"/>
      <c r="G63" s="6"/>
      <c r="H63" s="6"/>
      <c r="I63" s="6"/>
      <c r="J63" s="6"/>
      <c r="K63" s="6"/>
      <c r="L63" s="6"/>
      <c r="M63" s="6"/>
      <c r="N63" s="6"/>
      <c r="O63" s="6"/>
      <c r="P63" s="6"/>
      <c r="Q63" s="6"/>
      <c r="R63" s="6"/>
    </row>
    <row r="64" spans="1:21" customFormat="1" x14ac:dyDescent="0.25">
      <c r="C64" s="6"/>
      <c r="D64" s="6"/>
      <c r="E64" s="6"/>
      <c r="F64" s="6"/>
      <c r="G64" s="6"/>
      <c r="H64" s="6"/>
      <c r="I64" s="6"/>
      <c r="J64" s="6"/>
      <c r="K64" s="6"/>
      <c r="L64" s="6"/>
      <c r="M64" s="6"/>
      <c r="N64" s="6"/>
      <c r="O64" s="6"/>
      <c r="P64" s="6"/>
      <c r="Q64" s="6"/>
      <c r="R64" s="6"/>
    </row>
    <row r="65" spans="1:33" customFormat="1" x14ac:dyDescent="0.25">
      <c r="A65" s="395" t="s">
        <v>534</v>
      </c>
      <c r="B65" s="393" t="s">
        <v>664</v>
      </c>
      <c r="C65" s="201"/>
      <c r="D65" s="202"/>
      <c r="G65" s="6"/>
      <c r="H65" s="6"/>
      <c r="I65" s="6"/>
      <c r="J65" s="6"/>
      <c r="K65" s="6"/>
      <c r="L65" s="6"/>
      <c r="M65" s="6"/>
      <c r="N65" s="6"/>
      <c r="O65" s="6"/>
      <c r="P65" s="6"/>
      <c r="Q65" s="6"/>
      <c r="R65" s="6"/>
    </row>
    <row r="66" spans="1:33" customFormat="1" x14ac:dyDescent="0.25">
      <c r="A66" s="396" t="s">
        <v>212</v>
      </c>
      <c r="B66" s="1" t="s">
        <v>766</v>
      </c>
      <c r="C66" s="1" t="s">
        <v>991</v>
      </c>
      <c r="D66" s="182" t="s">
        <v>213</v>
      </c>
      <c r="G66" s="6"/>
      <c r="H66" s="6"/>
      <c r="I66" s="6"/>
      <c r="J66" s="6"/>
      <c r="K66" s="6"/>
      <c r="L66" s="6"/>
      <c r="M66" s="6"/>
      <c r="N66" s="6"/>
      <c r="O66" s="6"/>
      <c r="P66" s="6"/>
      <c r="Q66" s="6"/>
      <c r="R66" s="6"/>
    </row>
    <row r="67" spans="1:33" x14ac:dyDescent="0.25">
      <c r="A67" s="397" t="s">
        <v>14</v>
      </c>
      <c r="B67" s="791">
        <v>2683</v>
      </c>
      <c r="C67" s="791">
        <v>13351</v>
      </c>
      <c r="D67" s="402">
        <v>16034</v>
      </c>
      <c r="E67"/>
      <c r="F67"/>
      <c r="S67"/>
      <c r="T67" s="90" t="s">
        <v>213</v>
      </c>
      <c r="U67"/>
      <c r="V67"/>
      <c r="W67"/>
      <c r="X67"/>
      <c r="Y67"/>
      <c r="Z67"/>
      <c r="AA67"/>
      <c r="AB67"/>
      <c r="AC67"/>
      <c r="AD67"/>
      <c r="AE67"/>
      <c r="AF67"/>
      <c r="AG67"/>
    </row>
    <row r="68" spans="1:33" x14ac:dyDescent="0.25">
      <c r="A68" s="403" t="s">
        <v>40</v>
      </c>
      <c r="B68" s="791"/>
      <c r="C68" s="791">
        <v>4280</v>
      </c>
      <c r="D68" s="402">
        <v>4280</v>
      </c>
      <c r="E68"/>
      <c r="F68"/>
      <c r="S68" s="4">
        <v>26883</v>
      </c>
      <c r="T68" s="4">
        <v>144967</v>
      </c>
      <c r="U68"/>
    </row>
    <row r="69" spans="1:33" x14ac:dyDescent="0.25">
      <c r="A69" s="403" t="s">
        <v>42</v>
      </c>
      <c r="B69" s="791"/>
      <c r="C69" s="791">
        <v>5125</v>
      </c>
      <c r="D69" s="402">
        <v>5125</v>
      </c>
      <c r="E69"/>
      <c r="F69"/>
      <c r="T69"/>
      <c r="U69"/>
    </row>
    <row r="70" spans="1:33" x14ac:dyDescent="0.25">
      <c r="A70" s="403" t="s">
        <v>43</v>
      </c>
      <c r="B70" s="791">
        <v>2683</v>
      </c>
      <c r="C70" s="791"/>
      <c r="D70" s="402">
        <v>2683</v>
      </c>
      <c r="E70"/>
      <c r="F70"/>
      <c r="T70"/>
      <c r="U70"/>
    </row>
    <row r="71" spans="1:33" x14ac:dyDescent="0.25">
      <c r="A71" s="403" t="s">
        <v>1067</v>
      </c>
      <c r="B71" s="791"/>
      <c r="C71" s="791">
        <v>3946</v>
      </c>
      <c r="D71" s="402">
        <v>3946</v>
      </c>
      <c r="E71"/>
      <c r="F71"/>
      <c r="T71"/>
      <c r="U71"/>
    </row>
    <row r="72" spans="1:33" x14ac:dyDescent="0.25">
      <c r="A72" s="397" t="s">
        <v>19</v>
      </c>
      <c r="B72" s="791"/>
      <c r="C72" s="791">
        <v>88765</v>
      </c>
      <c r="D72" s="402">
        <v>88765</v>
      </c>
      <c r="E72"/>
      <c r="F72"/>
      <c r="T72"/>
      <c r="U72"/>
    </row>
    <row r="73" spans="1:33" x14ac:dyDescent="0.25">
      <c r="A73" s="403" t="s">
        <v>61</v>
      </c>
      <c r="B73" s="791"/>
      <c r="C73" s="791">
        <v>2240</v>
      </c>
      <c r="D73" s="402">
        <v>2240</v>
      </c>
      <c r="E73"/>
      <c r="F73"/>
      <c r="T73"/>
      <c r="U73"/>
    </row>
    <row r="74" spans="1:33" x14ac:dyDescent="0.25">
      <c r="A74" s="403" t="s">
        <v>629</v>
      </c>
      <c r="B74" s="791"/>
      <c r="C74" s="791">
        <v>4890</v>
      </c>
      <c r="D74" s="402">
        <v>4890</v>
      </c>
      <c r="E74"/>
      <c r="F74"/>
      <c r="T74"/>
      <c r="U74"/>
    </row>
    <row r="75" spans="1:33" x14ac:dyDescent="0.25">
      <c r="A75" s="403" t="s">
        <v>630</v>
      </c>
      <c r="B75" s="791"/>
      <c r="C75" s="791">
        <v>6967</v>
      </c>
      <c r="D75" s="402">
        <v>6967</v>
      </c>
      <c r="E75"/>
      <c r="F75"/>
      <c r="T75"/>
      <c r="U75"/>
    </row>
    <row r="76" spans="1:33" x14ac:dyDescent="0.25">
      <c r="A76" s="403" t="s">
        <v>63</v>
      </c>
      <c r="B76" s="791"/>
      <c r="C76" s="791">
        <v>8208</v>
      </c>
      <c r="D76" s="402">
        <v>8208</v>
      </c>
      <c r="E76"/>
      <c r="F76"/>
      <c r="T76"/>
      <c r="U76"/>
    </row>
    <row r="77" spans="1:33" x14ac:dyDescent="0.25">
      <c r="A77" s="403" t="s">
        <v>64</v>
      </c>
      <c r="B77" s="791"/>
      <c r="C77" s="791">
        <v>4428</v>
      </c>
      <c r="D77" s="402">
        <v>4428</v>
      </c>
      <c r="E77"/>
      <c r="F77"/>
      <c r="T77"/>
      <c r="U77"/>
    </row>
    <row r="78" spans="1:33" x14ac:dyDescent="0.25">
      <c r="A78" s="403" t="s">
        <v>628</v>
      </c>
      <c r="B78" s="791"/>
      <c r="C78" s="791">
        <v>3435</v>
      </c>
      <c r="D78" s="402">
        <v>3435</v>
      </c>
      <c r="E78"/>
      <c r="F78"/>
      <c r="T78"/>
      <c r="U78"/>
    </row>
    <row r="79" spans="1:33" x14ac:dyDescent="0.25">
      <c r="A79" s="403" t="s">
        <v>633</v>
      </c>
      <c r="B79" s="791"/>
      <c r="C79" s="791">
        <v>3408</v>
      </c>
      <c r="D79" s="402">
        <v>3408</v>
      </c>
      <c r="E79"/>
      <c r="F79"/>
    </row>
    <row r="80" spans="1:33" x14ac:dyDescent="0.25">
      <c r="A80" s="403" t="s">
        <v>634</v>
      </c>
      <c r="B80" s="791"/>
      <c r="C80" s="791">
        <v>13655</v>
      </c>
      <c r="D80" s="402">
        <v>13655</v>
      </c>
      <c r="E80"/>
      <c r="F80"/>
    </row>
    <row r="81" spans="1:6" x14ac:dyDescent="0.25">
      <c r="A81" s="403" t="s">
        <v>635</v>
      </c>
      <c r="B81" s="791"/>
      <c r="C81" s="791">
        <v>11659</v>
      </c>
      <c r="D81" s="402">
        <v>11659</v>
      </c>
      <c r="E81"/>
      <c r="F81"/>
    </row>
    <row r="82" spans="1:6" x14ac:dyDescent="0.25">
      <c r="A82" s="403" t="s">
        <v>67</v>
      </c>
      <c r="B82" s="791"/>
      <c r="C82" s="791">
        <v>12273</v>
      </c>
      <c r="D82" s="402">
        <v>12273</v>
      </c>
      <c r="E82"/>
      <c r="F82"/>
    </row>
    <row r="83" spans="1:6" x14ac:dyDescent="0.25">
      <c r="A83" s="403" t="s">
        <v>68</v>
      </c>
      <c r="B83" s="791"/>
      <c r="C83" s="791">
        <v>11764</v>
      </c>
      <c r="D83" s="402">
        <v>11764</v>
      </c>
      <c r="E83"/>
      <c r="F83"/>
    </row>
    <row r="84" spans="1:6" x14ac:dyDescent="0.25">
      <c r="A84" s="403" t="s">
        <v>70</v>
      </c>
      <c r="B84" s="791"/>
      <c r="C84" s="791">
        <v>5838</v>
      </c>
      <c r="D84" s="402">
        <v>5838</v>
      </c>
      <c r="E84"/>
      <c r="F84"/>
    </row>
    <row r="85" spans="1:6" ht="14.25" customHeight="1" x14ac:dyDescent="0.25">
      <c r="A85" s="397" t="s">
        <v>866</v>
      </c>
      <c r="B85" s="791"/>
      <c r="C85" s="791">
        <v>2656</v>
      </c>
      <c r="D85" s="402">
        <v>2656</v>
      </c>
      <c r="E85"/>
      <c r="F85"/>
    </row>
    <row r="86" spans="1:6" ht="12" customHeight="1" x14ac:dyDescent="0.25">
      <c r="A86" s="403" t="s">
        <v>38</v>
      </c>
      <c r="B86" s="791"/>
      <c r="C86" s="791">
        <v>2656</v>
      </c>
      <c r="D86" s="402">
        <v>2656</v>
      </c>
      <c r="E86"/>
      <c r="F86"/>
    </row>
    <row r="87" spans="1:6" x14ac:dyDescent="0.25">
      <c r="A87" s="399" t="s">
        <v>213</v>
      </c>
      <c r="B87" s="387">
        <v>2683</v>
      </c>
      <c r="C87" s="387">
        <v>104772</v>
      </c>
      <c r="D87" s="404">
        <v>107455</v>
      </c>
      <c r="E87"/>
      <c r="F87"/>
    </row>
    <row r="88" spans="1:6" x14ac:dyDescent="0.25">
      <c r="A88"/>
      <c r="B88"/>
      <c r="C88"/>
      <c r="D88"/>
      <c r="E88"/>
      <c r="F88"/>
    </row>
    <row r="89" spans="1:6" x14ac:dyDescent="0.25">
      <c r="A89"/>
      <c r="B89"/>
      <c r="C89"/>
      <c r="D89"/>
      <c r="E89"/>
      <c r="F89"/>
    </row>
    <row r="90" spans="1:6" x14ac:dyDescent="0.25">
      <c r="A90"/>
      <c r="B90"/>
      <c r="C90"/>
      <c r="D90"/>
      <c r="E90"/>
      <c r="F90"/>
    </row>
    <row r="91" spans="1:6" x14ac:dyDescent="0.25">
      <c r="A91"/>
      <c r="B91"/>
      <c r="C91"/>
      <c r="D91"/>
      <c r="E91"/>
      <c r="F91"/>
    </row>
    <row r="92" spans="1:6" hidden="1" x14ac:dyDescent="0.25"/>
    <row r="93" spans="1:6" hidden="1" x14ac:dyDescent="0.25"/>
    <row r="94" spans="1:6" hidden="1" x14ac:dyDescent="0.25"/>
    <row r="95" spans="1:6" hidden="1" x14ac:dyDescent="0.25">
      <c r="A95" s="400" t="s">
        <v>346</v>
      </c>
      <c r="B95" s="401" t="s">
        <v>348</v>
      </c>
    </row>
    <row r="96" spans="1:6" hidden="1" x14ac:dyDescent="0.25">
      <c r="A96" s="400" t="s">
        <v>768</v>
      </c>
      <c r="B96" s="401" t="s">
        <v>652</v>
      </c>
    </row>
    <row r="97" spans="1:9" hidden="1" x14ac:dyDescent="0.25"/>
    <row r="98" spans="1:9" hidden="1" x14ac:dyDescent="0.25">
      <c r="A98" s="395" t="s">
        <v>534</v>
      </c>
      <c r="B98" s="393" t="s">
        <v>664</v>
      </c>
      <c r="C98" s="201"/>
      <c r="D98" s="202"/>
      <c r="E98"/>
      <c r="F98"/>
      <c r="G98"/>
      <c r="H98"/>
      <c r="I98"/>
    </row>
    <row r="99" spans="1:9" hidden="1" x14ac:dyDescent="0.25">
      <c r="A99" s="175"/>
      <c r="B99" s="1" t="s">
        <v>995</v>
      </c>
      <c r="C99" s="1" t="s">
        <v>996</v>
      </c>
      <c r="D99" s="182" t="s">
        <v>213</v>
      </c>
      <c r="E99"/>
      <c r="F99"/>
      <c r="G99"/>
      <c r="H99"/>
      <c r="I99"/>
    </row>
    <row r="100" spans="1:9" hidden="1" x14ac:dyDescent="0.25">
      <c r="A100" s="396" t="s">
        <v>212</v>
      </c>
      <c r="B100" s="1" t="s">
        <v>23</v>
      </c>
      <c r="C100" s="1"/>
      <c r="D100" s="182"/>
      <c r="E100"/>
      <c r="F100"/>
      <c r="G100"/>
      <c r="H100"/>
      <c r="I100"/>
    </row>
    <row r="101" spans="1:9" hidden="1" x14ac:dyDescent="0.25">
      <c r="A101" s="397" t="s">
        <v>15</v>
      </c>
      <c r="B101" s="791">
        <v>546</v>
      </c>
      <c r="C101" s="791">
        <v>546</v>
      </c>
      <c r="D101" s="402">
        <v>546</v>
      </c>
      <c r="E101"/>
      <c r="F101"/>
      <c r="G101"/>
      <c r="H101"/>
      <c r="I101"/>
    </row>
    <row r="102" spans="1:9" hidden="1" x14ac:dyDescent="0.25">
      <c r="A102" s="403" t="s">
        <v>47</v>
      </c>
      <c r="B102" s="791">
        <v>546</v>
      </c>
      <c r="C102" s="791">
        <v>546</v>
      </c>
      <c r="D102" s="402">
        <v>546</v>
      </c>
      <c r="E102"/>
      <c r="F102"/>
      <c r="G102"/>
      <c r="H102"/>
      <c r="I102"/>
    </row>
    <row r="103" spans="1:9" hidden="1" x14ac:dyDescent="0.25">
      <c r="A103" s="399" t="s">
        <v>213</v>
      </c>
      <c r="B103" s="387">
        <v>546</v>
      </c>
      <c r="C103" s="387">
        <v>546</v>
      </c>
      <c r="D103" s="404">
        <v>546</v>
      </c>
      <c r="E103"/>
      <c r="F103"/>
      <c r="G103"/>
      <c r="H103"/>
      <c r="I103"/>
    </row>
    <row r="104" spans="1:9" hidden="1" x14ac:dyDescent="0.25">
      <c r="A104"/>
      <c r="B104"/>
      <c r="C104"/>
      <c r="D104"/>
      <c r="E104"/>
      <c r="F104"/>
      <c r="G104"/>
      <c r="H104"/>
      <c r="I104"/>
    </row>
    <row r="105" spans="1:9" hidden="1" x14ac:dyDescent="0.25">
      <c r="A105"/>
      <c r="B105"/>
      <c r="C105"/>
      <c r="D105"/>
      <c r="E105"/>
      <c r="F105"/>
      <c r="G105"/>
      <c r="H105"/>
      <c r="I105"/>
    </row>
    <row r="106" spans="1:9" hidden="1" x14ac:dyDescent="0.25">
      <c r="A106"/>
      <c r="B106"/>
      <c r="C106"/>
      <c r="D106"/>
      <c r="E106"/>
      <c r="F106"/>
      <c r="G106"/>
      <c r="H106"/>
      <c r="I106"/>
    </row>
    <row r="107" spans="1:9" hidden="1" x14ac:dyDescent="0.25">
      <c r="A107"/>
      <c r="B107"/>
      <c r="C107"/>
      <c r="D107"/>
      <c r="E107"/>
      <c r="F107"/>
      <c r="G107"/>
      <c r="H107"/>
      <c r="I107"/>
    </row>
    <row r="108" spans="1:9" hidden="1" x14ac:dyDescent="0.25">
      <c r="A108"/>
      <c r="B108"/>
      <c r="C108"/>
      <c r="D108"/>
      <c r="E108"/>
      <c r="F108"/>
      <c r="G108"/>
      <c r="H108"/>
      <c r="I108"/>
    </row>
    <row r="109" spans="1:9" hidden="1" x14ac:dyDescent="0.25">
      <c r="A109"/>
      <c r="B109"/>
      <c r="C109"/>
      <c r="D109"/>
      <c r="E109"/>
      <c r="F109"/>
      <c r="G109"/>
      <c r="H109"/>
      <c r="I109"/>
    </row>
    <row r="110" spans="1:9" hidden="1" x14ac:dyDescent="0.25">
      <c r="A110"/>
      <c r="B110"/>
      <c r="C110"/>
      <c r="D110"/>
      <c r="E110"/>
      <c r="F110"/>
      <c r="G110"/>
      <c r="H110"/>
      <c r="I110"/>
    </row>
    <row r="111" spans="1:9" hidden="1" x14ac:dyDescent="0.25">
      <c r="A111"/>
      <c r="B111"/>
      <c r="C111"/>
      <c r="D111"/>
      <c r="E111"/>
      <c r="F111"/>
      <c r="G111"/>
      <c r="H111"/>
      <c r="I111"/>
    </row>
    <row r="112" spans="1:9" hidden="1" x14ac:dyDescent="0.25">
      <c r="A112"/>
      <c r="B112"/>
      <c r="C112"/>
      <c r="D112"/>
      <c r="E112"/>
      <c r="F112"/>
      <c r="G112"/>
      <c r="H112"/>
      <c r="I112"/>
    </row>
    <row r="113" spans="1:9" hidden="1" x14ac:dyDescent="0.25">
      <c r="A113"/>
      <c r="B113"/>
      <c r="C113"/>
      <c r="D113"/>
      <c r="E113"/>
      <c r="F113"/>
      <c r="G113"/>
      <c r="H113"/>
      <c r="I113"/>
    </row>
    <row r="114" spans="1:9" hidden="1" x14ac:dyDescent="0.25">
      <c r="A114"/>
      <c r="B114"/>
      <c r="C114"/>
      <c r="D114"/>
      <c r="E114"/>
      <c r="F114"/>
      <c r="G114"/>
      <c r="H114"/>
      <c r="I114"/>
    </row>
    <row r="115" spans="1:9" hidden="1" x14ac:dyDescent="0.25">
      <c r="A115"/>
      <c r="B115"/>
      <c r="C115"/>
      <c r="D115"/>
      <c r="E115"/>
      <c r="F115"/>
      <c r="G115"/>
      <c r="H115"/>
      <c r="I115"/>
    </row>
    <row r="116" spans="1:9" hidden="1" x14ac:dyDescent="0.25">
      <c r="A116"/>
      <c r="B116"/>
      <c r="C116"/>
      <c r="D116"/>
      <c r="E116"/>
      <c r="F116"/>
      <c r="G116"/>
      <c r="H116"/>
      <c r="I116"/>
    </row>
    <row r="117" spans="1:9" hidden="1" x14ac:dyDescent="0.25">
      <c r="A117"/>
      <c r="B117"/>
      <c r="C117"/>
      <c r="D117"/>
      <c r="E117"/>
      <c r="F117"/>
      <c r="G117"/>
      <c r="H117"/>
      <c r="I117"/>
    </row>
    <row r="118" spans="1:9" hidden="1" x14ac:dyDescent="0.25">
      <c r="A118"/>
      <c r="B118"/>
      <c r="C118"/>
      <c r="D118"/>
      <c r="E118"/>
      <c r="F118"/>
      <c r="G118"/>
      <c r="H118"/>
      <c r="I118"/>
    </row>
    <row r="119" spans="1:9" hidden="1" x14ac:dyDescent="0.25">
      <c r="A119"/>
      <c r="B119"/>
      <c r="C119"/>
      <c r="D119"/>
      <c r="E119"/>
      <c r="F119"/>
      <c r="G119"/>
      <c r="H119"/>
      <c r="I119"/>
    </row>
    <row r="120" spans="1:9" hidden="1" x14ac:dyDescent="0.25">
      <c r="A120"/>
      <c r="B120"/>
      <c r="C120"/>
      <c r="D120"/>
      <c r="E120"/>
      <c r="F120"/>
      <c r="G120"/>
      <c r="H120"/>
      <c r="I120"/>
    </row>
    <row r="121" spans="1:9" hidden="1" x14ac:dyDescent="0.25">
      <c r="A121"/>
      <c r="B121"/>
      <c r="C121"/>
      <c r="D121"/>
      <c r="E121"/>
      <c r="F121"/>
      <c r="G121"/>
      <c r="H121"/>
      <c r="I121"/>
    </row>
    <row r="122" spans="1:9" hidden="1" x14ac:dyDescent="0.25">
      <c r="A122"/>
      <c r="B122"/>
      <c r="C122"/>
      <c r="D122"/>
      <c r="E122"/>
      <c r="F122"/>
      <c r="G122"/>
      <c r="H122"/>
      <c r="I122"/>
    </row>
    <row r="123" spans="1:9" hidden="1" x14ac:dyDescent="0.25">
      <c r="A123"/>
      <c r="B123"/>
      <c r="C123"/>
      <c r="D123"/>
      <c r="E123"/>
      <c r="F123"/>
      <c r="G123"/>
      <c r="H123"/>
      <c r="I123"/>
    </row>
    <row r="124" spans="1:9" hidden="1" x14ac:dyDescent="0.25">
      <c r="A124"/>
      <c r="B124"/>
      <c r="C124"/>
      <c r="D124"/>
      <c r="E124"/>
      <c r="F124"/>
      <c r="G124"/>
      <c r="H124"/>
      <c r="I124"/>
    </row>
    <row r="125" spans="1:9" hidden="1" x14ac:dyDescent="0.25">
      <c r="A125"/>
      <c r="B125"/>
      <c r="C125"/>
      <c r="D125"/>
      <c r="E125"/>
      <c r="F125"/>
      <c r="G125"/>
      <c r="H125"/>
      <c r="I125"/>
    </row>
    <row r="126" spans="1:9" hidden="1" x14ac:dyDescent="0.25">
      <c r="A126"/>
      <c r="B126"/>
      <c r="C126"/>
      <c r="D126"/>
      <c r="E126"/>
      <c r="F126"/>
      <c r="G126"/>
      <c r="H126"/>
      <c r="I126"/>
    </row>
    <row r="127" spans="1:9" hidden="1" x14ac:dyDescent="0.25"/>
    <row r="128" spans="1:9" hidden="1" x14ac:dyDescent="0.25"/>
    <row r="129" spans="1:12" hidden="1" x14ac:dyDescent="0.25"/>
    <row r="130" spans="1:12" hidden="1" x14ac:dyDescent="0.25"/>
    <row r="131" spans="1:12" hidden="1" x14ac:dyDescent="0.25"/>
    <row r="132" spans="1:12" hidden="1" x14ac:dyDescent="0.25">
      <c r="L132"/>
    </row>
    <row r="133" spans="1:12" x14ac:dyDescent="0.25">
      <c r="A133"/>
      <c r="B133"/>
      <c r="L133"/>
    </row>
    <row r="134" spans="1:12" x14ac:dyDescent="0.25">
      <c r="A134" s="400" t="s">
        <v>346</v>
      </c>
      <c r="B134" s="401" t="s">
        <v>348</v>
      </c>
      <c r="L134"/>
    </row>
    <row r="135" spans="1:12" x14ac:dyDescent="0.25">
      <c r="A135" s="400" t="s">
        <v>768</v>
      </c>
      <c r="B135" s="401" t="s">
        <v>767</v>
      </c>
      <c r="L135"/>
    </row>
    <row r="136" spans="1:12" x14ac:dyDescent="0.25">
      <c r="A136" s="90"/>
      <c r="B136" s="90"/>
      <c r="C136" s="90"/>
      <c r="D136" s="90"/>
      <c r="E136" s="90"/>
      <c r="F136" s="90"/>
      <c r="L136"/>
    </row>
    <row r="137" spans="1:12" x14ac:dyDescent="0.25">
      <c r="A137" s="395" t="s">
        <v>534</v>
      </c>
      <c r="B137" s="201"/>
      <c r="C137" s="393" t="s">
        <v>756</v>
      </c>
      <c r="D137" s="393" t="s">
        <v>24</v>
      </c>
      <c r="E137" s="201"/>
      <c r="F137" s="201"/>
      <c r="G137" s="201"/>
      <c r="H137" s="201"/>
      <c r="I137" s="201"/>
      <c r="J137" s="202"/>
      <c r="K137"/>
      <c r="L137"/>
    </row>
    <row r="138" spans="1:12" x14ac:dyDescent="0.25">
      <c r="A138" s="175"/>
      <c r="B138" s="1"/>
      <c r="C138" s="1" t="s">
        <v>7</v>
      </c>
      <c r="D138" s="1"/>
      <c r="E138" s="1" t="s">
        <v>760</v>
      </c>
      <c r="F138" s="1" t="s">
        <v>995</v>
      </c>
      <c r="G138" s="1"/>
      <c r="H138" s="1"/>
      <c r="I138" s="1" t="s">
        <v>996</v>
      </c>
      <c r="J138" s="182" t="s">
        <v>213</v>
      </c>
      <c r="K138"/>
      <c r="L138"/>
    </row>
    <row r="139" spans="1:12" x14ac:dyDescent="0.25">
      <c r="A139" s="396" t="s">
        <v>0</v>
      </c>
      <c r="B139" s="286" t="s">
        <v>9</v>
      </c>
      <c r="C139" s="1" t="s">
        <v>22</v>
      </c>
      <c r="D139" s="1" t="s">
        <v>23</v>
      </c>
      <c r="E139" s="1"/>
      <c r="F139" s="1" t="s">
        <v>22</v>
      </c>
      <c r="G139" s="1" t="s">
        <v>23</v>
      </c>
      <c r="H139" s="1" t="s">
        <v>808</v>
      </c>
      <c r="I139" s="1"/>
      <c r="J139" s="182"/>
      <c r="K139"/>
      <c r="L139"/>
    </row>
    <row r="140" spans="1:12" x14ac:dyDescent="0.25">
      <c r="A140" s="175" t="s">
        <v>15</v>
      </c>
      <c r="B140" s="1" t="s">
        <v>47</v>
      </c>
      <c r="C140" s="791"/>
      <c r="D140" s="791"/>
      <c r="E140" s="791"/>
      <c r="F140" s="791"/>
      <c r="G140" s="791">
        <v>546</v>
      </c>
      <c r="H140" s="791"/>
      <c r="I140" s="791">
        <v>546</v>
      </c>
      <c r="J140" s="402">
        <v>546</v>
      </c>
      <c r="K140"/>
      <c r="L140"/>
    </row>
    <row r="141" spans="1:12" x14ac:dyDescent="0.25">
      <c r="A141" s="175" t="s">
        <v>977</v>
      </c>
      <c r="B141" s="1"/>
      <c r="C141" s="791"/>
      <c r="D141" s="791"/>
      <c r="E141" s="791"/>
      <c r="F141" s="791"/>
      <c r="G141" s="791">
        <v>546</v>
      </c>
      <c r="H141" s="791"/>
      <c r="I141" s="791">
        <v>546</v>
      </c>
      <c r="J141" s="402">
        <v>546</v>
      </c>
      <c r="K141"/>
      <c r="L141"/>
    </row>
    <row r="142" spans="1:12" x14ac:dyDescent="0.25">
      <c r="A142" s="175" t="s">
        <v>20</v>
      </c>
      <c r="B142" s="1" t="s">
        <v>106</v>
      </c>
      <c r="C142" s="791"/>
      <c r="D142" s="791"/>
      <c r="E142" s="791"/>
      <c r="F142" s="791"/>
      <c r="G142" s="791">
        <v>30</v>
      </c>
      <c r="H142" s="791"/>
      <c r="I142" s="791">
        <v>30</v>
      </c>
      <c r="J142" s="402">
        <v>30</v>
      </c>
      <c r="K142"/>
      <c r="L142"/>
    </row>
    <row r="143" spans="1:12" x14ac:dyDescent="0.25">
      <c r="A143" s="175"/>
      <c r="B143" s="1" t="s">
        <v>871</v>
      </c>
      <c r="C143" s="791"/>
      <c r="D143" s="791"/>
      <c r="E143" s="791"/>
      <c r="F143" s="791"/>
      <c r="G143" s="791">
        <v>38</v>
      </c>
      <c r="H143" s="791"/>
      <c r="I143" s="791">
        <v>38</v>
      </c>
      <c r="J143" s="402">
        <v>38</v>
      </c>
      <c r="K143"/>
      <c r="L143"/>
    </row>
    <row r="144" spans="1:12" x14ac:dyDescent="0.25">
      <c r="A144" s="175"/>
      <c r="B144" s="1" t="s">
        <v>107</v>
      </c>
      <c r="C144" s="791"/>
      <c r="D144" s="791"/>
      <c r="E144" s="791"/>
      <c r="F144" s="791"/>
      <c r="G144" s="791">
        <v>57</v>
      </c>
      <c r="H144" s="791"/>
      <c r="I144" s="791">
        <v>57</v>
      </c>
      <c r="J144" s="402">
        <v>57</v>
      </c>
      <c r="K144"/>
      <c r="L144"/>
    </row>
    <row r="145" spans="1:12" x14ac:dyDescent="0.25">
      <c r="A145" s="175"/>
      <c r="B145" s="1" t="s">
        <v>872</v>
      </c>
      <c r="C145" s="791"/>
      <c r="D145" s="791"/>
      <c r="E145" s="791"/>
      <c r="F145" s="791"/>
      <c r="G145" s="791">
        <v>58</v>
      </c>
      <c r="H145" s="791"/>
      <c r="I145" s="791">
        <v>58</v>
      </c>
      <c r="J145" s="402">
        <v>58</v>
      </c>
      <c r="K145"/>
      <c r="L145"/>
    </row>
    <row r="146" spans="1:12" x14ac:dyDescent="0.25">
      <c r="A146" s="175"/>
      <c r="B146" s="1" t="s">
        <v>105</v>
      </c>
      <c r="C146" s="791"/>
      <c r="D146" s="791"/>
      <c r="E146" s="791"/>
      <c r="F146" s="791"/>
      <c r="G146" s="791">
        <v>87</v>
      </c>
      <c r="H146" s="791"/>
      <c r="I146" s="791">
        <v>87</v>
      </c>
      <c r="J146" s="402">
        <v>87</v>
      </c>
      <c r="K146"/>
      <c r="L146"/>
    </row>
    <row r="147" spans="1:12" x14ac:dyDescent="0.25">
      <c r="A147" s="175"/>
      <c r="B147" s="1" t="s">
        <v>873</v>
      </c>
      <c r="C147" s="791"/>
      <c r="D147" s="791"/>
      <c r="E147" s="791"/>
      <c r="F147" s="791"/>
      <c r="G147" s="791">
        <v>243</v>
      </c>
      <c r="H147" s="791"/>
      <c r="I147" s="791">
        <v>243</v>
      </c>
      <c r="J147" s="402">
        <v>243</v>
      </c>
      <c r="K147"/>
      <c r="L147"/>
    </row>
    <row r="148" spans="1:12" x14ac:dyDescent="0.25">
      <c r="A148" s="175"/>
      <c r="B148" s="1" t="s">
        <v>109</v>
      </c>
      <c r="C148" s="791"/>
      <c r="D148" s="791"/>
      <c r="E148" s="791"/>
      <c r="F148" s="791"/>
      <c r="G148" s="791">
        <v>291</v>
      </c>
      <c r="H148" s="791"/>
      <c r="I148" s="791">
        <v>291</v>
      </c>
      <c r="J148" s="402">
        <v>291</v>
      </c>
      <c r="K148"/>
      <c r="L148"/>
    </row>
    <row r="149" spans="1:12" x14ac:dyDescent="0.25">
      <c r="A149" s="175"/>
      <c r="B149" s="1" t="s">
        <v>616</v>
      </c>
      <c r="C149" s="791"/>
      <c r="D149" s="791"/>
      <c r="E149" s="791"/>
      <c r="F149" s="791"/>
      <c r="G149" s="791">
        <v>344</v>
      </c>
      <c r="H149" s="791"/>
      <c r="I149" s="791">
        <v>344</v>
      </c>
      <c r="J149" s="402">
        <v>344</v>
      </c>
      <c r="K149"/>
      <c r="L149"/>
    </row>
    <row r="150" spans="1:12" x14ac:dyDescent="0.25">
      <c r="A150" s="175" t="s">
        <v>645</v>
      </c>
      <c r="B150" s="1"/>
      <c r="C150" s="791"/>
      <c r="D150" s="791"/>
      <c r="E150" s="791"/>
      <c r="F150" s="791"/>
      <c r="G150" s="791">
        <v>1148</v>
      </c>
      <c r="H150" s="791"/>
      <c r="I150" s="791">
        <v>1148</v>
      </c>
      <c r="J150" s="402">
        <v>1148</v>
      </c>
      <c r="K150"/>
      <c r="L150"/>
    </row>
    <row r="151" spans="1:12" x14ac:dyDescent="0.25">
      <c r="A151" s="175" t="s">
        <v>18</v>
      </c>
      <c r="B151" s="1" t="s">
        <v>60</v>
      </c>
      <c r="C151" s="791"/>
      <c r="D151" s="791">
        <v>77</v>
      </c>
      <c r="E151" s="791">
        <v>77</v>
      </c>
      <c r="F151" s="791"/>
      <c r="G151" s="791"/>
      <c r="H151" s="791"/>
      <c r="I151" s="791"/>
      <c r="J151" s="402">
        <v>77</v>
      </c>
      <c r="K151"/>
      <c r="L151"/>
    </row>
    <row r="152" spans="1:12" x14ac:dyDescent="0.25">
      <c r="A152" s="175"/>
      <c r="B152" s="1" t="s">
        <v>59</v>
      </c>
      <c r="C152" s="791"/>
      <c r="D152" s="791"/>
      <c r="E152" s="791"/>
      <c r="F152" s="791">
        <v>187</v>
      </c>
      <c r="G152" s="791"/>
      <c r="H152" s="791"/>
      <c r="I152" s="791">
        <v>187</v>
      </c>
      <c r="J152" s="402">
        <v>187</v>
      </c>
      <c r="K152"/>
      <c r="L152"/>
    </row>
    <row r="153" spans="1:12" x14ac:dyDescent="0.25">
      <c r="A153" s="175" t="s">
        <v>647</v>
      </c>
      <c r="B153" s="1"/>
      <c r="C153" s="791"/>
      <c r="D153" s="791">
        <v>77</v>
      </c>
      <c r="E153" s="791">
        <v>77</v>
      </c>
      <c r="F153" s="791">
        <v>187</v>
      </c>
      <c r="G153" s="791"/>
      <c r="H153" s="791"/>
      <c r="I153" s="791">
        <v>187</v>
      </c>
      <c r="J153" s="402">
        <v>264</v>
      </c>
      <c r="K153"/>
      <c r="L153"/>
    </row>
    <row r="154" spans="1:12" x14ac:dyDescent="0.25">
      <c r="A154" s="175" t="s">
        <v>16</v>
      </c>
      <c r="B154" s="1" t="s">
        <v>400</v>
      </c>
      <c r="C154" s="791"/>
      <c r="D154" s="791"/>
      <c r="E154" s="791"/>
      <c r="F154" s="791">
        <v>961</v>
      </c>
      <c r="G154" s="791"/>
      <c r="H154" s="791"/>
      <c r="I154" s="791">
        <v>961</v>
      </c>
      <c r="J154" s="402">
        <v>961</v>
      </c>
      <c r="K154"/>
      <c r="L154"/>
    </row>
    <row r="155" spans="1:12" x14ac:dyDescent="0.25">
      <c r="A155" s="175"/>
      <c r="B155" s="1" t="s">
        <v>604</v>
      </c>
      <c r="C155" s="791"/>
      <c r="D155" s="791"/>
      <c r="E155" s="791"/>
      <c r="F155" s="791">
        <v>1297</v>
      </c>
      <c r="G155" s="791"/>
      <c r="H155" s="791"/>
      <c r="I155" s="791">
        <v>1297</v>
      </c>
      <c r="J155" s="402">
        <v>1297</v>
      </c>
      <c r="K155"/>
      <c r="L155"/>
    </row>
    <row r="156" spans="1:12" x14ac:dyDescent="0.25">
      <c r="A156" s="175"/>
      <c r="B156" s="1" t="s">
        <v>57</v>
      </c>
      <c r="C156" s="791"/>
      <c r="D156" s="791"/>
      <c r="E156" s="791"/>
      <c r="F156" s="791"/>
      <c r="G156" s="791">
        <v>1308</v>
      </c>
      <c r="H156" s="791"/>
      <c r="I156" s="791">
        <v>1308</v>
      </c>
      <c r="J156" s="402">
        <v>1308</v>
      </c>
      <c r="K156"/>
      <c r="L156"/>
    </row>
    <row r="157" spans="1:12" x14ac:dyDescent="0.25">
      <c r="A157" s="175" t="s">
        <v>648</v>
      </c>
      <c r="B157" s="1"/>
      <c r="C157" s="791"/>
      <c r="D157" s="791"/>
      <c r="E157" s="791"/>
      <c r="F157" s="791">
        <v>2258</v>
      </c>
      <c r="G157" s="791">
        <v>1308</v>
      </c>
      <c r="H157" s="791"/>
      <c r="I157" s="791">
        <v>3566</v>
      </c>
      <c r="J157" s="402">
        <v>3566</v>
      </c>
      <c r="K157"/>
      <c r="L157"/>
    </row>
    <row r="158" spans="1:12" x14ac:dyDescent="0.25">
      <c r="A158" s="175" t="s">
        <v>19</v>
      </c>
      <c r="B158" s="1" t="s">
        <v>552</v>
      </c>
      <c r="C158" s="791"/>
      <c r="D158" s="791"/>
      <c r="E158" s="791"/>
      <c r="F158" s="791"/>
      <c r="G158" s="791"/>
      <c r="H158" s="791">
        <v>226</v>
      </c>
      <c r="I158" s="791">
        <v>226</v>
      </c>
      <c r="J158" s="402">
        <v>226</v>
      </c>
      <c r="K158"/>
      <c r="L158"/>
    </row>
    <row r="159" spans="1:12" x14ac:dyDescent="0.25">
      <c r="A159" s="175"/>
      <c r="B159" s="1" t="s">
        <v>540</v>
      </c>
      <c r="C159" s="791"/>
      <c r="D159" s="791"/>
      <c r="E159" s="791"/>
      <c r="F159" s="791"/>
      <c r="G159" s="791"/>
      <c r="H159" s="791">
        <v>2942</v>
      </c>
      <c r="I159" s="791">
        <v>2942</v>
      </c>
      <c r="J159" s="402">
        <v>2942</v>
      </c>
      <c r="K159"/>
      <c r="L159"/>
    </row>
    <row r="160" spans="1:12" x14ac:dyDescent="0.25">
      <c r="A160" s="175"/>
      <c r="B160" s="1" t="s">
        <v>542</v>
      </c>
      <c r="C160" s="791"/>
      <c r="D160" s="791"/>
      <c r="E160" s="791"/>
      <c r="F160" s="791"/>
      <c r="G160" s="791"/>
      <c r="H160" s="791">
        <v>2951</v>
      </c>
      <c r="I160" s="791">
        <v>2951</v>
      </c>
      <c r="J160" s="402">
        <v>2951</v>
      </c>
      <c r="K160"/>
      <c r="L160"/>
    </row>
    <row r="161" spans="1:12" x14ac:dyDescent="0.25">
      <c r="A161" s="175" t="s">
        <v>644</v>
      </c>
      <c r="B161" s="1"/>
      <c r="C161" s="791"/>
      <c r="D161" s="791"/>
      <c r="E161" s="791"/>
      <c r="F161" s="791"/>
      <c r="G161" s="791"/>
      <c r="H161" s="791">
        <v>6119</v>
      </c>
      <c r="I161" s="791">
        <v>6119</v>
      </c>
      <c r="J161" s="402">
        <v>6119</v>
      </c>
      <c r="K161"/>
      <c r="L161"/>
    </row>
    <row r="162" spans="1:12" x14ac:dyDescent="0.25">
      <c r="A162" s="175" t="s">
        <v>607</v>
      </c>
      <c r="B162" s="1" t="s">
        <v>474</v>
      </c>
      <c r="C162" s="791">
        <v>327</v>
      </c>
      <c r="D162" s="791"/>
      <c r="E162" s="791">
        <v>327</v>
      </c>
      <c r="F162" s="791"/>
      <c r="G162" s="791"/>
      <c r="H162" s="791"/>
      <c r="I162" s="791"/>
      <c r="J162" s="402">
        <v>327</v>
      </c>
      <c r="K162"/>
      <c r="L162"/>
    </row>
    <row r="163" spans="1:12" x14ac:dyDescent="0.25">
      <c r="A163" s="175"/>
      <c r="B163" s="1" t="s">
        <v>58</v>
      </c>
      <c r="C163" s="791"/>
      <c r="D163" s="791"/>
      <c r="E163" s="791"/>
      <c r="F163" s="791">
        <v>1274</v>
      </c>
      <c r="G163" s="791"/>
      <c r="H163" s="791"/>
      <c r="I163" s="791">
        <v>1274</v>
      </c>
      <c r="J163" s="402">
        <v>1274</v>
      </c>
      <c r="K163"/>
      <c r="L163"/>
    </row>
    <row r="164" spans="1:12" x14ac:dyDescent="0.25">
      <c r="A164" s="175" t="s">
        <v>1003</v>
      </c>
      <c r="B164" s="1"/>
      <c r="C164" s="791">
        <v>327</v>
      </c>
      <c r="D164" s="791"/>
      <c r="E164" s="791">
        <v>327</v>
      </c>
      <c r="F164" s="791">
        <v>1274</v>
      </c>
      <c r="G164" s="791"/>
      <c r="H164" s="791"/>
      <c r="I164" s="791">
        <v>1274</v>
      </c>
      <c r="J164" s="402">
        <v>1601</v>
      </c>
      <c r="K164"/>
    </row>
    <row r="165" spans="1:12" x14ac:dyDescent="0.25">
      <c r="A165" s="184" t="s">
        <v>213</v>
      </c>
      <c r="B165" s="185"/>
      <c r="C165" s="387">
        <v>327</v>
      </c>
      <c r="D165" s="387">
        <v>77</v>
      </c>
      <c r="E165" s="387">
        <v>404</v>
      </c>
      <c r="F165" s="387">
        <v>3719</v>
      </c>
      <c r="G165" s="387">
        <v>3002</v>
      </c>
      <c r="H165" s="387">
        <v>6119</v>
      </c>
      <c r="I165" s="387">
        <v>12840</v>
      </c>
      <c r="J165" s="404">
        <v>13244</v>
      </c>
      <c r="K165"/>
    </row>
    <row r="166" spans="1:12" x14ac:dyDescent="0.25">
      <c r="A166"/>
      <c r="B166"/>
      <c r="C166"/>
      <c r="D166"/>
      <c r="E166"/>
      <c r="F166"/>
      <c r="G166"/>
      <c r="H166"/>
      <c r="I166"/>
      <c r="J166"/>
      <c r="K166"/>
    </row>
    <row r="167" spans="1:12" x14ac:dyDescent="0.25">
      <c r="A167"/>
      <c r="B167"/>
      <c r="C167"/>
      <c r="D167"/>
      <c r="E167"/>
      <c r="F167"/>
      <c r="G167"/>
      <c r="H167"/>
      <c r="I167"/>
      <c r="J167"/>
      <c r="K167"/>
    </row>
    <row r="169" spans="1:12" hidden="1" x14ac:dyDescent="0.25"/>
    <row r="170" spans="1:12" hidden="1" x14ac:dyDescent="0.25"/>
    <row r="171" spans="1:12" hidden="1" x14ac:dyDescent="0.25"/>
    <row r="172" spans="1:12" hidden="1" x14ac:dyDescent="0.25"/>
    <row r="173" spans="1:12" hidden="1" x14ac:dyDescent="0.25"/>
    <row r="174" spans="1:12" hidden="1" x14ac:dyDescent="0.25"/>
    <row r="175" spans="1:12" hidden="1" x14ac:dyDescent="0.25"/>
    <row r="176" spans="1:12" hidden="1" x14ac:dyDescent="0.25"/>
    <row r="177" spans="1:12" hidden="1" x14ac:dyDescent="0.25"/>
    <row r="178" spans="1:12" hidden="1" x14ac:dyDescent="0.25"/>
    <row r="179" spans="1:12" hidden="1" x14ac:dyDescent="0.25"/>
    <row r="180" spans="1:12" hidden="1" x14ac:dyDescent="0.25"/>
    <row r="184" spans="1:12" x14ac:dyDescent="0.25">
      <c r="A184" s="47" t="s">
        <v>346</v>
      </c>
      <c r="B184" s="789" t="s">
        <v>348</v>
      </c>
    </row>
    <row r="185" spans="1:12" x14ac:dyDescent="0.25">
      <c r="A185"/>
      <c r="B185"/>
      <c r="C185"/>
      <c r="D185"/>
      <c r="E185"/>
      <c r="F185"/>
      <c r="G185"/>
      <c r="H185"/>
      <c r="I185"/>
      <c r="J185"/>
      <c r="K185"/>
      <c r="L185"/>
    </row>
    <row r="186" spans="1:12" x14ac:dyDescent="0.25">
      <c r="A186" s="47" t="s">
        <v>978</v>
      </c>
      <c r="B186" s="47" t="s">
        <v>664</v>
      </c>
      <c r="C186"/>
      <c r="D186"/>
      <c r="E186"/>
      <c r="F186"/>
      <c r="G186"/>
      <c r="H186"/>
      <c r="I186"/>
      <c r="J186"/>
      <c r="K186"/>
      <c r="L186"/>
    </row>
    <row r="187" spans="1:12" x14ac:dyDescent="0.25">
      <c r="A187" s="47" t="s">
        <v>1</v>
      </c>
      <c r="B187" s="789" t="s">
        <v>808</v>
      </c>
      <c r="C187" s="789" t="s">
        <v>22</v>
      </c>
      <c r="D187" s="789" t="s">
        <v>23</v>
      </c>
      <c r="E187" s="789" t="s">
        <v>213</v>
      </c>
      <c r="F187"/>
      <c r="G187"/>
      <c r="H187"/>
      <c r="I187"/>
      <c r="J187"/>
      <c r="K187"/>
      <c r="L187"/>
    </row>
    <row r="188" spans="1:12" x14ac:dyDescent="0.25">
      <c r="A188" s="23" t="s">
        <v>15</v>
      </c>
      <c r="B188" s="4"/>
      <c r="C188" s="4"/>
      <c r="D188" s="4">
        <v>1</v>
      </c>
      <c r="E188" s="4">
        <v>1</v>
      </c>
      <c r="F188"/>
      <c r="G188"/>
      <c r="H188"/>
      <c r="I188"/>
      <c r="J188"/>
      <c r="K188"/>
      <c r="L188"/>
    </row>
    <row r="189" spans="1:12" x14ac:dyDescent="0.25">
      <c r="A189" s="23" t="s">
        <v>20</v>
      </c>
      <c r="B189" s="4"/>
      <c r="C189" s="4"/>
      <c r="D189" s="4">
        <v>8</v>
      </c>
      <c r="E189" s="4">
        <v>8</v>
      </c>
      <c r="F189"/>
      <c r="G189"/>
      <c r="H189"/>
      <c r="I189"/>
      <c r="J189"/>
      <c r="K189"/>
      <c r="L189"/>
    </row>
    <row r="190" spans="1:12" x14ac:dyDescent="0.25">
      <c r="A190" s="23" t="s">
        <v>866</v>
      </c>
      <c r="B190" s="4"/>
      <c r="C190" s="4">
        <v>1</v>
      </c>
      <c r="D190" s="4"/>
      <c r="E190" s="4">
        <v>1</v>
      </c>
      <c r="F190"/>
      <c r="G190"/>
      <c r="H190"/>
      <c r="I190"/>
      <c r="J190"/>
    </row>
    <row r="191" spans="1:12" x14ac:dyDescent="0.25">
      <c r="A191" s="23" t="s">
        <v>14</v>
      </c>
      <c r="B191" s="4"/>
      <c r="C191" s="4">
        <v>4</v>
      </c>
      <c r="D191" s="4"/>
      <c r="E191" s="4">
        <v>4</v>
      </c>
      <c r="F191"/>
      <c r="G191"/>
      <c r="H191"/>
      <c r="I191"/>
      <c r="J191"/>
    </row>
    <row r="192" spans="1:12" x14ac:dyDescent="0.25">
      <c r="A192" s="23" t="s">
        <v>18</v>
      </c>
      <c r="B192" s="4"/>
      <c r="C192" s="4">
        <v>1</v>
      </c>
      <c r="D192" s="4">
        <v>1</v>
      </c>
      <c r="E192" s="4">
        <v>2</v>
      </c>
      <c r="F192"/>
      <c r="G192"/>
      <c r="H192"/>
      <c r="I192"/>
      <c r="J192"/>
    </row>
    <row r="193" spans="1:10" x14ac:dyDescent="0.25">
      <c r="A193" s="23" t="s">
        <v>16</v>
      </c>
      <c r="B193" s="4"/>
      <c r="C193" s="4">
        <v>2</v>
      </c>
      <c r="D193" s="4">
        <v>1</v>
      </c>
      <c r="E193" s="4">
        <v>3</v>
      </c>
      <c r="F193"/>
      <c r="G193"/>
      <c r="H193"/>
      <c r="I193"/>
      <c r="J193"/>
    </row>
    <row r="194" spans="1:10" x14ac:dyDescent="0.25">
      <c r="A194" s="23" t="s">
        <v>19</v>
      </c>
      <c r="B194" s="4">
        <v>3</v>
      </c>
      <c r="C194" s="4">
        <v>11</v>
      </c>
      <c r="D194" s="4">
        <v>1</v>
      </c>
      <c r="E194" s="4">
        <v>15</v>
      </c>
      <c r="F194"/>
      <c r="G194"/>
    </row>
    <row r="195" spans="1:10" x14ac:dyDescent="0.25">
      <c r="A195" s="23" t="s">
        <v>607</v>
      </c>
      <c r="B195" s="4"/>
      <c r="C195" s="4">
        <v>2</v>
      </c>
      <c r="D195" s="4"/>
      <c r="E195" s="4">
        <v>2</v>
      </c>
      <c r="F195"/>
      <c r="G195"/>
    </row>
    <row r="196" spans="1:10" x14ac:dyDescent="0.25">
      <c r="A196" s="23" t="s">
        <v>213</v>
      </c>
      <c r="B196" s="4">
        <v>3</v>
      </c>
      <c r="C196" s="4">
        <v>21</v>
      </c>
      <c r="D196" s="4">
        <v>12</v>
      </c>
      <c r="E196" s="4">
        <v>36</v>
      </c>
      <c r="F196"/>
      <c r="G196"/>
    </row>
    <row r="197" spans="1:10" x14ac:dyDescent="0.25">
      <c r="A197"/>
      <c r="B197"/>
      <c r="C197"/>
      <c r="D197"/>
      <c r="E197"/>
      <c r="F197"/>
      <c r="G197"/>
    </row>
    <row r="198" spans="1:10" x14ac:dyDescent="0.25">
      <c r="A198"/>
      <c r="B198"/>
      <c r="C198"/>
      <c r="D198"/>
      <c r="E198"/>
      <c r="F198"/>
      <c r="G198"/>
    </row>
    <row r="199" spans="1:10" x14ac:dyDescent="0.25">
      <c r="A199"/>
      <c r="B199"/>
      <c r="C199"/>
      <c r="D199"/>
      <c r="E199"/>
      <c r="F199"/>
      <c r="G199"/>
    </row>
    <row r="200" spans="1:10" x14ac:dyDescent="0.25">
      <c r="A200" s="47" t="s">
        <v>346</v>
      </c>
      <c r="B200" s="789" t="s">
        <v>348</v>
      </c>
      <c r="C200"/>
      <c r="D200"/>
      <c r="E200"/>
      <c r="F200"/>
    </row>
    <row r="201" spans="1:10" x14ac:dyDescent="0.25">
      <c r="A201"/>
      <c r="B201"/>
      <c r="C201"/>
      <c r="D201"/>
      <c r="E201"/>
      <c r="F201"/>
    </row>
    <row r="202" spans="1:10" x14ac:dyDescent="0.25">
      <c r="A202" s="47" t="s">
        <v>534</v>
      </c>
      <c r="B202" s="47" t="s">
        <v>664</v>
      </c>
      <c r="C202"/>
      <c r="D202"/>
      <c r="E202"/>
      <c r="F202"/>
    </row>
    <row r="203" spans="1:10" x14ac:dyDescent="0.25">
      <c r="A203" s="47" t="s">
        <v>1</v>
      </c>
      <c r="B203" s="789" t="s">
        <v>808</v>
      </c>
      <c r="C203" s="789" t="s">
        <v>22</v>
      </c>
      <c r="D203" s="789" t="s">
        <v>23</v>
      </c>
      <c r="E203" s="789" t="s">
        <v>213</v>
      </c>
      <c r="F203"/>
    </row>
    <row r="204" spans="1:10" x14ac:dyDescent="0.25">
      <c r="A204" s="23" t="s">
        <v>15</v>
      </c>
      <c r="B204" s="4"/>
      <c r="C204" s="4"/>
      <c r="D204" s="4">
        <v>546</v>
      </c>
      <c r="E204" s="4">
        <v>546</v>
      </c>
      <c r="F204"/>
    </row>
    <row r="205" spans="1:10" x14ac:dyDescent="0.25">
      <c r="A205" s="23" t="s">
        <v>20</v>
      </c>
      <c r="B205" s="4"/>
      <c r="C205" s="4"/>
      <c r="D205" s="4">
        <v>1148</v>
      </c>
      <c r="E205" s="4">
        <v>1148</v>
      </c>
      <c r="F205"/>
    </row>
    <row r="206" spans="1:10" x14ac:dyDescent="0.25">
      <c r="A206" s="23" t="s">
        <v>866</v>
      </c>
      <c r="B206" s="4"/>
      <c r="C206" s="4">
        <v>2656</v>
      </c>
      <c r="D206" s="4"/>
      <c r="E206" s="4">
        <v>2656</v>
      </c>
      <c r="F206"/>
    </row>
    <row r="207" spans="1:10" x14ac:dyDescent="0.25">
      <c r="A207" s="23" t="s">
        <v>14</v>
      </c>
      <c r="B207" s="4"/>
      <c r="C207" s="4">
        <v>16034</v>
      </c>
      <c r="D207" s="4"/>
      <c r="E207" s="4">
        <v>16034</v>
      </c>
      <c r="F207"/>
    </row>
    <row r="208" spans="1:10" x14ac:dyDescent="0.25">
      <c r="A208" s="23" t="s">
        <v>18</v>
      </c>
      <c r="B208" s="4"/>
      <c r="C208" s="4">
        <v>187</v>
      </c>
      <c r="D208" s="4">
        <v>77</v>
      </c>
      <c r="E208" s="4">
        <v>264</v>
      </c>
      <c r="F208"/>
    </row>
    <row r="209" spans="1:6" x14ac:dyDescent="0.25">
      <c r="A209" s="23" t="s">
        <v>16</v>
      </c>
      <c r="B209" s="4"/>
      <c r="C209" s="4">
        <v>2258</v>
      </c>
      <c r="D209" s="4">
        <v>1308</v>
      </c>
      <c r="E209" s="4">
        <v>3566</v>
      </c>
      <c r="F209"/>
    </row>
    <row r="210" spans="1:6" x14ac:dyDescent="0.25">
      <c r="A210" s="23" t="s">
        <v>19</v>
      </c>
      <c r="B210" s="4">
        <v>6119</v>
      </c>
      <c r="C210" s="4">
        <v>77001</v>
      </c>
      <c r="D210" s="4">
        <v>11764</v>
      </c>
      <c r="E210" s="4">
        <v>94884</v>
      </c>
      <c r="F210"/>
    </row>
    <row r="211" spans="1:6" x14ac:dyDescent="0.25">
      <c r="A211" s="23" t="s">
        <v>607</v>
      </c>
      <c r="B211" s="4"/>
      <c r="C211" s="4">
        <v>1601</v>
      </c>
      <c r="D211" s="4"/>
      <c r="E211" s="4">
        <v>1601</v>
      </c>
      <c r="F211"/>
    </row>
    <row r="212" spans="1:6" x14ac:dyDescent="0.25">
      <c r="A212" s="23" t="s">
        <v>213</v>
      </c>
      <c r="B212" s="4">
        <v>6119</v>
      </c>
      <c r="C212" s="4">
        <v>99737</v>
      </c>
      <c r="D212" s="4">
        <v>14843</v>
      </c>
      <c r="E212" s="4">
        <v>120699</v>
      </c>
      <c r="F212"/>
    </row>
    <row r="213" spans="1:6" x14ac:dyDescent="0.25">
      <c r="A213"/>
      <c r="B213"/>
      <c r="C213"/>
      <c r="D213"/>
      <c r="E213"/>
      <c r="F213"/>
    </row>
    <row r="214" spans="1:6" x14ac:dyDescent="0.25">
      <c r="A214" s="47" t="s">
        <v>346</v>
      </c>
      <c r="B214" s="789" t="s">
        <v>348</v>
      </c>
      <c r="C214"/>
      <c r="D214"/>
      <c r="E214"/>
      <c r="F214"/>
    </row>
    <row r="215" spans="1:6" x14ac:dyDescent="0.25">
      <c r="A215"/>
      <c r="B215"/>
      <c r="C215"/>
      <c r="D215"/>
      <c r="E215"/>
      <c r="F215"/>
    </row>
    <row r="216" spans="1:6" x14ac:dyDescent="0.25">
      <c r="A216" s="47" t="s">
        <v>1</v>
      </c>
      <c r="B216" s="789" t="s">
        <v>984</v>
      </c>
      <c r="C216" s="789" t="s">
        <v>985</v>
      </c>
      <c r="D216" s="789" t="s">
        <v>215</v>
      </c>
      <c r="E216"/>
      <c r="F216"/>
    </row>
    <row r="217" spans="1:6" x14ac:dyDescent="0.25">
      <c r="A217" s="23" t="s">
        <v>15</v>
      </c>
      <c r="B217" s="4">
        <v>1</v>
      </c>
      <c r="C217" s="4">
        <v>85</v>
      </c>
      <c r="D217" s="4">
        <v>546</v>
      </c>
      <c r="E217"/>
      <c r="F217"/>
    </row>
    <row r="218" spans="1:6" x14ac:dyDescent="0.25">
      <c r="A218" s="23" t="s">
        <v>20</v>
      </c>
      <c r="B218" s="4">
        <v>8</v>
      </c>
      <c r="C218" s="4">
        <v>184</v>
      </c>
      <c r="D218" s="4">
        <v>1148</v>
      </c>
      <c r="E218"/>
      <c r="F218"/>
    </row>
    <row r="219" spans="1:6" x14ac:dyDescent="0.25">
      <c r="A219" s="23" t="s">
        <v>866</v>
      </c>
      <c r="B219" s="4">
        <v>1</v>
      </c>
      <c r="C219" s="4">
        <v>698</v>
      </c>
      <c r="D219" s="4">
        <v>2656</v>
      </c>
      <c r="E219"/>
      <c r="F219"/>
    </row>
    <row r="220" spans="1:6" x14ac:dyDescent="0.25">
      <c r="A220" s="23" t="s">
        <v>14</v>
      </c>
      <c r="B220" s="4">
        <v>4</v>
      </c>
      <c r="C220" s="4">
        <v>3640</v>
      </c>
      <c r="D220" s="4">
        <v>16034</v>
      </c>
      <c r="E220"/>
      <c r="F220"/>
    </row>
    <row r="221" spans="1:6" x14ac:dyDescent="0.25">
      <c r="A221" s="23" t="s">
        <v>18</v>
      </c>
      <c r="B221" s="4">
        <v>2</v>
      </c>
      <c r="C221" s="4">
        <v>75</v>
      </c>
      <c r="D221" s="4">
        <v>264</v>
      </c>
      <c r="E221"/>
      <c r="F221"/>
    </row>
    <row r="222" spans="1:6" x14ac:dyDescent="0.25">
      <c r="A222" s="23" t="s">
        <v>16</v>
      </c>
      <c r="B222" s="4">
        <v>3</v>
      </c>
      <c r="C222" s="4">
        <v>661</v>
      </c>
      <c r="D222" s="4">
        <v>3566</v>
      </c>
      <c r="E222"/>
      <c r="F222"/>
    </row>
    <row r="223" spans="1:6" x14ac:dyDescent="0.25">
      <c r="A223" s="23" t="s">
        <v>19</v>
      </c>
      <c r="B223" s="4">
        <v>15</v>
      </c>
      <c r="C223" s="4">
        <v>17820</v>
      </c>
      <c r="D223" s="4">
        <v>94884</v>
      </c>
    </row>
    <row r="224" spans="1:6" x14ac:dyDescent="0.25">
      <c r="A224" s="23" t="s">
        <v>607</v>
      </c>
      <c r="B224" s="4">
        <v>2</v>
      </c>
      <c r="C224" s="4">
        <v>492</v>
      </c>
      <c r="D224" s="4">
        <v>1601</v>
      </c>
    </row>
    <row r="225" spans="1:4" x14ac:dyDescent="0.25">
      <c r="A225" s="23" t="s">
        <v>213</v>
      </c>
      <c r="B225" s="4">
        <v>36</v>
      </c>
      <c r="C225" s="4">
        <v>23655</v>
      </c>
      <c r="D225" s="4">
        <v>120699</v>
      </c>
    </row>
    <row r="226" spans="1:4" x14ac:dyDescent="0.25">
      <c r="A226"/>
      <c r="B226"/>
      <c r="C226"/>
      <c r="D226"/>
    </row>
    <row r="227" spans="1:4" x14ac:dyDescent="0.25">
      <c r="A227"/>
      <c r="B227"/>
      <c r="C227"/>
      <c r="D227"/>
    </row>
    <row r="228" spans="1:4" x14ac:dyDescent="0.25">
      <c r="A228"/>
      <c r="B228"/>
      <c r="C228"/>
    </row>
    <row r="229" spans="1:4" x14ac:dyDescent="0.25">
      <c r="A229"/>
      <c r="B229"/>
      <c r="C229"/>
    </row>
    <row r="230" spans="1:4" x14ac:dyDescent="0.25">
      <c r="A230"/>
      <c r="B230"/>
      <c r="C230"/>
    </row>
    <row r="231" spans="1:4" x14ac:dyDescent="0.25">
      <c r="A231"/>
      <c r="B231"/>
      <c r="C231"/>
    </row>
    <row r="232" spans="1:4" x14ac:dyDescent="0.25">
      <c r="A232"/>
      <c r="B232"/>
      <c r="C232"/>
    </row>
    <row r="233" spans="1:4" x14ac:dyDescent="0.25">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30"/>
  <sheetViews>
    <sheetView topLeftCell="L1" zoomScale="80" zoomScaleNormal="80" workbookViewId="0">
      <selection activeCell="N45" sqref="N45"/>
    </sheetView>
  </sheetViews>
  <sheetFormatPr defaultColWidth="9.140625" defaultRowHeight="15" x14ac:dyDescent="0.2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8" customWidth="1"/>
    <col min="9" max="9" width="11.42578125" style="90" customWidth="1"/>
    <col min="10" max="10" width="18.5703125" style="304" customWidth="1"/>
    <col min="11" max="11" width="9.5703125" style="304" customWidth="1"/>
    <col min="12" max="12" width="24.28515625" style="90" customWidth="1"/>
    <col min="13" max="13" width="16.7109375" style="90" customWidth="1"/>
    <col min="14" max="14" width="8.7109375" style="90" customWidth="1"/>
    <col min="15" max="15" width="9.140625" style="90" customWidth="1"/>
    <col min="16" max="16" width="8.85546875" style="90" customWidth="1"/>
    <col min="17" max="17" width="6.5703125" style="90" customWidth="1"/>
    <col min="18" max="18" width="12.28515625" style="90" customWidth="1"/>
    <col min="19" max="19" width="10" style="90" customWidth="1"/>
    <col min="20" max="20" width="5.5703125" style="90" customWidth="1"/>
    <col min="21" max="21" width="13.42578125" style="90" customWidth="1"/>
    <col min="22" max="22" width="10" style="90" customWidth="1"/>
    <col min="23" max="23" width="5.5703125" style="90" customWidth="1"/>
    <col min="24" max="24" width="13.42578125" style="90" customWidth="1"/>
    <col min="25" max="25" width="10" style="90" customWidth="1"/>
    <col min="26" max="26" width="6.5703125" style="90" customWidth="1"/>
    <col min="27" max="27" width="13.42578125" style="90" customWidth="1"/>
    <col min="28" max="28" width="6" style="90" customWidth="1"/>
    <col min="29" max="29" width="5.5703125" style="90" customWidth="1"/>
    <col min="30" max="30" width="9.42578125" style="90" customWidth="1"/>
    <col min="31" max="31" width="11.5703125" style="90" customWidth="1"/>
    <col min="32" max="33" width="6.5703125" style="90" customWidth="1"/>
    <col min="34" max="34" width="9.140625" style="90" customWidth="1"/>
    <col min="35" max="35" width="11.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x14ac:dyDescent="0.3">
      <c r="A1" s="14" t="s">
        <v>1008</v>
      </c>
      <c r="B1" s="14" t="s">
        <v>1009</v>
      </c>
      <c r="G1" s="649"/>
      <c r="J1" s="650"/>
      <c r="K1" s="650"/>
    </row>
    <row r="2" spans="1:44" ht="18.75" x14ac:dyDescent="0.3">
      <c r="A2" s="14" t="s">
        <v>1008</v>
      </c>
      <c r="B2" s="14" t="s">
        <v>1128</v>
      </c>
      <c r="C2" s="14"/>
      <c r="D2" s="14"/>
      <c r="H2" s="90"/>
    </row>
    <row r="3" spans="1:44" x14ac:dyDescent="0.25">
      <c r="H3" s="90"/>
    </row>
    <row r="4" spans="1:44" ht="22.15" customHeight="1" x14ac:dyDescent="0.25">
      <c r="A4" s="586" t="s">
        <v>10</v>
      </c>
      <c r="B4" s="557" t="s">
        <v>1</v>
      </c>
      <c r="C4" s="557" t="s">
        <v>535</v>
      </c>
      <c r="D4" s="557" t="s">
        <v>565</v>
      </c>
      <c r="E4" s="557" t="s">
        <v>729</v>
      </c>
      <c r="F4" s="587" t="s">
        <v>728</v>
      </c>
      <c r="G4" s="588" t="s">
        <v>5</v>
      </c>
      <c r="H4" s="557" t="s">
        <v>732</v>
      </c>
      <c r="I4" s="589" t="s">
        <v>340</v>
      </c>
      <c r="J4" s="590" t="s">
        <v>869</v>
      </c>
      <c r="L4" s="199" t="s">
        <v>534</v>
      </c>
      <c r="M4" s="199" t="s">
        <v>664</v>
      </c>
      <c r="N4" s="790"/>
      <c r="O4" s="495"/>
      <c r="P4" s="788"/>
      <c r="Q4" s="788"/>
      <c r="R4" s="788"/>
      <c r="S4" s="788"/>
      <c r="T4" s="788"/>
      <c r="U4" s="788"/>
      <c r="V4" s="788"/>
      <c r="W4" s="788"/>
      <c r="X4" s="788"/>
      <c r="Y4" s="788"/>
      <c r="Z4" s="788"/>
      <c r="AA4" s="788"/>
      <c r="AB4" s="788"/>
      <c r="AC4" s="788"/>
      <c r="AD4" s="788"/>
      <c r="AE4" s="196"/>
      <c r="AF4"/>
      <c r="AG4"/>
      <c r="AH4"/>
      <c r="AI4"/>
      <c r="AJ4"/>
      <c r="AK4"/>
      <c r="AL4"/>
      <c r="AM4"/>
      <c r="AN4"/>
      <c r="AO4"/>
      <c r="AP4"/>
      <c r="AQ4"/>
    </row>
    <row r="5" spans="1:44" s="789" customFormat="1" ht="15" customHeight="1" x14ac:dyDescent="0.25">
      <c r="A5" s="481" t="s">
        <v>7</v>
      </c>
      <c r="B5" s="482" t="s">
        <v>14</v>
      </c>
      <c r="C5" s="156" t="s">
        <v>40</v>
      </c>
      <c r="D5" s="366" t="str">
        <f ca="1">IFERROR(OFFSET(Camp_List[P_Code],MATCH(Data_Demography_t[[#This Row],[Camp]],Camp_List[Camp Name],0)-1,0,1,1),"")</f>
        <v>MMR012CMP016</v>
      </c>
      <c r="E5" s="483" t="s">
        <v>1146</v>
      </c>
      <c r="F5" s="484" t="s">
        <v>724</v>
      </c>
      <c r="G5" s="310">
        <v>410</v>
      </c>
      <c r="H5" s="156">
        <f t="shared" ref="H5:H44" si="0">IF(F5="M",-G5,G5)</f>
        <v>-410</v>
      </c>
      <c r="I5" s="156" t="s">
        <v>623</v>
      </c>
      <c r="J5" s="862">
        <v>42886</v>
      </c>
      <c r="K5" s="304"/>
      <c r="L5" s="175"/>
      <c r="M5" s="182" t="s">
        <v>1146</v>
      </c>
      <c r="N5" s="897"/>
      <c r="O5" s="812" t="s">
        <v>1147</v>
      </c>
      <c r="P5" s="182" t="s">
        <v>880</v>
      </c>
      <c r="Q5" s="897"/>
      <c r="R5" s="812" t="s">
        <v>890</v>
      </c>
      <c r="S5" s="182" t="s">
        <v>655</v>
      </c>
      <c r="T5" s="897"/>
      <c r="U5" s="898" t="s">
        <v>731</v>
      </c>
      <c r="V5" s="182" t="s">
        <v>881</v>
      </c>
      <c r="W5" s="897"/>
      <c r="X5" s="812" t="s">
        <v>891</v>
      </c>
      <c r="Y5" s="182" t="s">
        <v>882</v>
      </c>
      <c r="Z5" s="897"/>
      <c r="AA5" s="812" t="s">
        <v>892</v>
      </c>
      <c r="AB5" s="182" t="s">
        <v>858</v>
      </c>
      <c r="AC5" s="897"/>
      <c r="AD5" s="812" t="s">
        <v>893</v>
      </c>
      <c r="AE5" s="898" t="s">
        <v>213</v>
      </c>
      <c r="AF5"/>
      <c r="AG5"/>
      <c r="AH5"/>
      <c r="AI5"/>
      <c r="AJ5"/>
      <c r="AK5"/>
      <c r="AL5"/>
      <c r="AM5"/>
      <c r="AN5"/>
      <c r="AO5"/>
      <c r="AP5"/>
      <c r="AQ5"/>
    </row>
    <row r="6" spans="1:44" s="789" customFormat="1" ht="15" customHeight="1" x14ac:dyDescent="0.25">
      <c r="A6" s="481" t="s">
        <v>7</v>
      </c>
      <c r="B6" s="482" t="s">
        <v>14</v>
      </c>
      <c r="C6" s="156" t="s">
        <v>40</v>
      </c>
      <c r="D6" s="366" t="str">
        <f ca="1">IFERROR(OFFSET(Camp_List[P_Code],MATCH(Data_Demography_t[[#This Row],[Camp]],Camp_List[Camp Name],0)-1,0,1,1),"")</f>
        <v>MMR012CMP016</v>
      </c>
      <c r="E6" s="483" t="s">
        <v>1146</v>
      </c>
      <c r="F6" s="484" t="s">
        <v>725</v>
      </c>
      <c r="G6" s="310">
        <v>473</v>
      </c>
      <c r="H6" s="156">
        <f t="shared" si="0"/>
        <v>473</v>
      </c>
      <c r="I6" s="156" t="s">
        <v>623</v>
      </c>
      <c r="J6" s="862">
        <v>42886</v>
      </c>
      <c r="K6" s="304"/>
      <c r="L6" s="279" t="s">
        <v>212</v>
      </c>
      <c r="M6" s="1" t="s">
        <v>725</v>
      </c>
      <c r="N6" s="1" t="s">
        <v>724</v>
      </c>
      <c r="O6" s="202"/>
      <c r="P6" s="182" t="s">
        <v>725</v>
      </c>
      <c r="Q6" s="897" t="s">
        <v>724</v>
      </c>
      <c r="R6" s="202"/>
      <c r="S6" s="899" t="s">
        <v>725</v>
      </c>
      <c r="T6" s="787" t="s">
        <v>724</v>
      </c>
      <c r="U6" s="502"/>
      <c r="V6" s="182" t="s">
        <v>725</v>
      </c>
      <c r="W6" s="897" t="s">
        <v>724</v>
      </c>
      <c r="X6" s="202"/>
      <c r="Y6" s="182" t="s">
        <v>725</v>
      </c>
      <c r="Z6" s="897" t="s">
        <v>724</v>
      </c>
      <c r="AA6" s="202"/>
      <c r="AB6" s="182" t="s">
        <v>725</v>
      </c>
      <c r="AC6" s="897" t="s">
        <v>724</v>
      </c>
      <c r="AD6" s="202"/>
      <c r="AE6" s="502"/>
      <c r="AF6"/>
      <c r="AG6"/>
      <c r="AH6"/>
      <c r="AI6"/>
      <c r="AJ6"/>
      <c r="AK6"/>
      <c r="AL6"/>
      <c r="AM6"/>
      <c r="AN6"/>
      <c r="AO6"/>
      <c r="AP6"/>
      <c r="AQ6"/>
    </row>
    <row r="7" spans="1:44" ht="15" customHeight="1" x14ac:dyDescent="0.25">
      <c r="A7" s="481" t="s">
        <v>7</v>
      </c>
      <c r="B7" s="482" t="s">
        <v>14</v>
      </c>
      <c r="C7" s="156" t="s">
        <v>40</v>
      </c>
      <c r="D7" s="366" t="str">
        <f ca="1">IFERROR(OFFSET(Camp_List[P_Code],MATCH(Data_Demography_t[[#This Row],[Camp]],Camp_List[Camp Name],0)-1,0,1,1),"")</f>
        <v>MMR012CMP016</v>
      </c>
      <c r="E7" s="483" t="s">
        <v>880</v>
      </c>
      <c r="F7" s="484" t="s">
        <v>724</v>
      </c>
      <c r="G7" s="310">
        <v>474</v>
      </c>
      <c r="H7" s="156">
        <f t="shared" si="0"/>
        <v>-474</v>
      </c>
      <c r="I7" s="156" t="s">
        <v>623</v>
      </c>
      <c r="J7" s="862">
        <v>42886</v>
      </c>
      <c r="L7" s="520" t="s">
        <v>14</v>
      </c>
      <c r="M7" s="895">
        <v>1830</v>
      </c>
      <c r="N7" s="197">
        <v>1780</v>
      </c>
      <c r="O7" s="197">
        <v>3610</v>
      </c>
      <c r="P7" s="197">
        <v>1245</v>
      </c>
      <c r="Q7" s="197">
        <v>1400</v>
      </c>
      <c r="R7" s="197">
        <v>2645</v>
      </c>
      <c r="S7" s="197">
        <v>940</v>
      </c>
      <c r="T7" s="197">
        <v>972</v>
      </c>
      <c r="U7" s="197">
        <v>1912</v>
      </c>
      <c r="V7" s="197">
        <v>1461</v>
      </c>
      <c r="W7" s="197">
        <v>1006</v>
      </c>
      <c r="X7" s="197">
        <v>2467</v>
      </c>
      <c r="Y7" s="197">
        <v>2135</v>
      </c>
      <c r="Z7" s="197">
        <v>2114</v>
      </c>
      <c r="AA7" s="197">
        <v>4249</v>
      </c>
      <c r="AB7" s="197">
        <v>266</v>
      </c>
      <c r="AC7" s="197">
        <v>300</v>
      </c>
      <c r="AD7" s="197">
        <v>566</v>
      </c>
      <c r="AE7" s="197">
        <v>15449</v>
      </c>
      <c r="AF7"/>
      <c r="AG7"/>
      <c r="AH7"/>
      <c r="AI7"/>
      <c r="AJ7"/>
      <c r="AK7"/>
      <c r="AL7"/>
      <c r="AM7"/>
      <c r="AN7"/>
      <c r="AO7"/>
      <c r="AP7"/>
      <c r="AQ7"/>
    </row>
    <row r="8" spans="1:44" ht="15" customHeight="1" x14ac:dyDescent="0.25">
      <c r="A8" s="481" t="s">
        <v>7</v>
      </c>
      <c r="B8" s="482" t="s">
        <v>14</v>
      </c>
      <c r="C8" s="156" t="s">
        <v>40</v>
      </c>
      <c r="D8" s="366" t="str">
        <f ca="1">IFERROR(OFFSET(Camp_List[P_Code],MATCH(Data_Demography_t[[#This Row],[Camp]],Camp_List[Camp Name],0)-1,0,1,1),"")</f>
        <v>MMR012CMP016</v>
      </c>
      <c r="E8" s="483" t="s">
        <v>880</v>
      </c>
      <c r="F8" s="484" t="s">
        <v>725</v>
      </c>
      <c r="G8" s="310">
        <v>401</v>
      </c>
      <c r="H8" s="156">
        <f t="shared" si="0"/>
        <v>401</v>
      </c>
      <c r="I8" s="156" t="s">
        <v>623</v>
      </c>
      <c r="J8" s="862">
        <v>42886</v>
      </c>
      <c r="L8" s="198" t="s">
        <v>42</v>
      </c>
      <c r="M8" s="895">
        <v>589</v>
      </c>
      <c r="N8" s="197">
        <v>612</v>
      </c>
      <c r="O8" s="197">
        <v>1201</v>
      </c>
      <c r="P8" s="197">
        <v>297</v>
      </c>
      <c r="Q8" s="197">
        <v>355</v>
      </c>
      <c r="R8" s="197">
        <v>652</v>
      </c>
      <c r="S8" s="197">
        <v>382</v>
      </c>
      <c r="T8" s="197">
        <v>355</v>
      </c>
      <c r="U8" s="197">
        <v>737</v>
      </c>
      <c r="V8" s="197">
        <v>482</v>
      </c>
      <c r="W8" s="197">
        <v>345</v>
      </c>
      <c r="X8" s="197">
        <v>827</v>
      </c>
      <c r="Y8" s="197">
        <v>602</v>
      </c>
      <c r="Z8" s="197">
        <v>599</v>
      </c>
      <c r="AA8" s="197">
        <v>1201</v>
      </c>
      <c r="AB8" s="197">
        <v>96</v>
      </c>
      <c r="AC8" s="197">
        <v>104</v>
      </c>
      <c r="AD8" s="197">
        <v>200</v>
      </c>
      <c r="AE8" s="197">
        <v>4818</v>
      </c>
      <c r="AF8"/>
      <c r="AG8"/>
      <c r="AH8"/>
      <c r="AI8"/>
      <c r="AJ8"/>
      <c r="AK8"/>
      <c r="AL8"/>
      <c r="AM8"/>
      <c r="AN8"/>
      <c r="AO8"/>
      <c r="AP8"/>
      <c r="AQ8"/>
    </row>
    <row r="9" spans="1:44" ht="15" customHeight="1" x14ac:dyDescent="0.25">
      <c r="A9" s="481" t="s">
        <v>7</v>
      </c>
      <c r="B9" s="482" t="s">
        <v>14</v>
      </c>
      <c r="C9" s="156" t="s">
        <v>40</v>
      </c>
      <c r="D9" s="366" t="str">
        <f ca="1">IFERROR(OFFSET(Camp_List[P_Code],MATCH(Data_Demography_t[[#This Row],[Camp]],Camp_List[Camp Name],0)-1,0,1,1),"")</f>
        <v>MMR012CMP016</v>
      </c>
      <c r="E9" s="483" t="s">
        <v>655</v>
      </c>
      <c r="F9" s="484" t="s">
        <v>724</v>
      </c>
      <c r="G9" s="310">
        <v>260</v>
      </c>
      <c r="H9" s="156">
        <f t="shared" si="0"/>
        <v>-260</v>
      </c>
      <c r="I9" s="156" t="s">
        <v>623</v>
      </c>
      <c r="J9" s="862">
        <v>42886</v>
      </c>
      <c r="L9" s="198" t="s">
        <v>43</v>
      </c>
      <c r="M9" s="895">
        <v>211</v>
      </c>
      <c r="N9" s="197">
        <v>206</v>
      </c>
      <c r="O9" s="197">
        <v>417</v>
      </c>
      <c r="P9" s="197">
        <v>218</v>
      </c>
      <c r="Q9" s="197">
        <v>198</v>
      </c>
      <c r="R9" s="197">
        <v>416</v>
      </c>
      <c r="S9" s="197">
        <v>139</v>
      </c>
      <c r="T9" s="197">
        <v>135</v>
      </c>
      <c r="U9" s="197">
        <v>274</v>
      </c>
      <c r="V9" s="197">
        <v>0</v>
      </c>
      <c r="W9" s="197">
        <v>0</v>
      </c>
      <c r="X9" s="197">
        <v>0</v>
      </c>
      <c r="Y9" s="197">
        <v>641</v>
      </c>
      <c r="Z9" s="197">
        <v>575</v>
      </c>
      <c r="AA9" s="197">
        <v>1216</v>
      </c>
      <c r="AB9" s="197">
        <v>47</v>
      </c>
      <c r="AC9" s="197">
        <v>35</v>
      </c>
      <c r="AD9" s="197">
        <v>82</v>
      </c>
      <c r="AE9" s="197">
        <v>2405</v>
      </c>
      <c r="AF9"/>
      <c r="AG9"/>
      <c r="AH9"/>
      <c r="AI9"/>
      <c r="AJ9"/>
      <c r="AK9"/>
      <c r="AL9"/>
      <c r="AM9"/>
      <c r="AN9"/>
      <c r="AO9"/>
      <c r="AP9"/>
      <c r="AQ9"/>
      <c r="AR9"/>
    </row>
    <row r="10" spans="1:44" ht="15" customHeight="1" x14ac:dyDescent="0.25">
      <c r="A10" s="481" t="s">
        <v>7</v>
      </c>
      <c r="B10" s="482" t="s">
        <v>14</v>
      </c>
      <c r="C10" s="156" t="s">
        <v>40</v>
      </c>
      <c r="D10" s="366" t="str">
        <f ca="1">IFERROR(OFFSET(Camp_List[P_Code],MATCH(Data_Demography_t[[#This Row],[Camp]],Camp_List[Camp Name],0)-1,0,1,1),"")</f>
        <v>MMR012CMP016</v>
      </c>
      <c r="E10" s="483" t="s">
        <v>655</v>
      </c>
      <c r="F10" s="484" t="s">
        <v>725</v>
      </c>
      <c r="G10" s="310">
        <v>212</v>
      </c>
      <c r="H10" s="156">
        <f t="shared" si="0"/>
        <v>212</v>
      </c>
      <c r="I10" s="156" t="s">
        <v>623</v>
      </c>
      <c r="J10" s="862">
        <v>42886</v>
      </c>
      <c r="L10" s="198" t="s">
        <v>40</v>
      </c>
      <c r="M10" s="895">
        <v>473</v>
      </c>
      <c r="N10" s="197">
        <v>410</v>
      </c>
      <c r="O10" s="197">
        <v>883</v>
      </c>
      <c r="P10" s="197">
        <v>401</v>
      </c>
      <c r="Q10" s="197">
        <v>474</v>
      </c>
      <c r="R10" s="197">
        <v>875</v>
      </c>
      <c r="S10" s="197">
        <v>212</v>
      </c>
      <c r="T10" s="197">
        <v>260</v>
      </c>
      <c r="U10" s="197">
        <v>472</v>
      </c>
      <c r="V10" s="197">
        <v>530</v>
      </c>
      <c r="W10" s="197">
        <v>338</v>
      </c>
      <c r="X10" s="197">
        <v>868</v>
      </c>
      <c r="Y10" s="197">
        <v>546</v>
      </c>
      <c r="Z10" s="197">
        <v>507</v>
      </c>
      <c r="AA10" s="197">
        <v>1053</v>
      </c>
      <c r="AB10" s="197">
        <v>57</v>
      </c>
      <c r="AC10" s="197">
        <v>72</v>
      </c>
      <c r="AD10" s="197">
        <v>129</v>
      </c>
      <c r="AE10" s="197">
        <v>4280</v>
      </c>
      <c r="AF10"/>
      <c r="AG10"/>
      <c r="AH10"/>
      <c r="AI10"/>
      <c r="AJ10"/>
      <c r="AK10"/>
      <c r="AL10"/>
      <c r="AM10"/>
      <c r="AN10"/>
      <c r="AO10"/>
      <c r="AP10"/>
      <c r="AQ10"/>
      <c r="AR10"/>
    </row>
    <row r="11" spans="1:44" ht="14.25" customHeight="1" x14ac:dyDescent="0.25">
      <c r="A11" s="481" t="s">
        <v>7</v>
      </c>
      <c r="B11" s="482" t="s">
        <v>14</v>
      </c>
      <c r="C11" s="156" t="s">
        <v>40</v>
      </c>
      <c r="D11" s="366" t="str">
        <f ca="1">IFERROR(OFFSET(Camp_List[P_Code],MATCH(Data_Demography_t[[#This Row],[Camp]],Camp_List[Camp Name],0)-1,0,1,1),"")</f>
        <v>MMR012CMP016</v>
      </c>
      <c r="E11" s="483" t="s">
        <v>881</v>
      </c>
      <c r="F11" s="484" t="s">
        <v>724</v>
      </c>
      <c r="G11" s="310">
        <v>338</v>
      </c>
      <c r="H11" s="156">
        <f t="shared" si="0"/>
        <v>-338</v>
      </c>
      <c r="I11" s="156" t="s">
        <v>623</v>
      </c>
      <c r="J11" s="862">
        <v>42886</v>
      </c>
      <c r="L11" s="198" t="s">
        <v>1067</v>
      </c>
      <c r="M11" s="895">
        <v>557</v>
      </c>
      <c r="N11" s="197">
        <v>552</v>
      </c>
      <c r="O11" s="197">
        <v>1109</v>
      </c>
      <c r="P11" s="197">
        <v>329</v>
      </c>
      <c r="Q11" s="197">
        <v>373</v>
      </c>
      <c r="R11" s="197">
        <v>702</v>
      </c>
      <c r="S11" s="197">
        <v>207</v>
      </c>
      <c r="T11" s="197">
        <v>222</v>
      </c>
      <c r="U11" s="197">
        <v>429</v>
      </c>
      <c r="V11" s="197">
        <v>449</v>
      </c>
      <c r="W11" s="197">
        <v>323</v>
      </c>
      <c r="X11" s="197">
        <v>772</v>
      </c>
      <c r="Y11" s="197">
        <v>346</v>
      </c>
      <c r="Z11" s="197">
        <v>433</v>
      </c>
      <c r="AA11" s="197">
        <v>779</v>
      </c>
      <c r="AB11" s="197">
        <v>66</v>
      </c>
      <c r="AC11" s="197">
        <v>89</v>
      </c>
      <c r="AD11" s="197">
        <v>155</v>
      </c>
      <c r="AE11" s="197">
        <v>3946</v>
      </c>
      <c r="AF11"/>
      <c r="AG11"/>
      <c r="AH11"/>
      <c r="AI11"/>
      <c r="AJ11"/>
      <c r="AK11"/>
      <c r="AL11"/>
      <c r="AM11"/>
      <c r="AN11"/>
      <c r="AO11"/>
      <c r="AP11"/>
      <c r="AQ11"/>
      <c r="AR11"/>
    </row>
    <row r="12" spans="1:44" ht="15" customHeight="1" x14ac:dyDescent="0.25">
      <c r="A12" s="481" t="s">
        <v>7</v>
      </c>
      <c r="B12" s="482" t="s">
        <v>14</v>
      </c>
      <c r="C12" s="156" t="s">
        <v>40</v>
      </c>
      <c r="D12" s="366" t="str">
        <f ca="1">IFERROR(OFFSET(Camp_List[P_Code],MATCH(Data_Demography_t[[#This Row],[Camp]],Camp_List[Camp Name],0)-1,0,1,1),"")</f>
        <v>MMR012CMP016</v>
      </c>
      <c r="E12" s="483" t="s">
        <v>881</v>
      </c>
      <c r="F12" s="484" t="s">
        <v>725</v>
      </c>
      <c r="G12" s="310">
        <v>530</v>
      </c>
      <c r="H12" s="156">
        <f t="shared" si="0"/>
        <v>530</v>
      </c>
      <c r="I12" s="156" t="s">
        <v>623</v>
      </c>
      <c r="J12" s="862">
        <v>42886</v>
      </c>
      <c r="L12" s="520" t="s">
        <v>19</v>
      </c>
      <c r="M12" s="895">
        <v>8533</v>
      </c>
      <c r="N12" s="197">
        <v>8361</v>
      </c>
      <c r="O12" s="197">
        <v>16894</v>
      </c>
      <c r="P12" s="197">
        <v>7896</v>
      </c>
      <c r="Q12" s="197">
        <v>8588</v>
      </c>
      <c r="R12" s="197">
        <v>16484</v>
      </c>
      <c r="S12" s="197">
        <v>6202</v>
      </c>
      <c r="T12" s="197">
        <v>6461</v>
      </c>
      <c r="U12" s="197">
        <v>12663</v>
      </c>
      <c r="V12" s="197">
        <v>8515</v>
      </c>
      <c r="W12" s="197">
        <v>6946</v>
      </c>
      <c r="X12" s="197">
        <v>15461</v>
      </c>
      <c r="Y12" s="197">
        <v>11303</v>
      </c>
      <c r="Z12" s="197">
        <v>10462</v>
      </c>
      <c r="AA12" s="197">
        <v>21765</v>
      </c>
      <c r="AB12" s="197">
        <v>1530</v>
      </c>
      <c r="AC12" s="197">
        <v>1496</v>
      </c>
      <c r="AD12" s="197">
        <v>3026</v>
      </c>
      <c r="AE12" s="197">
        <v>86293</v>
      </c>
      <c r="AF12"/>
      <c r="AG12"/>
      <c r="AH12"/>
      <c r="AI12"/>
      <c r="AJ12"/>
      <c r="AK12"/>
      <c r="AL12"/>
      <c r="AM12"/>
      <c r="AN12"/>
      <c r="AO12"/>
      <c r="AP12"/>
      <c r="AQ12"/>
      <c r="AR12"/>
    </row>
    <row r="13" spans="1:44" ht="15" customHeight="1" x14ac:dyDescent="0.25">
      <c r="A13" s="481" t="s">
        <v>7</v>
      </c>
      <c r="B13" s="482" t="s">
        <v>14</v>
      </c>
      <c r="C13" s="156" t="s">
        <v>40</v>
      </c>
      <c r="D13" s="366" t="str">
        <f ca="1">IFERROR(OFFSET(Camp_List[P_Code],MATCH(Data_Demography_t[[#This Row],[Camp]],Camp_List[Camp Name],0)-1,0,1,1),"")</f>
        <v>MMR012CMP016</v>
      </c>
      <c r="E13" s="483" t="s">
        <v>882</v>
      </c>
      <c r="F13" s="484" t="s">
        <v>724</v>
      </c>
      <c r="G13" s="310">
        <v>507</v>
      </c>
      <c r="H13" s="156">
        <f t="shared" si="0"/>
        <v>-507</v>
      </c>
      <c r="I13" s="156" t="s">
        <v>623</v>
      </c>
      <c r="J13" s="862">
        <v>42886</v>
      </c>
      <c r="L13" s="403" t="s">
        <v>634</v>
      </c>
      <c r="M13" s="895">
        <v>1429</v>
      </c>
      <c r="N13" s="197">
        <v>1479</v>
      </c>
      <c r="O13" s="197">
        <v>2908</v>
      </c>
      <c r="P13" s="197">
        <v>1300</v>
      </c>
      <c r="Q13" s="197">
        <v>1461</v>
      </c>
      <c r="R13" s="197">
        <v>2761</v>
      </c>
      <c r="S13" s="197">
        <v>907</v>
      </c>
      <c r="T13" s="197">
        <v>1004</v>
      </c>
      <c r="U13" s="197">
        <v>1911</v>
      </c>
      <c r="V13" s="197">
        <v>1300</v>
      </c>
      <c r="W13" s="197">
        <v>1034</v>
      </c>
      <c r="X13" s="197">
        <v>2334</v>
      </c>
      <c r="Y13" s="197">
        <v>1562</v>
      </c>
      <c r="Z13" s="197">
        <v>1406</v>
      </c>
      <c r="AA13" s="197">
        <v>2968</v>
      </c>
      <c r="AB13" s="197">
        <v>319</v>
      </c>
      <c r="AC13" s="197">
        <v>259</v>
      </c>
      <c r="AD13" s="197">
        <v>578</v>
      </c>
      <c r="AE13" s="197">
        <v>13460</v>
      </c>
      <c r="AF13"/>
      <c r="AG13"/>
      <c r="AH13"/>
      <c r="AI13"/>
      <c r="AJ13"/>
      <c r="AK13"/>
      <c r="AL13"/>
      <c r="AM13"/>
      <c r="AN13"/>
      <c r="AO13"/>
      <c r="AP13"/>
      <c r="AQ13"/>
      <c r="AR13"/>
    </row>
    <row r="14" spans="1:44" ht="15" customHeight="1" x14ac:dyDescent="0.25">
      <c r="A14" s="481" t="s">
        <v>7</v>
      </c>
      <c r="B14" s="482" t="s">
        <v>14</v>
      </c>
      <c r="C14" s="156" t="s">
        <v>40</v>
      </c>
      <c r="D14" s="366" t="str">
        <f ca="1">IFERROR(OFFSET(Camp_List[P_Code],MATCH(Data_Demography_t[[#This Row],[Camp]],Camp_List[Camp Name],0)-1,0,1,1),"")</f>
        <v>MMR012CMP016</v>
      </c>
      <c r="E14" s="483" t="s">
        <v>882</v>
      </c>
      <c r="F14" s="484" t="s">
        <v>725</v>
      </c>
      <c r="G14" s="310">
        <v>546</v>
      </c>
      <c r="H14" s="156">
        <f t="shared" si="0"/>
        <v>546</v>
      </c>
      <c r="I14" s="156" t="s">
        <v>623</v>
      </c>
      <c r="J14" s="862">
        <v>42886</v>
      </c>
      <c r="L14" s="894" t="s">
        <v>635</v>
      </c>
      <c r="M14" s="895">
        <v>1278</v>
      </c>
      <c r="N14" s="197">
        <v>1326</v>
      </c>
      <c r="O14" s="197">
        <v>2604</v>
      </c>
      <c r="P14" s="197">
        <v>1111</v>
      </c>
      <c r="Q14" s="197">
        <v>1239</v>
      </c>
      <c r="R14" s="197">
        <v>2350</v>
      </c>
      <c r="S14" s="197">
        <v>815</v>
      </c>
      <c r="T14" s="197">
        <v>853</v>
      </c>
      <c r="U14" s="197">
        <v>1668</v>
      </c>
      <c r="V14" s="197">
        <v>1093</v>
      </c>
      <c r="W14" s="197">
        <v>738</v>
      </c>
      <c r="X14" s="197">
        <v>1831</v>
      </c>
      <c r="Y14" s="197">
        <v>1519</v>
      </c>
      <c r="Z14" s="197">
        <v>1334</v>
      </c>
      <c r="AA14" s="197">
        <v>2853</v>
      </c>
      <c r="AB14" s="197">
        <v>178</v>
      </c>
      <c r="AC14" s="197">
        <v>175</v>
      </c>
      <c r="AD14" s="197">
        <v>353</v>
      </c>
      <c r="AE14" s="197">
        <v>11659</v>
      </c>
      <c r="AF14"/>
      <c r="AG14"/>
      <c r="AH14"/>
      <c r="AI14"/>
      <c r="AJ14"/>
      <c r="AK14"/>
      <c r="AL14"/>
      <c r="AM14"/>
      <c r="AN14"/>
      <c r="AO14"/>
      <c r="AP14"/>
      <c r="AQ14"/>
      <c r="AR14"/>
    </row>
    <row r="15" spans="1:44" ht="15" customHeight="1" x14ac:dyDescent="0.25">
      <c r="A15" s="481" t="s">
        <v>7</v>
      </c>
      <c r="B15" s="482" t="s">
        <v>14</v>
      </c>
      <c r="C15" s="156" t="s">
        <v>40</v>
      </c>
      <c r="D15" s="366" t="str">
        <f ca="1">IFERROR(OFFSET(Camp_List[P_Code],MATCH(Data_Demography_t[[#This Row],[Camp]],Camp_List[Camp Name],0)-1,0,1,1),"")</f>
        <v>MMR012CMP016</v>
      </c>
      <c r="E15" s="483" t="s">
        <v>858</v>
      </c>
      <c r="F15" s="484" t="s">
        <v>724</v>
      </c>
      <c r="G15" s="310">
        <v>72</v>
      </c>
      <c r="H15" s="156">
        <f t="shared" si="0"/>
        <v>-72</v>
      </c>
      <c r="I15" s="156" t="s">
        <v>623</v>
      </c>
      <c r="J15" s="862">
        <v>42886</v>
      </c>
      <c r="L15" s="198" t="s">
        <v>67</v>
      </c>
      <c r="M15" s="895">
        <v>1293</v>
      </c>
      <c r="N15" s="197">
        <v>1277</v>
      </c>
      <c r="O15" s="197">
        <v>2570</v>
      </c>
      <c r="P15" s="197">
        <v>1219</v>
      </c>
      <c r="Q15" s="197">
        <v>1337</v>
      </c>
      <c r="R15" s="197">
        <v>2556</v>
      </c>
      <c r="S15" s="197">
        <v>844</v>
      </c>
      <c r="T15" s="197">
        <v>852</v>
      </c>
      <c r="U15" s="197">
        <v>1696</v>
      </c>
      <c r="V15" s="197">
        <v>1275</v>
      </c>
      <c r="W15" s="197">
        <v>901</v>
      </c>
      <c r="X15" s="197">
        <v>2176</v>
      </c>
      <c r="Y15" s="197">
        <v>1475</v>
      </c>
      <c r="Z15" s="197">
        <v>1335</v>
      </c>
      <c r="AA15" s="197">
        <v>2810</v>
      </c>
      <c r="AB15" s="197">
        <v>180</v>
      </c>
      <c r="AC15" s="197">
        <v>190</v>
      </c>
      <c r="AD15" s="197">
        <v>370</v>
      </c>
      <c r="AE15" s="197">
        <v>12178</v>
      </c>
      <c r="AF15"/>
      <c r="AG15"/>
      <c r="AH15"/>
      <c r="AI15"/>
      <c r="AJ15"/>
      <c r="AK15"/>
      <c r="AL15"/>
      <c r="AM15"/>
      <c r="AN15"/>
      <c r="AO15"/>
      <c r="AP15"/>
      <c r="AQ15"/>
      <c r="AR15"/>
    </row>
    <row r="16" spans="1:44" ht="15" customHeight="1" x14ac:dyDescent="0.25">
      <c r="A16" s="481" t="s">
        <v>7</v>
      </c>
      <c r="B16" s="482" t="s">
        <v>14</v>
      </c>
      <c r="C16" s="156" t="s">
        <v>40</v>
      </c>
      <c r="D16" s="366" t="str">
        <f ca="1">IFERROR(OFFSET(Camp_List[P_Code],MATCH(Data_Demography_t[[#This Row],[Camp]],Camp_List[Camp Name],0)-1,0,1,1),"")</f>
        <v>MMR012CMP016</v>
      </c>
      <c r="E16" s="483" t="s">
        <v>858</v>
      </c>
      <c r="F16" s="484" t="s">
        <v>725</v>
      </c>
      <c r="G16" s="310">
        <v>57</v>
      </c>
      <c r="H16" s="156">
        <f t="shared" si="0"/>
        <v>57</v>
      </c>
      <c r="I16" s="156" t="s">
        <v>623</v>
      </c>
      <c r="J16" s="862">
        <v>42886</v>
      </c>
      <c r="L16" s="198" t="s">
        <v>61</v>
      </c>
      <c r="M16" s="895">
        <v>219</v>
      </c>
      <c r="N16" s="197">
        <v>251</v>
      </c>
      <c r="O16" s="197">
        <v>470</v>
      </c>
      <c r="P16" s="197">
        <v>165</v>
      </c>
      <c r="Q16" s="197">
        <v>181</v>
      </c>
      <c r="R16" s="197">
        <v>346</v>
      </c>
      <c r="S16" s="197">
        <v>136</v>
      </c>
      <c r="T16" s="197">
        <v>148</v>
      </c>
      <c r="U16" s="197">
        <v>284</v>
      </c>
      <c r="V16" s="197">
        <v>224</v>
      </c>
      <c r="W16" s="197">
        <v>141</v>
      </c>
      <c r="X16" s="197">
        <v>365</v>
      </c>
      <c r="Y16" s="197">
        <v>339</v>
      </c>
      <c r="Z16" s="197">
        <v>323</v>
      </c>
      <c r="AA16" s="197">
        <v>662</v>
      </c>
      <c r="AB16" s="197">
        <v>63</v>
      </c>
      <c r="AC16" s="197">
        <v>50</v>
      </c>
      <c r="AD16" s="197">
        <v>113</v>
      </c>
      <c r="AE16" s="197">
        <v>2240</v>
      </c>
      <c r="AF16"/>
      <c r="AG16"/>
      <c r="AH16"/>
      <c r="AI16"/>
      <c r="AJ16"/>
      <c r="AK16"/>
      <c r="AL16"/>
      <c r="AM16"/>
      <c r="AN16"/>
      <c r="AO16"/>
      <c r="AP16"/>
      <c r="AQ16"/>
      <c r="AR16"/>
    </row>
    <row r="17" spans="1:44" ht="15" customHeight="1" x14ac:dyDescent="0.25">
      <c r="A17" s="481" t="s">
        <v>7</v>
      </c>
      <c r="B17" s="482" t="s">
        <v>19</v>
      </c>
      <c r="C17" s="156" t="s">
        <v>629</v>
      </c>
      <c r="D17" s="366" t="str">
        <f ca="1">IFERROR(OFFSET(Camp_List[P_Code],MATCH(Data_Demography_t[[#This Row],[Camp]],Camp_List[Camp Name],0)-1,0,1,1),"")</f>
        <v>MMR012CMP113</v>
      </c>
      <c r="E17" s="483" t="s">
        <v>1146</v>
      </c>
      <c r="F17" s="484" t="s">
        <v>724</v>
      </c>
      <c r="G17" s="310">
        <v>395</v>
      </c>
      <c r="H17" s="156">
        <f t="shared" si="0"/>
        <v>-395</v>
      </c>
      <c r="I17" s="156" t="s">
        <v>288</v>
      </c>
      <c r="J17" s="862">
        <v>42886</v>
      </c>
      <c r="L17" s="894" t="s">
        <v>63</v>
      </c>
      <c r="M17" s="895">
        <v>708</v>
      </c>
      <c r="N17" s="197">
        <v>652</v>
      </c>
      <c r="O17" s="197">
        <v>1360</v>
      </c>
      <c r="P17" s="197">
        <v>802</v>
      </c>
      <c r="Q17" s="197">
        <v>809</v>
      </c>
      <c r="R17" s="197">
        <v>1611</v>
      </c>
      <c r="S17" s="197">
        <v>629</v>
      </c>
      <c r="T17" s="197">
        <v>648</v>
      </c>
      <c r="U17" s="197">
        <v>1277</v>
      </c>
      <c r="V17" s="197">
        <v>876</v>
      </c>
      <c r="W17" s="197">
        <v>727</v>
      </c>
      <c r="X17" s="197">
        <v>1603</v>
      </c>
      <c r="Y17" s="197">
        <v>1050</v>
      </c>
      <c r="Z17" s="197">
        <v>971</v>
      </c>
      <c r="AA17" s="197">
        <v>2021</v>
      </c>
      <c r="AB17" s="197">
        <v>159</v>
      </c>
      <c r="AC17" s="197">
        <v>151</v>
      </c>
      <c r="AD17" s="197">
        <v>310</v>
      </c>
      <c r="AE17" s="197">
        <v>8182</v>
      </c>
      <c r="AF17"/>
      <c r="AG17"/>
      <c r="AH17"/>
      <c r="AI17"/>
      <c r="AJ17"/>
      <c r="AK17"/>
      <c r="AL17"/>
      <c r="AM17"/>
      <c r="AN17"/>
      <c r="AO17"/>
      <c r="AP17"/>
      <c r="AQ17"/>
      <c r="AR17"/>
    </row>
    <row r="18" spans="1:44" ht="15" customHeight="1" x14ac:dyDescent="0.25">
      <c r="A18" s="481" t="s">
        <v>7</v>
      </c>
      <c r="B18" s="482" t="s">
        <v>19</v>
      </c>
      <c r="C18" s="156" t="s">
        <v>629</v>
      </c>
      <c r="D18" s="366" t="str">
        <f ca="1">IFERROR(OFFSET(Camp_List[P_Code],MATCH(Data_Demography_t[[#This Row],[Camp]],Camp_List[Camp Name],0)-1,0,1,1),"")</f>
        <v>MMR012CMP113</v>
      </c>
      <c r="E18" s="483" t="s">
        <v>1146</v>
      </c>
      <c r="F18" s="484" t="s">
        <v>725</v>
      </c>
      <c r="G18" s="310">
        <v>419</v>
      </c>
      <c r="H18" s="156">
        <f t="shared" si="0"/>
        <v>419</v>
      </c>
      <c r="I18" s="156" t="s">
        <v>288</v>
      </c>
      <c r="J18" s="862">
        <v>42886</v>
      </c>
      <c r="L18" s="894" t="s">
        <v>64</v>
      </c>
      <c r="M18" s="895">
        <v>473</v>
      </c>
      <c r="N18" s="197">
        <v>428</v>
      </c>
      <c r="O18" s="197">
        <v>901</v>
      </c>
      <c r="P18" s="197">
        <v>356</v>
      </c>
      <c r="Q18" s="197">
        <v>396</v>
      </c>
      <c r="R18" s="197">
        <v>752</v>
      </c>
      <c r="S18" s="197">
        <v>297</v>
      </c>
      <c r="T18" s="197">
        <v>345</v>
      </c>
      <c r="U18" s="197">
        <v>642</v>
      </c>
      <c r="V18" s="197">
        <v>473</v>
      </c>
      <c r="W18" s="197">
        <v>301</v>
      </c>
      <c r="X18" s="197">
        <v>774</v>
      </c>
      <c r="Y18" s="197">
        <v>607</v>
      </c>
      <c r="Z18" s="197">
        <v>609</v>
      </c>
      <c r="AA18" s="197">
        <v>1216</v>
      </c>
      <c r="AB18" s="197">
        <v>81</v>
      </c>
      <c r="AC18" s="197">
        <v>62</v>
      </c>
      <c r="AD18" s="197">
        <v>143</v>
      </c>
      <c r="AE18" s="197">
        <v>4428</v>
      </c>
      <c r="AF18"/>
      <c r="AG18"/>
      <c r="AH18"/>
      <c r="AI18"/>
      <c r="AJ18"/>
      <c r="AK18"/>
      <c r="AL18"/>
      <c r="AM18"/>
      <c r="AN18"/>
      <c r="AO18"/>
      <c r="AP18"/>
      <c r="AQ18"/>
      <c r="AR18"/>
    </row>
    <row r="19" spans="1:44" s="789" customFormat="1" ht="15" customHeight="1" x14ac:dyDescent="0.25">
      <c r="A19" s="481" t="s">
        <v>7</v>
      </c>
      <c r="B19" s="482" t="s">
        <v>19</v>
      </c>
      <c r="C19" s="156" t="s">
        <v>629</v>
      </c>
      <c r="D19" s="366" t="str">
        <f ca="1">IFERROR(OFFSET(Camp_List[P_Code],MATCH(Data_Demography_t[[#This Row],[Camp]],Camp_List[Camp Name],0)-1,0,1,1),"")</f>
        <v>MMR012CMP113</v>
      </c>
      <c r="E19" s="483" t="s">
        <v>880</v>
      </c>
      <c r="F19" s="484" t="s">
        <v>724</v>
      </c>
      <c r="G19" s="310">
        <v>457</v>
      </c>
      <c r="H19" s="156">
        <f t="shared" si="0"/>
        <v>-457</v>
      </c>
      <c r="I19" s="156" t="s">
        <v>288</v>
      </c>
      <c r="J19" s="862">
        <v>42886</v>
      </c>
      <c r="K19" s="304"/>
      <c r="L19" s="198" t="s">
        <v>628</v>
      </c>
      <c r="M19" s="895">
        <v>314</v>
      </c>
      <c r="N19" s="197">
        <v>333</v>
      </c>
      <c r="O19" s="197">
        <v>647</v>
      </c>
      <c r="P19" s="197">
        <v>285</v>
      </c>
      <c r="Q19" s="197">
        <v>295</v>
      </c>
      <c r="R19" s="197">
        <v>580</v>
      </c>
      <c r="S19" s="197">
        <v>271</v>
      </c>
      <c r="T19" s="197">
        <v>236</v>
      </c>
      <c r="U19" s="197">
        <v>507</v>
      </c>
      <c r="V19" s="197">
        <v>285</v>
      </c>
      <c r="W19" s="197">
        <v>382</v>
      </c>
      <c r="X19" s="197">
        <v>667</v>
      </c>
      <c r="Y19" s="197">
        <v>436</v>
      </c>
      <c r="Z19" s="197">
        <v>446</v>
      </c>
      <c r="AA19" s="197">
        <v>882</v>
      </c>
      <c r="AB19" s="197">
        <v>72</v>
      </c>
      <c r="AC19" s="197">
        <v>80</v>
      </c>
      <c r="AD19" s="197">
        <v>152</v>
      </c>
      <c r="AE19" s="197">
        <v>3435</v>
      </c>
      <c r="AF19"/>
      <c r="AG19"/>
      <c r="AH19"/>
      <c r="AI19"/>
      <c r="AJ19"/>
      <c r="AK19"/>
      <c r="AL19"/>
      <c r="AM19"/>
      <c r="AN19"/>
      <c r="AO19"/>
      <c r="AP19"/>
      <c r="AQ19"/>
    </row>
    <row r="20" spans="1:44" s="789" customFormat="1" ht="15" customHeight="1" x14ac:dyDescent="0.25">
      <c r="A20" s="481" t="s">
        <v>7</v>
      </c>
      <c r="B20" s="482" t="s">
        <v>19</v>
      </c>
      <c r="C20" s="156" t="s">
        <v>629</v>
      </c>
      <c r="D20" s="366" t="str">
        <f ca="1">IFERROR(OFFSET(Camp_List[P_Code],MATCH(Data_Demography_t[[#This Row],[Camp]],Camp_List[Camp Name],0)-1,0,1,1),"")</f>
        <v>MMR012CMP113</v>
      </c>
      <c r="E20" s="483" t="s">
        <v>880</v>
      </c>
      <c r="F20" s="484" t="s">
        <v>725</v>
      </c>
      <c r="G20" s="310">
        <v>387</v>
      </c>
      <c r="H20" s="156">
        <f t="shared" si="0"/>
        <v>387</v>
      </c>
      <c r="I20" s="156" t="s">
        <v>288</v>
      </c>
      <c r="J20" s="862">
        <v>42886</v>
      </c>
      <c r="K20" s="304"/>
      <c r="L20" s="198" t="s">
        <v>633</v>
      </c>
      <c r="M20" s="895">
        <v>415</v>
      </c>
      <c r="N20" s="197">
        <v>352</v>
      </c>
      <c r="O20" s="197">
        <v>767</v>
      </c>
      <c r="P20" s="197">
        <v>365</v>
      </c>
      <c r="Q20" s="197">
        <v>429</v>
      </c>
      <c r="R20" s="197">
        <v>794</v>
      </c>
      <c r="S20" s="197">
        <v>224</v>
      </c>
      <c r="T20" s="197">
        <v>259</v>
      </c>
      <c r="U20" s="197">
        <v>483</v>
      </c>
      <c r="V20" s="197">
        <v>291</v>
      </c>
      <c r="W20" s="197">
        <v>243</v>
      </c>
      <c r="X20" s="197">
        <v>534</v>
      </c>
      <c r="Y20" s="197">
        <v>375</v>
      </c>
      <c r="Z20" s="197">
        <v>364</v>
      </c>
      <c r="AA20" s="197">
        <v>739</v>
      </c>
      <c r="AB20" s="197">
        <v>27</v>
      </c>
      <c r="AC20" s="197">
        <v>45</v>
      </c>
      <c r="AD20" s="197">
        <v>72</v>
      </c>
      <c r="AE20" s="197">
        <v>3389</v>
      </c>
      <c r="AF20"/>
      <c r="AG20"/>
      <c r="AH20"/>
      <c r="AI20"/>
      <c r="AJ20"/>
      <c r="AK20"/>
      <c r="AL20"/>
      <c r="AM20"/>
      <c r="AN20"/>
      <c r="AO20"/>
      <c r="AP20"/>
      <c r="AQ20"/>
    </row>
    <row r="21" spans="1:44" ht="15" customHeight="1" x14ac:dyDescent="0.25">
      <c r="A21" s="481" t="s">
        <v>7</v>
      </c>
      <c r="B21" s="482" t="s">
        <v>19</v>
      </c>
      <c r="C21" s="156" t="s">
        <v>629</v>
      </c>
      <c r="D21" s="366" t="str">
        <f ca="1">IFERROR(OFFSET(Camp_List[P_Code],MATCH(Data_Demography_t[[#This Row],[Camp]],Camp_List[Camp Name],0)-1,0,1,1),"")</f>
        <v>MMR012CMP113</v>
      </c>
      <c r="E21" s="483" t="s">
        <v>655</v>
      </c>
      <c r="F21" s="484" t="s">
        <v>724</v>
      </c>
      <c r="G21" s="928">
        <v>360</v>
      </c>
      <c r="H21" s="156">
        <f t="shared" si="0"/>
        <v>-360</v>
      </c>
      <c r="I21" s="156" t="s">
        <v>288</v>
      </c>
      <c r="J21" s="862">
        <v>42886</v>
      </c>
      <c r="L21" s="198" t="s">
        <v>70</v>
      </c>
      <c r="M21" s="895">
        <v>536</v>
      </c>
      <c r="N21" s="197">
        <v>557</v>
      </c>
      <c r="O21" s="197">
        <v>1093</v>
      </c>
      <c r="P21" s="197">
        <v>535</v>
      </c>
      <c r="Q21" s="197">
        <v>485</v>
      </c>
      <c r="R21" s="197">
        <v>1020</v>
      </c>
      <c r="S21" s="197">
        <v>439</v>
      </c>
      <c r="T21" s="197">
        <v>438</v>
      </c>
      <c r="U21" s="197">
        <v>877</v>
      </c>
      <c r="V21" s="197">
        <v>460</v>
      </c>
      <c r="W21" s="197">
        <v>645</v>
      </c>
      <c r="X21" s="197">
        <v>1105</v>
      </c>
      <c r="Y21" s="197">
        <v>724</v>
      </c>
      <c r="Z21" s="197">
        <v>756</v>
      </c>
      <c r="AA21" s="197">
        <v>1480</v>
      </c>
      <c r="AB21" s="197">
        <v>129</v>
      </c>
      <c r="AC21" s="197">
        <v>134</v>
      </c>
      <c r="AD21" s="197">
        <v>263</v>
      </c>
      <c r="AE21" s="197">
        <v>5838</v>
      </c>
      <c r="AF21"/>
      <c r="AG21"/>
      <c r="AH21"/>
      <c r="AI21"/>
      <c r="AJ21"/>
      <c r="AK21"/>
      <c r="AL21"/>
      <c r="AM21"/>
      <c r="AN21"/>
      <c r="AO21"/>
      <c r="AP21"/>
      <c r="AQ21"/>
      <c r="AR21"/>
    </row>
    <row r="22" spans="1:44" ht="15" customHeight="1" x14ac:dyDescent="0.25">
      <c r="A22" s="481" t="s">
        <v>7</v>
      </c>
      <c r="B22" s="482" t="s">
        <v>19</v>
      </c>
      <c r="C22" s="156" t="s">
        <v>629</v>
      </c>
      <c r="D22" s="366" t="str">
        <f ca="1">IFERROR(OFFSET(Camp_List[P_Code],MATCH(Data_Demography_t[[#This Row],[Camp]],Camp_List[Camp Name],0)-1,0,1,1),"")</f>
        <v>MMR012CMP113</v>
      </c>
      <c r="E22" s="483" t="s">
        <v>655</v>
      </c>
      <c r="F22" s="484" t="s">
        <v>725</v>
      </c>
      <c r="G22" s="928">
        <v>359</v>
      </c>
      <c r="H22" s="156">
        <f t="shared" si="0"/>
        <v>359</v>
      </c>
      <c r="I22" s="156" t="s">
        <v>288</v>
      </c>
      <c r="J22" s="862">
        <v>42886</v>
      </c>
      <c r="L22" s="896" t="s">
        <v>68</v>
      </c>
      <c r="M22" s="895">
        <v>1030</v>
      </c>
      <c r="N22" s="197">
        <v>916</v>
      </c>
      <c r="O22" s="197">
        <v>1946</v>
      </c>
      <c r="P22" s="197">
        <v>984</v>
      </c>
      <c r="Q22" s="197">
        <v>1024</v>
      </c>
      <c r="R22" s="197">
        <v>2008</v>
      </c>
      <c r="S22" s="197">
        <v>922</v>
      </c>
      <c r="T22" s="197">
        <v>958</v>
      </c>
      <c r="U22" s="197">
        <v>1880</v>
      </c>
      <c r="V22" s="197">
        <v>1212</v>
      </c>
      <c r="W22" s="197">
        <v>998</v>
      </c>
      <c r="X22" s="197">
        <v>2210</v>
      </c>
      <c r="Y22" s="197">
        <v>1808</v>
      </c>
      <c r="Z22" s="197">
        <v>1546</v>
      </c>
      <c r="AA22" s="197">
        <v>3354</v>
      </c>
      <c r="AB22" s="197">
        <v>166</v>
      </c>
      <c r="AC22" s="197">
        <v>200</v>
      </c>
      <c r="AD22" s="197">
        <v>366</v>
      </c>
      <c r="AE22" s="197">
        <v>11764</v>
      </c>
      <c r="AF22"/>
      <c r="AG22"/>
      <c r="AH22"/>
      <c r="AI22"/>
      <c r="AJ22"/>
      <c r="AK22"/>
      <c r="AL22"/>
      <c r="AM22"/>
      <c r="AN22"/>
      <c r="AO22"/>
      <c r="AP22"/>
      <c r="AQ22"/>
      <c r="AR22"/>
    </row>
    <row r="23" spans="1:44" ht="15" customHeight="1" x14ac:dyDescent="0.25">
      <c r="A23" s="481" t="s">
        <v>7</v>
      </c>
      <c r="B23" s="482" t="s">
        <v>19</v>
      </c>
      <c r="C23" s="156" t="s">
        <v>629</v>
      </c>
      <c r="D23" s="366" t="str">
        <f ca="1">IFERROR(OFFSET(Camp_List[P_Code],MATCH(Data_Demography_t[[#This Row],[Camp]],Camp_List[Camp Name],0)-1,0,1,1),"")</f>
        <v>MMR012CMP113</v>
      </c>
      <c r="E23" s="483" t="s">
        <v>881</v>
      </c>
      <c r="F23" s="484" t="s">
        <v>724</v>
      </c>
      <c r="G23" s="310">
        <v>418</v>
      </c>
      <c r="H23" s="156">
        <f t="shared" si="0"/>
        <v>-418</v>
      </c>
      <c r="I23" s="156" t="s">
        <v>288</v>
      </c>
      <c r="J23" s="862">
        <v>42886</v>
      </c>
      <c r="L23" s="893" t="s">
        <v>629</v>
      </c>
      <c r="M23" s="895">
        <v>419</v>
      </c>
      <c r="N23" s="197">
        <v>395</v>
      </c>
      <c r="O23" s="197">
        <v>814</v>
      </c>
      <c r="P23" s="197">
        <v>387</v>
      </c>
      <c r="Q23" s="197">
        <v>457</v>
      </c>
      <c r="R23" s="197">
        <v>844</v>
      </c>
      <c r="S23" s="197">
        <v>359</v>
      </c>
      <c r="T23" s="197">
        <v>360</v>
      </c>
      <c r="U23" s="197">
        <v>719</v>
      </c>
      <c r="V23" s="197">
        <v>513</v>
      </c>
      <c r="W23" s="197">
        <v>418</v>
      </c>
      <c r="X23" s="197">
        <v>931</v>
      </c>
      <c r="Y23" s="197">
        <v>704</v>
      </c>
      <c r="Z23" s="197">
        <v>686</v>
      </c>
      <c r="AA23" s="197">
        <v>1390</v>
      </c>
      <c r="AB23" s="197">
        <v>78</v>
      </c>
      <c r="AC23" s="197">
        <v>75</v>
      </c>
      <c r="AD23" s="197">
        <v>153</v>
      </c>
      <c r="AE23" s="197">
        <v>4851</v>
      </c>
      <c r="AF23"/>
      <c r="AG23"/>
      <c r="AH23"/>
      <c r="AI23"/>
      <c r="AJ23"/>
      <c r="AK23"/>
      <c r="AL23"/>
      <c r="AM23"/>
      <c r="AN23"/>
      <c r="AO23"/>
      <c r="AP23"/>
      <c r="AQ23"/>
      <c r="AR23"/>
    </row>
    <row r="24" spans="1:44" ht="15" customHeight="1" x14ac:dyDescent="0.25">
      <c r="A24" s="481" t="s">
        <v>7</v>
      </c>
      <c r="B24" s="482" t="s">
        <v>19</v>
      </c>
      <c r="C24" s="156" t="s">
        <v>629</v>
      </c>
      <c r="D24" s="366" t="str">
        <f ca="1">IFERROR(OFFSET(Camp_List[P_Code],MATCH(Data_Demography_t[[#This Row],[Camp]],Camp_List[Camp Name],0)-1,0,1,1),"")</f>
        <v>MMR012CMP113</v>
      </c>
      <c r="E24" s="483" t="s">
        <v>881</v>
      </c>
      <c r="F24" s="484" t="s">
        <v>725</v>
      </c>
      <c r="G24" s="310">
        <v>513</v>
      </c>
      <c r="H24" s="156">
        <f t="shared" si="0"/>
        <v>513</v>
      </c>
      <c r="I24" s="156" t="s">
        <v>288</v>
      </c>
      <c r="J24" s="862">
        <v>42886</v>
      </c>
      <c r="L24" s="893" t="s">
        <v>630</v>
      </c>
      <c r="M24" s="895">
        <v>419</v>
      </c>
      <c r="N24" s="197">
        <v>395</v>
      </c>
      <c r="O24" s="197">
        <v>814</v>
      </c>
      <c r="P24" s="197">
        <v>387</v>
      </c>
      <c r="Q24" s="197">
        <v>475</v>
      </c>
      <c r="R24" s="197">
        <v>862</v>
      </c>
      <c r="S24" s="197">
        <v>359</v>
      </c>
      <c r="T24" s="197">
        <v>360</v>
      </c>
      <c r="U24" s="197">
        <v>719</v>
      </c>
      <c r="V24" s="197">
        <v>513</v>
      </c>
      <c r="W24" s="197">
        <v>418</v>
      </c>
      <c r="X24" s="197">
        <v>931</v>
      </c>
      <c r="Y24" s="197">
        <v>704</v>
      </c>
      <c r="Z24" s="197">
        <v>686</v>
      </c>
      <c r="AA24" s="197">
        <v>1390</v>
      </c>
      <c r="AB24" s="197">
        <v>78</v>
      </c>
      <c r="AC24" s="197">
        <v>75</v>
      </c>
      <c r="AD24" s="197">
        <v>153</v>
      </c>
      <c r="AE24" s="197">
        <v>4869</v>
      </c>
      <c r="AF24"/>
      <c r="AG24"/>
      <c r="AH24"/>
      <c r="AI24"/>
      <c r="AJ24"/>
      <c r="AK24"/>
      <c r="AL24"/>
      <c r="AM24"/>
      <c r="AN24"/>
      <c r="AO24"/>
      <c r="AP24"/>
      <c r="AQ24"/>
      <c r="AR24"/>
    </row>
    <row r="25" spans="1:44" ht="15" customHeight="1" x14ac:dyDescent="0.25">
      <c r="A25" s="481" t="s">
        <v>7</v>
      </c>
      <c r="B25" s="482" t="s">
        <v>19</v>
      </c>
      <c r="C25" s="156" t="s">
        <v>629</v>
      </c>
      <c r="D25" s="366" t="str">
        <f ca="1">IFERROR(OFFSET(Camp_List[P_Code],MATCH(Data_Demography_t[[#This Row],[Camp]],Camp_List[Camp Name],0)-1,0,1,1),"")</f>
        <v>MMR012CMP113</v>
      </c>
      <c r="E25" s="483" t="s">
        <v>882</v>
      </c>
      <c r="F25" s="484" t="s">
        <v>724</v>
      </c>
      <c r="G25" s="310">
        <v>686</v>
      </c>
      <c r="H25" s="156">
        <f t="shared" si="0"/>
        <v>-686</v>
      </c>
      <c r="I25" s="156" t="s">
        <v>288</v>
      </c>
      <c r="J25" s="862">
        <v>42886</v>
      </c>
      <c r="L25" s="520" t="s">
        <v>866</v>
      </c>
      <c r="M25" s="895">
        <v>235</v>
      </c>
      <c r="N25" s="197">
        <v>224</v>
      </c>
      <c r="O25" s="197">
        <v>459</v>
      </c>
      <c r="P25" s="197">
        <v>244</v>
      </c>
      <c r="Q25" s="197">
        <v>236</v>
      </c>
      <c r="R25" s="197">
        <v>480</v>
      </c>
      <c r="S25" s="197">
        <v>206</v>
      </c>
      <c r="T25" s="197">
        <v>200</v>
      </c>
      <c r="U25" s="197">
        <v>406</v>
      </c>
      <c r="V25" s="197">
        <v>248</v>
      </c>
      <c r="W25" s="197">
        <v>174</v>
      </c>
      <c r="X25" s="197">
        <v>422</v>
      </c>
      <c r="Y25" s="197">
        <v>436</v>
      </c>
      <c r="Z25" s="197">
        <v>336</v>
      </c>
      <c r="AA25" s="197">
        <v>772</v>
      </c>
      <c r="AB25" s="197">
        <v>55</v>
      </c>
      <c r="AC25" s="197">
        <v>62</v>
      </c>
      <c r="AD25" s="197">
        <v>117</v>
      </c>
      <c r="AE25" s="197">
        <v>2656</v>
      </c>
      <c r="AF25"/>
      <c r="AG25"/>
      <c r="AH25"/>
      <c r="AI25"/>
      <c r="AJ25"/>
      <c r="AK25"/>
      <c r="AL25"/>
      <c r="AM25"/>
      <c r="AN25"/>
      <c r="AO25"/>
      <c r="AP25"/>
      <c r="AQ25"/>
      <c r="AR25"/>
    </row>
    <row r="26" spans="1:44" ht="15" customHeight="1" x14ac:dyDescent="0.25">
      <c r="A26" s="481" t="s">
        <v>7</v>
      </c>
      <c r="B26" s="482" t="s">
        <v>19</v>
      </c>
      <c r="C26" s="156" t="s">
        <v>629</v>
      </c>
      <c r="D26" s="366" t="str">
        <f ca="1">IFERROR(OFFSET(Camp_List[P_Code],MATCH(Data_Demography_t[[#This Row],[Camp]],Camp_List[Camp Name],0)-1,0,1,1),"")</f>
        <v>MMR012CMP113</v>
      </c>
      <c r="E26" s="483" t="s">
        <v>882</v>
      </c>
      <c r="F26" s="484" t="s">
        <v>725</v>
      </c>
      <c r="G26" s="310">
        <v>704</v>
      </c>
      <c r="H26" s="156">
        <f t="shared" si="0"/>
        <v>704</v>
      </c>
      <c r="I26" s="156" t="s">
        <v>288</v>
      </c>
      <c r="J26" s="862">
        <v>42886</v>
      </c>
      <c r="L26" s="894" t="s">
        <v>38</v>
      </c>
      <c r="M26" s="895">
        <v>235</v>
      </c>
      <c r="N26" s="197">
        <v>224</v>
      </c>
      <c r="O26" s="197">
        <v>459</v>
      </c>
      <c r="P26" s="197">
        <v>244</v>
      </c>
      <c r="Q26" s="197">
        <v>236</v>
      </c>
      <c r="R26" s="197">
        <v>480</v>
      </c>
      <c r="S26" s="197">
        <v>206</v>
      </c>
      <c r="T26" s="197">
        <v>200</v>
      </c>
      <c r="U26" s="197">
        <v>406</v>
      </c>
      <c r="V26" s="197">
        <v>248</v>
      </c>
      <c r="W26" s="197">
        <v>174</v>
      </c>
      <c r="X26" s="197">
        <v>422</v>
      </c>
      <c r="Y26" s="197">
        <v>436</v>
      </c>
      <c r="Z26" s="197">
        <v>336</v>
      </c>
      <c r="AA26" s="197">
        <v>772</v>
      </c>
      <c r="AB26" s="197">
        <v>55</v>
      </c>
      <c r="AC26" s="197">
        <v>62</v>
      </c>
      <c r="AD26" s="197">
        <v>117</v>
      </c>
      <c r="AE26" s="197">
        <v>2656</v>
      </c>
      <c r="AF26"/>
      <c r="AG26"/>
      <c r="AH26"/>
      <c r="AI26"/>
      <c r="AJ26"/>
      <c r="AK26"/>
      <c r="AL26"/>
      <c r="AM26"/>
      <c r="AN26"/>
      <c r="AO26"/>
      <c r="AP26"/>
      <c r="AQ26"/>
      <c r="AR26"/>
    </row>
    <row r="27" spans="1:44" ht="15" customHeight="1" x14ac:dyDescent="0.25">
      <c r="A27" s="481" t="s">
        <v>7</v>
      </c>
      <c r="B27" s="482" t="s">
        <v>19</v>
      </c>
      <c r="C27" s="156" t="s">
        <v>629</v>
      </c>
      <c r="D27" s="366" t="str">
        <f ca="1">IFERROR(OFFSET(Camp_List[P_Code],MATCH(Data_Demography_t[[#This Row],[Camp]],Camp_List[Camp Name],0)-1,0,1,1),"")</f>
        <v>MMR012CMP113</v>
      </c>
      <c r="E27" s="483" t="s">
        <v>858</v>
      </c>
      <c r="F27" s="484" t="s">
        <v>724</v>
      </c>
      <c r="G27" s="310">
        <v>75</v>
      </c>
      <c r="H27" s="156">
        <f t="shared" si="0"/>
        <v>-75</v>
      </c>
      <c r="I27" s="156" t="s">
        <v>288</v>
      </c>
      <c r="J27" s="862">
        <v>42886</v>
      </c>
      <c r="L27" s="570" t="s">
        <v>213</v>
      </c>
      <c r="M27" s="197">
        <v>10598</v>
      </c>
      <c r="N27" s="197">
        <v>10365</v>
      </c>
      <c r="O27" s="197">
        <v>20963</v>
      </c>
      <c r="P27" s="197">
        <v>9385</v>
      </c>
      <c r="Q27" s="197">
        <v>10224</v>
      </c>
      <c r="R27" s="197">
        <v>19609</v>
      </c>
      <c r="S27" s="197">
        <v>7348</v>
      </c>
      <c r="T27" s="197">
        <v>7633</v>
      </c>
      <c r="U27" s="197">
        <v>14981</v>
      </c>
      <c r="V27" s="197">
        <v>10224</v>
      </c>
      <c r="W27" s="197">
        <v>8126</v>
      </c>
      <c r="X27" s="197">
        <v>18350</v>
      </c>
      <c r="Y27" s="197">
        <v>13874</v>
      </c>
      <c r="Z27" s="197">
        <v>12912</v>
      </c>
      <c r="AA27" s="197">
        <v>26786</v>
      </c>
      <c r="AB27" s="197">
        <v>1851</v>
      </c>
      <c r="AC27" s="197">
        <v>1858</v>
      </c>
      <c r="AD27" s="197">
        <v>3709</v>
      </c>
      <c r="AE27" s="197">
        <v>104398</v>
      </c>
      <c r="AF27"/>
      <c r="AG27"/>
      <c r="AH27"/>
      <c r="AI27"/>
      <c r="AJ27"/>
      <c r="AK27"/>
      <c r="AL27"/>
      <c r="AM27"/>
      <c r="AN27"/>
      <c r="AO27"/>
      <c r="AP27"/>
      <c r="AQ27"/>
    </row>
    <row r="28" spans="1:44" ht="15" customHeight="1" x14ac:dyDescent="0.25">
      <c r="A28" s="481" t="s">
        <v>7</v>
      </c>
      <c r="B28" s="482" t="s">
        <v>19</v>
      </c>
      <c r="C28" s="156" t="s">
        <v>629</v>
      </c>
      <c r="D28" s="366" t="str">
        <f ca="1">IFERROR(OFFSET(Camp_List[P_Code],MATCH(Data_Demography_t[[#This Row],[Camp]],Camp_List[Camp Name],0)-1,0,1,1),"")</f>
        <v>MMR012CMP113</v>
      </c>
      <c r="E28" s="483" t="s">
        <v>858</v>
      </c>
      <c r="F28" s="484" t="s">
        <v>725</v>
      </c>
      <c r="G28" s="310">
        <v>78</v>
      </c>
      <c r="H28" s="156">
        <f t="shared" si="0"/>
        <v>78</v>
      </c>
      <c r="I28" s="156" t="s">
        <v>288</v>
      </c>
      <c r="J28" s="862">
        <v>42886</v>
      </c>
      <c r="L28"/>
      <c r="M28"/>
      <c r="N28"/>
      <c r="O28"/>
      <c r="P28"/>
      <c r="Q28"/>
      <c r="R28"/>
      <c r="S28"/>
      <c r="T28"/>
      <c r="U28"/>
      <c r="V28"/>
      <c r="W28"/>
      <c r="X28"/>
      <c r="Y28"/>
      <c r="Z28"/>
      <c r="AA28"/>
      <c r="AB28"/>
      <c r="AC28"/>
      <c r="AD28"/>
      <c r="AE28"/>
      <c r="AF28"/>
      <c r="AG28"/>
      <c r="AH28"/>
      <c r="AI28"/>
      <c r="AJ28"/>
      <c r="AK28"/>
      <c r="AL28"/>
      <c r="AM28"/>
      <c r="AN28"/>
    </row>
    <row r="29" spans="1:44" ht="15" customHeight="1" x14ac:dyDescent="0.25">
      <c r="A29" s="481" t="s">
        <v>7</v>
      </c>
      <c r="B29" s="482" t="s">
        <v>19</v>
      </c>
      <c r="C29" s="156" t="s">
        <v>630</v>
      </c>
      <c r="D29" s="366" t="str">
        <f ca="1">IFERROR(OFFSET(Camp_List[P_Code],MATCH(Data_Demography_t[[#This Row],[Camp]],Camp_List[Camp Name],0)-1,0,1,1),"")</f>
        <v>MMR012CMP114</v>
      </c>
      <c r="E29" s="483" t="s">
        <v>1146</v>
      </c>
      <c r="F29" s="484" t="s">
        <v>724</v>
      </c>
      <c r="G29" s="310">
        <v>395</v>
      </c>
      <c r="H29" s="156">
        <f t="shared" si="0"/>
        <v>-395</v>
      </c>
      <c r="I29" s="156" t="s">
        <v>288</v>
      </c>
      <c r="J29" s="862">
        <v>42886</v>
      </c>
      <c r="L29"/>
      <c r="M29"/>
      <c r="N29"/>
      <c r="O29"/>
      <c r="P29"/>
      <c r="Q29"/>
      <c r="R29"/>
      <c r="S29"/>
      <c r="T29"/>
      <c r="U29"/>
      <c r="V29"/>
      <c r="W29"/>
      <c r="X29"/>
      <c r="Y29"/>
      <c r="Z29"/>
      <c r="AA29"/>
      <c r="AB29"/>
      <c r="AC29"/>
      <c r="AD29"/>
      <c r="AE29"/>
    </row>
    <row r="30" spans="1:44" ht="15" customHeight="1" x14ac:dyDescent="0.25">
      <c r="A30" s="481" t="s">
        <v>7</v>
      </c>
      <c r="B30" s="482" t="s">
        <v>19</v>
      </c>
      <c r="C30" s="156" t="s">
        <v>630</v>
      </c>
      <c r="D30" s="366" t="str">
        <f ca="1">IFERROR(OFFSET(Camp_List[P_Code],MATCH(Data_Demography_t[[#This Row],[Camp]],Camp_List[Camp Name],0)-1,0,1,1),"")</f>
        <v>MMR012CMP114</v>
      </c>
      <c r="E30" s="483" t="s">
        <v>1146</v>
      </c>
      <c r="F30" s="484" t="s">
        <v>725</v>
      </c>
      <c r="G30" s="310">
        <v>419</v>
      </c>
      <c r="H30" s="156">
        <f t="shared" si="0"/>
        <v>419</v>
      </c>
      <c r="I30" s="156" t="s">
        <v>288</v>
      </c>
      <c r="J30" s="862">
        <v>42886</v>
      </c>
      <c r="L30"/>
      <c r="M30"/>
      <c r="N30"/>
      <c r="O30"/>
      <c r="P30"/>
      <c r="Q30"/>
      <c r="R30"/>
      <c r="S30"/>
      <c r="T30"/>
      <c r="U30"/>
      <c r="V30"/>
      <c r="W30"/>
      <c r="X30"/>
      <c r="Y30"/>
      <c r="Z30"/>
      <c r="AA30"/>
      <c r="AB30"/>
      <c r="AC30"/>
      <c r="AD30"/>
      <c r="AE30" s="19"/>
      <c r="AF30" s="19"/>
      <c r="AG30" s="19"/>
      <c r="AH30" s="19"/>
    </row>
    <row r="31" spans="1:44" ht="15" customHeight="1" x14ac:dyDescent="0.25">
      <c r="A31" s="481" t="s">
        <v>7</v>
      </c>
      <c r="B31" s="482" t="s">
        <v>19</v>
      </c>
      <c r="C31" s="156" t="s">
        <v>630</v>
      </c>
      <c r="D31" s="366" t="str">
        <f ca="1">IFERROR(OFFSET(Camp_List[P_Code],MATCH(Data_Demography_t[[#This Row],[Camp]],Camp_List[Camp Name],0)-1,0,1,1),"")</f>
        <v>MMR012CMP114</v>
      </c>
      <c r="E31" s="483" t="s">
        <v>880</v>
      </c>
      <c r="F31" s="484" t="s">
        <v>724</v>
      </c>
      <c r="G31" s="310">
        <v>475</v>
      </c>
      <c r="H31" s="156">
        <f t="shared" si="0"/>
        <v>-475</v>
      </c>
      <c r="I31" s="156" t="s">
        <v>288</v>
      </c>
      <c r="J31" s="862">
        <v>42886</v>
      </c>
      <c r="L31" s="199" t="s">
        <v>1</v>
      </c>
      <c r="M31" s="790" t="s">
        <v>652</v>
      </c>
      <c r="P31" s="789"/>
      <c r="Q31"/>
      <c r="R31"/>
      <c r="S31"/>
      <c r="T31"/>
      <c r="U31"/>
      <c r="V31"/>
      <c r="W31"/>
      <c r="X31"/>
      <c r="Y31"/>
      <c r="Z31"/>
      <c r="AA31"/>
      <c r="AB31"/>
      <c r="AC31"/>
      <c r="AD31"/>
      <c r="AE31" s="19"/>
      <c r="AF31" s="19"/>
      <c r="AG31" s="19"/>
      <c r="AH31" s="19"/>
    </row>
    <row r="32" spans="1:44" ht="15" customHeight="1" x14ac:dyDescent="0.25">
      <c r="A32" s="481" t="s">
        <v>7</v>
      </c>
      <c r="B32" s="482" t="s">
        <v>19</v>
      </c>
      <c r="C32" s="156" t="s">
        <v>630</v>
      </c>
      <c r="D32" s="366" t="str">
        <f ca="1">IFERROR(OFFSET(Camp_List[P_Code],MATCH(Data_Demography_t[[#This Row],[Camp]],Camp_List[Camp Name],0)-1,0,1,1),"")</f>
        <v>MMR012CMP114</v>
      </c>
      <c r="E32" s="483" t="s">
        <v>880</v>
      </c>
      <c r="F32" s="484" t="s">
        <v>725</v>
      </c>
      <c r="G32" s="310">
        <v>387</v>
      </c>
      <c r="H32" s="156">
        <f t="shared" si="0"/>
        <v>387</v>
      </c>
      <c r="I32" s="156" t="s">
        <v>288</v>
      </c>
      <c r="J32" s="862">
        <v>42886</v>
      </c>
      <c r="L32" s="279" t="s">
        <v>535</v>
      </c>
      <c r="M32" s="115" t="s">
        <v>652</v>
      </c>
      <c r="N32"/>
      <c r="O32"/>
      <c r="P32"/>
      <c r="Q32"/>
      <c r="R32"/>
      <c r="S32"/>
      <c r="T32"/>
      <c r="U32"/>
      <c r="V32"/>
      <c r="W32"/>
      <c r="X32"/>
      <c r="Y32"/>
      <c r="Z32"/>
      <c r="AA32"/>
      <c r="AB32"/>
      <c r="AC32"/>
      <c r="AD32"/>
      <c r="AE32" s="19"/>
      <c r="AF32" s="19"/>
      <c r="AG32" s="19"/>
      <c r="AH32" s="19"/>
    </row>
    <row r="33" spans="1:34" s="789" customFormat="1" ht="15" customHeight="1" x14ac:dyDescent="0.25">
      <c r="A33" s="481" t="s">
        <v>7</v>
      </c>
      <c r="B33" s="482" t="s">
        <v>19</v>
      </c>
      <c r="C33" s="156" t="s">
        <v>630</v>
      </c>
      <c r="D33" s="366" t="str">
        <f ca="1">IFERROR(OFFSET(Camp_List[P_Code],MATCH(Data_Demography_t[[#This Row],[Camp]],Camp_List[Camp Name],0)-1,0,1,1),"")</f>
        <v>MMR012CMP114</v>
      </c>
      <c r="E33" s="483" t="s">
        <v>655</v>
      </c>
      <c r="F33" s="484" t="s">
        <v>724</v>
      </c>
      <c r="G33" s="310">
        <v>360</v>
      </c>
      <c r="H33" s="156">
        <f t="shared" si="0"/>
        <v>-360</v>
      </c>
      <c r="I33" s="156" t="s">
        <v>288</v>
      </c>
      <c r="J33" s="862">
        <v>42886</v>
      </c>
      <c r="K33" s="304"/>
      <c r="L33"/>
      <c r="M33"/>
      <c r="N33"/>
      <c r="O33"/>
      <c r="P33"/>
      <c r="Q33"/>
      <c r="R33"/>
      <c r="S33"/>
      <c r="T33"/>
      <c r="U33"/>
      <c r="V33"/>
      <c r="W33"/>
      <c r="X33"/>
      <c r="Y33"/>
      <c r="Z33"/>
      <c r="AA33"/>
      <c r="AB33"/>
      <c r="AC33"/>
      <c r="AD33"/>
      <c r="AE33" s="19"/>
      <c r="AF33" s="19"/>
      <c r="AG33" s="19"/>
      <c r="AH33" s="19"/>
    </row>
    <row r="34" spans="1:34" s="789" customFormat="1" ht="15" customHeight="1" x14ac:dyDescent="0.25">
      <c r="A34" s="481" t="s">
        <v>7</v>
      </c>
      <c r="B34" s="482" t="s">
        <v>19</v>
      </c>
      <c r="C34" s="156" t="s">
        <v>630</v>
      </c>
      <c r="D34" s="366" t="str">
        <f ca="1">IFERROR(OFFSET(Camp_List[P_Code],MATCH(Data_Demography_t[[#This Row],[Camp]],Camp_List[Camp Name],0)-1,0,1,1),"")</f>
        <v>MMR012CMP114</v>
      </c>
      <c r="E34" s="483" t="s">
        <v>655</v>
      </c>
      <c r="F34" s="484" t="s">
        <v>725</v>
      </c>
      <c r="G34" s="310">
        <v>359</v>
      </c>
      <c r="H34" s="156">
        <f t="shared" si="0"/>
        <v>359</v>
      </c>
      <c r="I34" s="156" t="s">
        <v>288</v>
      </c>
      <c r="J34" s="862">
        <v>42886</v>
      </c>
      <c r="K34" s="304"/>
      <c r="L34" s="199" t="s">
        <v>733</v>
      </c>
      <c r="M34" s="199" t="s">
        <v>664</v>
      </c>
      <c r="N34" s="196"/>
      <c r="O34" s="196"/>
      <c r="P34" s="90"/>
      <c r="AE34" s="19"/>
      <c r="AF34" s="19"/>
      <c r="AG34" s="19"/>
      <c r="AH34" s="19"/>
    </row>
    <row r="35" spans="1:34" ht="15" customHeight="1" x14ac:dyDescent="0.25">
      <c r="A35" s="481" t="s">
        <v>7</v>
      </c>
      <c r="B35" s="482" t="s">
        <v>19</v>
      </c>
      <c r="C35" s="156" t="s">
        <v>630</v>
      </c>
      <c r="D35" s="366" t="str">
        <f ca="1">IFERROR(OFFSET(Camp_List[P_Code],MATCH(Data_Demography_t[[#This Row],[Camp]],Camp_List[Camp Name],0)-1,0,1,1),"")</f>
        <v>MMR012CMP114</v>
      </c>
      <c r="E35" s="483" t="s">
        <v>881</v>
      </c>
      <c r="F35" s="484" t="s">
        <v>724</v>
      </c>
      <c r="G35" s="310">
        <v>418</v>
      </c>
      <c r="H35" s="156">
        <f t="shared" si="0"/>
        <v>-418</v>
      </c>
      <c r="I35" s="156" t="s">
        <v>288</v>
      </c>
      <c r="J35" s="862">
        <v>42886</v>
      </c>
      <c r="L35" s="199" t="s">
        <v>212</v>
      </c>
      <c r="M35" s="51" t="s">
        <v>725</v>
      </c>
      <c r="N35" s="281" t="s">
        <v>724</v>
      </c>
      <c r="O35" s="281" t="s">
        <v>213</v>
      </c>
      <c r="P35" s="865" t="s">
        <v>1112</v>
      </c>
      <c r="Q35"/>
      <c r="R35"/>
      <c r="S35"/>
      <c r="T35"/>
      <c r="U35"/>
      <c r="V35"/>
      <c r="W35"/>
      <c r="X35"/>
      <c r="Y35"/>
      <c r="Z35"/>
      <c r="AA35"/>
      <c r="AB35"/>
      <c r="AE35" s="19"/>
      <c r="AF35" s="19"/>
      <c r="AG35" s="19"/>
      <c r="AH35" s="19"/>
    </row>
    <row r="36" spans="1:34" ht="15" customHeight="1" x14ac:dyDescent="0.25">
      <c r="A36" s="481" t="s">
        <v>7</v>
      </c>
      <c r="B36" s="482" t="s">
        <v>19</v>
      </c>
      <c r="C36" s="156" t="s">
        <v>630</v>
      </c>
      <c r="D36" s="366" t="str">
        <f ca="1">IFERROR(OFFSET(Camp_List[P_Code],MATCH(Data_Demography_t[[#This Row],[Camp]],Camp_List[Camp Name],0)-1,0,1,1),"")</f>
        <v>MMR012CMP114</v>
      </c>
      <c r="E36" s="483" t="s">
        <v>881</v>
      </c>
      <c r="F36" s="484" t="s">
        <v>725</v>
      </c>
      <c r="G36" s="310">
        <v>513</v>
      </c>
      <c r="H36" s="156">
        <f t="shared" si="0"/>
        <v>513</v>
      </c>
      <c r="I36" s="156" t="s">
        <v>288</v>
      </c>
      <c r="J36" s="862">
        <v>42886</v>
      </c>
      <c r="L36" s="570" t="s">
        <v>880</v>
      </c>
      <c r="M36" s="280">
        <v>9385</v>
      </c>
      <c r="N36" s="280">
        <v>-10224</v>
      </c>
      <c r="O36" s="280">
        <v>-839</v>
      </c>
      <c r="P36" s="866" t="e">
        <f>-(GETPIVOTDATA("Total2",$L$34,"Age_Cat","&lt; 1","Sex","M"))</f>
        <v>#REF!</v>
      </c>
      <c r="Q36"/>
      <c r="R36"/>
      <c r="S36"/>
      <c r="T36"/>
      <c r="U36"/>
      <c r="V36"/>
      <c r="W36"/>
      <c r="X36"/>
      <c r="Y36"/>
      <c r="Z36"/>
      <c r="AA36"/>
      <c r="AB36"/>
      <c r="AE36" s="19"/>
      <c r="AF36" s="19"/>
      <c r="AG36" s="19"/>
      <c r="AH36" s="19"/>
    </row>
    <row r="37" spans="1:34" ht="15" customHeight="1" x14ac:dyDescent="0.25">
      <c r="A37" s="481" t="s">
        <v>7</v>
      </c>
      <c r="B37" s="482" t="s">
        <v>19</v>
      </c>
      <c r="C37" s="156" t="s">
        <v>630</v>
      </c>
      <c r="D37" s="366" t="str">
        <f ca="1">IFERROR(OFFSET(Camp_List[P_Code],MATCH(Data_Demography_t[[#This Row],[Camp]],Camp_List[Camp Name],0)-1,0,1,1),"")</f>
        <v>MMR012CMP114</v>
      </c>
      <c r="E37" s="483" t="s">
        <v>882</v>
      </c>
      <c r="F37" s="484" t="s">
        <v>724</v>
      </c>
      <c r="G37" s="310">
        <v>686</v>
      </c>
      <c r="H37" s="156">
        <f t="shared" si="0"/>
        <v>-686</v>
      </c>
      <c r="I37" s="156" t="s">
        <v>288</v>
      </c>
      <c r="J37" s="862">
        <v>42886</v>
      </c>
      <c r="L37" s="520" t="s">
        <v>655</v>
      </c>
      <c r="M37" s="197">
        <v>7348</v>
      </c>
      <c r="N37" s="197">
        <v>-7633</v>
      </c>
      <c r="O37" s="197">
        <v>-285</v>
      </c>
      <c r="P37" s="866" t="e">
        <f>-(GETPIVOTDATA("Total2",$L$34,"Age_Cat"," 1 to 5","Sex","M"))</f>
        <v>#REF!</v>
      </c>
      <c r="Q37"/>
      <c r="R37"/>
      <c r="S37"/>
      <c r="T37"/>
      <c r="U37"/>
      <c r="V37"/>
      <c r="W37"/>
      <c r="X37"/>
      <c r="Y37"/>
      <c r="Z37"/>
      <c r="AA37"/>
      <c r="AB37"/>
      <c r="AE37" s="19"/>
      <c r="AF37" s="19"/>
      <c r="AG37" s="19"/>
      <c r="AH37" s="19"/>
    </row>
    <row r="38" spans="1:34" ht="15" customHeight="1" x14ac:dyDescent="0.25">
      <c r="A38" s="481" t="s">
        <v>7</v>
      </c>
      <c r="B38" s="482" t="s">
        <v>19</v>
      </c>
      <c r="C38" s="156" t="s">
        <v>630</v>
      </c>
      <c r="D38" s="366" t="str">
        <f ca="1">IFERROR(OFFSET(Camp_List[P_Code],MATCH(Data_Demography_t[[#This Row],[Camp]],Camp_List[Camp Name],0)-1,0,1,1),"")</f>
        <v>MMR012CMP114</v>
      </c>
      <c r="E38" s="483" t="s">
        <v>882</v>
      </c>
      <c r="F38" s="484" t="s">
        <v>725</v>
      </c>
      <c r="G38" s="310">
        <v>704</v>
      </c>
      <c r="H38" s="156">
        <f t="shared" si="0"/>
        <v>704</v>
      </c>
      <c r="I38" s="156" t="s">
        <v>288</v>
      </c>
      <c r="J38" s="862">
        <v>42886</v>
      </c>
      <c r="L38" s="520" t="s">
        <v>881</v>
      </c>
      <c r="M38" s="197">
        <v>10224</v>
      </c>
      <c r="N38" s="197">
        <v>-8126</v>
      </c>
      <c r="O38" s="197">
        <v>2098</v>
      </c>
      <c r="P38" s="866">
        <f>-(GETPIVOTDATA("Total2",$L$34,"Age_Cat","6 to 11","Sex","M"))</f>
        <v>10224</v>
      </c>
      <c r="Q38"/>
      <c r="R38"/>
      <c r="AE38" s="19"/>
      <c r="AF38" s="19"/>
      <c r="AG38" s="19"/>
      <c r="AH38" s="19"/>
    </row>
    <row r="39" spans="1:34" ht="15" customHeight="1" x14ac:dyDescent="0.25">
      <c r="A39" s="481" t="s">
        <v>7</v>
      </c>
      <c r="B39" s="482" t="s">
        <v>19</v>
      </c>
      <c r="C39" s="156" t="s">
        <v>630</v>
      </c>
      <c r="D39" s="366" t="str">
        <f ca="1">IFERROR(OFFSET(Camp_List[P_Code],MATCH(Data_Demography_t[[#This Row],[Camp]],Camp_List[Camp Name],0)-1,0,1,1),"")</f>
        <v>MMR012CMP114</v>
      </c>
      <c r="E39" s="483" t="s">
        <v>858</v>
      </c>
      <c r="F39" s="484" t="s">
        <v>724</v>
      </c>
      <c r="G39" s="310">
        <v>75</v>
      </c>
      <c r="H39" s="156">
        <f t="shared" si="0"/>
        <v>-75</v>
      </c>
      <c r="I39" s="156" t="s">
        <v>288</v>
      </c>
      <c r="J39" s="862">
        <v>42886</v>
      </c>
      <c r="L39" s="520" t="s">
        <v>882</v>
      </c>
      <c r="M39" s="197">
        <v>13874</v>
      </c>
      <c r="N39" s="197">
        <v>-12912</v>
      </c>
      <c r="O39" s="197">
        <v>962</v>
      </c>
      <c r="P39" s="866">
        <f>-(GETPIVOTDATA("Total2",$L$34,"Age_Cat","12 to 17","Sex","M"))</f>
        <v>7633</v>
      </c>
      <c r="Q39"/>
      <c r="R39"/>
      <c r="AE39" s="19"/>
      <c r="AF39" s="19"/>
      <c r="AG39" s="19"/>
      <c r="AH39" s="19"/>
    </row>
    <row r="40" spans="1:34" ht="15" customHeight="1" x14ac:dyDescent="0.25">
      <c r="A40" s="481" t="s">
        <v>7</v>
      </c>
      <c r="B40" s="482" t="s">
        <v>19</v>
      </c>
      <c r="C40" s="156" t="s">
        <v>630</v>
      </c>
      <c r="D40" s="366" t="str">
        <f ca="1">IFERROR(OFFSET(Camp_List[P_Code],MATCH(Data_Demography_t[[#This Row],[Camp]],Camp_List[Camp Name],0)-1,0,1,1),"")</f>
        <v>MMR012CMP114</v>
      </c>
      <c r="E40" s="483" t="s">
        <v>858</v>
      </c>
      <c r="F40" s="484" t="s">
        <v>725</v>
      </c>
      <c r="G40" s="310">
        <v>78</v>
      </c>
      <c r="H40" s="156">
        <f t="shared" si="0"/>
        <v>78</v>
      </c>
      <c r="I40" s="156" t="s">
        <v>288</v>
      </c>
      <c r="J40" s="862">
        <v>42886</v>
      </c>
      <c r="L40" s="520" t="s">
        <v>858</v>
      </c>
      <c r="M40" s="197">
        <v>1851</v>
      </c>
      <c r="N40" s="197">
        <v>-1858</v>
      </c>
      <c r="O40" s="197">
        <v>-7</v>
      </c>
      <c r="P40" s="866">
        <f>-(GETPIVOTDATA("Total2",$L$34,"Age_Cat","18 to 25","Sex","M"))</f>
        <v>8126</v>
      </c>
      <c r="AE40" s="19"/>
      <c r="AF40" s="19"/>
      <c r="AG40" s="19"/>
      <c r="AH40" s="19"/>
    </row>
    <row r="41" spans="1:34" ht="15" customHeight="1" x14ac:dyDescent="0.25">
      <c r="A41" s="481" t="s">
        <v>7</v>
      </c>
      <c r="B41" s="482" t="s">
        <v>19</v>
      </c>
      <c r="C41" s="156" t="s">
        <v>63</v>
      </c>
      <c r="D41" s="366" t="str">
        <f ca="1">IFERROR(OFFSET(Camp_List[P_Code],MATCH(Data_Demography_t[[#This Row],[Camp]],Camp_List[Camp Name],0)-1,0,1,1),"")</f>
        <v>MMR012CMP041</v>
      </c>
      <c r="E41" s="314" t="s">
        <v>1146</v>
      </c>
      <c r="F41" s="484" t="s">
        <v>724</v>
      </c>
      <c r="G41" s="310">
        <v>652</v>
      </c>
      <c r="H41" s="156">
        <f>IF(F41="M",-G41,G41)</f>
        <v>-652</v>
      </c>
      <c r="I41" s="355" t="s">
        <v>288</v>
      </c>
      <c r="J41" s="862">
        <v>42886</v>
      </c>
      <c r="L41" s="520" t="s">
        <v>1146</v>
      </c>
      <c r="M41" s="197">
        <v>10581</v>
      </c>
      <c r="N41" s="197">
        <v>-10365</v>
      </c>
      <c r="O41" s="197">
        <v>216</v>
      </c>
      <c r="P41" s="866">
        <f>-(GETPIVOTDATA("Total2",$L$34,"Age_Cat","26 to 59","Sex","M"))</f>
        <v>12912</v>
      </c>
      <c r="AE41" s="19"/>
      <c r="AF41" s="19"/>
      <c r="AG41" s="19"/>
      <c r="AH41" s="19"/>
    </row>
    <row r="42" spans="1:34" ht="15" customHeight="1" x14ac:dyDescent="0.25">
      <c r="A42" s="481" t="s">
        <v>7</v>
      </c>
      <c r="B42" s="482" t="s">
        <v>19</v>
      </c>
      <c r="C42" s="156" t="s">
        <v>63</v>
      </c>
      <c r="D42" s="366" t="str">
        <f ca="1">IFERROR(OFFSET(Camp_List[P_Code],MATCH(Data_Demography_t[[#This Row],[Camp]],Camp_List[Camp Name],0)-1,0,1,1),"")</f>
        <v>MMR012CMP041</v>
      </c>
      <c r="E42" s="314" t="s">
        <v>1146</v>
      </c>
      <c r="F42" s="484" t="s">
        <v>725</v>
      </c>
      <c r="G42" s="310">
        <v>708</v>
      </c>
      <c r="H42" s="156">
        <f>IF(F42="M",-G42,G42)</f>
        <v>708</v>
      </c>
      <c r="I42" s="355" t="s">
        <v>288</v>
      </c>
      <c r="J42" s="862">
        <v>42886</v>
      </c>
      <c r="L42" s="570" t="s">
        <v>213</v>
      </c>
      <c r="M42" s="280">
        <v>53263</v>
      </c>
      <c r="N42" s="280">
        <v>-51118</v>
      </c>
      <c r="O42" s="280">
        <v>2145</v>
      </c>
      <c r="P42" s="866">
        <f>-(GETPIVOTDATA("Total2",$L$34,"Age_Cat","60+","Sex","M"))</f>
        <v>1858</v>
      </c>
      <c r="AE42" s="19"/>
      <c r="AF42" s="19"/>
      <c r="AG42" s="19"/>
      <c r="AH42" s="19"/>
    </row>
    <row r="43" spans="1:34" ht="15" customHeight="1" x14ac:dyDescent="0.25">
      <c r="A43" s="312" t="s">
        <v>7</v>
      </c>
      <c r="B43" s="309" t="s">
        <v>19</v>
      </c>
      <c r="C43" s="313" t="s">
        <v>63</v>
      </c>
      <c r="D43" s="366" t="str">
        <f ca="1">IFERROR(OFFSET(Camp_List[P_Code],MATCH(Data_Demography_t[[#This Row],[Camp]],Camp_List[Camp Name],0)-1,0,1,1),"")</f>
        <v>MMR012CMP041</v>
      </c>
      <c r="E43" s="483" t="s">
        <v>880</v>
      </c>
      <c r="F43" s="313" t="s">
        <v>724</v>
      </c>
      <c r="G43" s="310">
        <v>809</v>
      </c>
      <c r="H43" s="156">
        <f t="shared" si="0"/>
        <v>-809</v>
      </c>
      <c r="I43" s="313" t="s">
        <v>288</v>
      </c>
      <c r="J43" s="862">
        <v>42886</v>
      </c>
      <c r="L43"/>
      <c r="M43"/>
      <c r="N43"/>
      <c r="O43"/>
      <c r="P43" s="866">
        <f>-(GETPIVOTDATA("Total2",$L$34,"Sex","M"))</f>
        <v>51118</v>
      </c>
      <c r="AE43" s="19"/>
      <c r="AF43" s="19"/>
      <c r="AG43" s="19"/>
      <c r="AH43" s="19"/>
    </row>
    <row r="44" spans="1:34" ht="15" customHeight="1" x14ac:dyDescent="0.25">
      <c r="A44" s="312" t="s">
        <v>7</v>
      </c>
      <c r="B44" s="309" t="s">
        <v>19</v>
      </c>
      <c r="C44" s="313" t="s">
        <v>63</v>
      </c>
      <c r="D44" s="366" t="str">
        <f ca="1">IFERROR(OFFSET(Camp_List[P_Code],MATCH(Data_Demography_t[[#This Row],[Camp]],Camp_List[Camp Name],0)-1,0,1,1),"")</f>
        <v>MMR012CMP041</v>
      </c>
      <c r="E44" s="483" t="s">
        <v>880</v>
      </c>
      <c r="F44" s="353" t="s">
        <v>725</v>
      </c>
      <c r="G44" s="310">
        <v>802</v>
      </c>
      <c r="H44" s="156">
        <f t="shared" si="0"/>
        <v>802</v>
      </c>
      <c r="I44" s="313" t="s">
        <v>288</v>
      </c>
      <c r="J44" s="862">
        <v>42886</v>
      </c>
      <c r="L44"/>
      <c r="M44"/>
      <c r="N44"/>
      <c r="O44"/>
      <c r="P44"/>
      <c r="AE44" s="19"/>
      <c r="AF44" s="19"/>
      <c r="AG44" s="19"/>
      <c r="AH44" s="19"/>
    </row>
    <row r="45" spans="1:34" ht="15" customHeight="1" x14ac:dyDescent="0.25">
      <c r="A45" s="312" t="s">
        <v>7</v>
      </c>
      <c r="B45" s="309" t="s">
        <v>19</v>
      </c>
      <c r="C45" s="313" t="s">
        <v>63</v>
      </c>
      <c r="D45" s="366" t="str">
        <f ca="1">IFERROR(OFFSET(Camp_List[P_Code],MATCH(Data_Demography_t[[#This Row],[Camp]],Camp_List[Camp Name],0)-1,0,1,1),"")</f>
        <v>MMR012CMP041</v>
      </c>
      <c r="E45" s="314" t="s">
        <v>655</v>
      </c>
      <c r="F45" s="313" t="s">
        <v>724</v>
      </c>
      <c r="G45" s="928">
        <v>648</v>
      </c>
      <c r="H45" s="156">
        <f t="shared" ref="H45:H96" si="1">IF(F45="M",-G45,G45)</f>
        <v>-648</v>
      </c>
      <c r="I45" s="313" t="s">
        <v>288</v>
      </c>
      <c r="J45" s="862">
        <v>42886</v>
      </c>
      <c r="L45"/>
      <c r="M45"/>
      <c r="N45"/>
      <c r="O45"/>
      <c r="P45"/>
      <c r="AE45" s="19"/>
      <c r="AF45" s="19"/>
      <c r="AG45" s="19"/>
      <c r="AH45" s="19"/>
    </row>
    <row r="46" spans="1:34" ht="15" customHeight="1" x14ac:dyDescent="0.25">
      <c r="A46" s="312" t="s">
        <v>7</v>
      </c>
      <c r="B46" s="309" t="s">
        <v>19</v>
      </c>
      <c r="C46" s="313" t="s">
        <v>63</v>
      </c>
      <c r="D46" s="366" t="str">
        <f ca="1">IFERROR(OFFSET(Camp_List[P_Code],MATCH(Data_Demography_t[[#This Row],[Camp]],Camp_List[Camp Name],0)-1,0,1,1),"")</f>
        <v>MMR012CMP041</v>
      </c>
      <c r="E46" s="314" t="s">
        <v>655</v>
      </c>
      <c r="F46" s="353" t="s">
        <v>725</v>
      </c>
      <c r="G46" s="928">
        <v>629</v>
      </c>
      <c r="H46" s="156">
        <f t="shared" si="1"/>
        <v>629</v>
      </c>
      <c r="I46" s="313" t="s">
        <v>288</v>
      </c>
      <c r="J46" s="862">
        <v>42886</v>
      </c>
      <c r="L46"/>
      <c r="M46"/>
      <c r="N46"/>
      <c r="O46"/>
      <c r="P46"/>
      <c r="AE46" s="19"/>
      <c r="AF46" s="19"/>
      <c r="AG46" s="19"/>
      <c r="AH46" s="19"/>
    </row>
    <row r="47" spans="1:34" s="789" customFormat="1" ht="15" customHeight="1" x14ac:dyDescent="0.25">
      <c r="A47" s="312" t="s">
        <v>7</v>
      </c>
      <c r="B47" s="309" t="s">
        <v>19</v>
      </c>
      <c r="C47" s="313" t="s">
        <v>63</v>
      </c>
      <c r="D47" s="366" t="str">
        <f ca="1">IFERROR(OFFSET(Camp_List[P_Code],MATCH(Data_Demography_t[[#This Row],[Camp]],Camp_List[Camp Name],0)-1,0,1,1),"")</f>
        <v>MMR012CMP041</v>
      </c>
      <c r="E47" s="314" t="s">
        <v>881</v>
      </c>
      <c r="F47" s="313" t="s">
        <v>724</v>
      </c>
      <c r="G47" s="310">
        <v>727</v>
      </c>
      <c r="H47" s="156">
        <f t="shared" si="1"/>
        <v>-727</v>
      </c>
      <c r="I47" s="313" t="s">
        <v>288</v>
      </c>
      <c r="J47" s="862">
        <v>42886</v>
      </c>
      <c r="K47" s="304"/>
      <c r="AE47" s="19"/>
      <c r="AF47" s="19"/>
      <c r="AG47" s="19"/>
      <c r="AH47" s="19"/>
    </row>
    <row r="48" spans="1:34" s="789" customFormat="1" ht="15" customHeight="1" x14ac:dyDescent="0.25">
      <c r="A48" s="312" t="s">
        <v>7</v>
      </c>
      <c r="B48" s="309" t="s">
        <v>19</v>
      </c>
      <c r="C48" s="313" t="s">
        <v>63</v>
      </c>
      <c r="D48" s="366" t="str">
        <f ca="1">IFERROR(OFFSET(Camp_List[P_Code],MATCH(Data_Demography_t[[#This Row],[Camp]],Camp_List[Camp Name],0)-1,0,1,1),"")</f>
        <v>MMR012CMP041</v>
      </c>
      <c r="E48" s="314" t="s">
        <v>881</v>
      </c>
      <c r="F48" s="353" t="s">
        <v>725</v>
      </c>
      <c r="G48" s="310">
        <v>876</v>
      </c>
      <c r="H48" s="156">
        <f t="shared" si="1"/>
        <v>876</v>
      </c>
      <c r="I48" s="313" t="s">
        <v>288</v>
      </c>
      <c r="J48" s="862">
        <v>42886</v>
      </c>
      <c r="K48" s="304"/>
      <c r="AE48" s="19"/>
      <c r="AF48" s="19"/>
      <c r="AG48" s="19"/>
      <c r="AH48" s="19"/>
    </row>
    <row r="49" spans="1:15" ht="15" customHeight="1" x14ac:dyDescent="0.25">
      <c r="A49" s="312" t="s">
        <v>7</v>
      </c>
      <c r="B49" s="309" t="s">
        <v>19</v>
      </c>
      <c r="C49" s="313" t="s">
        <v>63</v>
      </c>
      <c r="D49" s="366" t="str">
        <f ca="1">IFERROR(OFFSET(Camp_List[P_Code],MATCH(Data_Demography_t[[#This Row],[Camp]],Camp_List[Camp Name],0)-1,0,1,1),"")</f>
        <v>MMR012CMP041</v>
      </c>
      <c r="E49" s="311" t="s">
        <v>882</v>
      </c>
      <c r="F49" s="313" t="s">
        <v>724</v>
      </c>
      <c r="G49" s="310">
        <v>971</v>
      </c>
      <c r="H49" s="156">
        <f t="shared" si="1"/>
        <v>-971</v>
      </c>
      <c r="I49" s="313" t="s">
        <v>288</v>
      </c>
      <c r="J49" s="862">
        <v>42886</v>
      </c>
    </row>
    <row r="50" spans="1:15" ht="15" customHeight="1" x14ac:dyDescent="0.25">
      <c r="A50" s="312" t="s">
        <v>7</v>
      </c>
      <c r="B50" s="309" t="s">
        <v>19</v>
      </c>
      <c r="C50" s="313" t="s">
        <v>63</v>
      </c>
      <c r="D50" s="366" t="str">
        <f ca="1">IFERROR(OFFSET(Camp_List[P_Code],MATCH(Data_Demography_t[[#This Row],[Camp]],Camp_List[Camp Name],0)-1,0,1,1),"")</f>
        <v>MMR012CMP041</v>
      </c>
      <c r="E50" s="311" t="s">
        <v>882</v>
      </c>
      <c r="F50" s="353" t="s">
        <v>725</v>
      </c>
      <c r="G50" s="310">
        <v>1050</v>
      </c>
      <c r="H50" s="156">
        <f t="shared" si="1"/>
        <v>1050</v>
      </c>
      <c r="I50" s="313" t="s">
        <v>288</v>
      </c>
      <c r="J50" s="862">
        <v>42886</v>
      </c>
    </row>
    <row r="51" spans="1:15" ht="15" customHeight="1" x14ac:dyDescent="0.25">
      <c r="A51" s="312" t="s">
        <v>7</v>
      </c>
      <c r="B51" s="309" t="s">
        <v>19</v>
      </c>
      <c r="C51" s="313" t="s">
        <v>63</v>
      </c>
      <c r="D51" s="366" t="str">
        <f ca="1">IFERROR(OFFSET(Camp_List[P_Code],MATCH(Data_Demography_t[[#This Row],[Camp]],Camp_List[Camp Name],0)-1,0,1,1),"")</f>
        <v>MMR012CMP041</v>
      </c>
      <c r="E51" s="314" t="s">
        <v>858</v>
      </c>
      <c r="F51" s="313" t="s">
        <v>724</v>
      </c>
      <c r="G51" s="310">
        <v>151</v>
      </c>
      <c r="H51" s="156">
        <f t="shared" si="1"/>
        <v>-151</v>
      </c>
      <c r="I51" s="313" t="s">
        <v>288</v>
      </c>
      <c r="J51" s="862">
        <v>42886</v>
      </c>
    </row>
    <row r="52" spans="1:15" ht="15" customHeight="1" x14ac:dyDescent="0.25">
      <c r="A52" s="312" t="s">
        <v>7</v>
      </c>
      <c r="B52" s="309" t="s">
        <v>19</v>
      </c>
      <c r="C52" s="313" t="s">
        <v>63</v>
      </c>
      <c r="D52" s="366" t="str">
        <f ca="1">IFERROR(OFFSET(Camp_List[P_Code],MATCH(Data_Demography_t[[#This Row],[Camp]],Camp_List[Camp Name],0)-1,0,1,1),"")</f>
        <v>MMR012CMP041</v>
      </c>
      <c r="E52" s="314" t="s">
        <v>858</v>
      </c>
      <c r="F52" s="353" t="s">
        <v>725</v>
      </c>
      <c r="G52" s="310">
        <v>159</v>
      </c>
      <c r="H52" s="156">
        <f t="shared" si="1"/>
        <v>159</v>
      </c>
      <c r="I52" s="313" t="s">
        <v>288</v>
      </c>
      <c r="J52" s="862">
        <v>42886</v>
      </c>
    </row>
    <row r="53" spans="1:15" ht="15" customHeight="1" x14ac:dyDescent="0.25">
      <c r="A53" s="312" t="s">
        <v>7</v>
      </c>
      <c r="B53" s="309" t="s">
        <v>19</v>
      </c>
      <c r="C53" s="309" t="s">
        <v>64</v>
      </c>
      <c r="D53" s="366" t="str">
        <f ca="1">IFERROR(OFFSET(Camp_List[P_Code],MATCH(Data_Demography_t[[#This Row],[Camp]],Camp_List[Camp Name],0)-1,0,1,1),"")</f>
        <v>MMR012CMP042</v>
      </c>
      <c r="E53" s="483" t="s">
        <v>1146</v>
      </c>
      <c r="F53" s="325" t="s">
        <v>724</v>
      </c>
      <c r="G53" s="364">
        <v>428</v>
      </c>
      <c r="H53" s="365">
        <f t="shared" si="1"/>
        <v>-428</v>
      </c>
      <c r="I53" s="309" t="s">
        <v>623</v>
      </c>
      <c r="J53" s="861">
        <v>42886</v>
      </c>
    </row>
    <row r="54" spans="1:15" ht="15" customHeight="1" x14ac:dyDescent="0.25">
      <c r="A54" s="312" t="s">
        <v>7</v>
      </c>
      <c r="B54" s="309" t="s">
        <v>19</v>
      </c>
      <c r="C54" s="309" t="s">
        <v>64</v>
      </c>
      <c r="D54" s="366" t="str">
        <f ca="1">IFERROR(OFFSET(Camp_List[P_Code],MATCH(Data_Demography_t[[#This Row],[Camp]],Camp_List[Camp Name],0)-1,0,1,1),"")</f>
        <v>MMR012CMP042</v>
      </c>
      <c r="E54" s="483" t="s">
        <v>1146</v>
      </c>
      <c r="F54" s="325" t="s">
        <v>725</v>
      </c>
      <c r="G54" s="364">
        <v>473</v>
      </c>
      <c r="H54" s="365">
        <f t="shared" si="1"/>
        <v>473</v>
      </c>
      <c r="I54" s="309" t="s">
        <v>623</v>
      </c>
      <c r="J54" s="861">
        <v>42886</v>
      </c>
    </row>
    <row r="55" spans="1:15" ht="15" customHeight="1" x14ac:dyDescent="0.25">
      <c r="A55" s="312" t="s">
        <v>7</v>
      </c>
      <c r="B55" s="342" t="s">
        <v>19</v>
      </c>
      <c r="C55" s="353" t="s">
        <v>64</v>
      </c>
      <c r="D55" s="366" t="str">
        <f ca="1">IFERROR(OFFSET(Camp_List[P_Code],MATCH(Data_Demography_t[[#This Row],[Camp]],Camp_List[Camp Name],0)-1,0,1,1),"")</f>
        <v>MMR012CMP042</v>
      </c>
      <c r="E55" s="483" t="s">
        <v>880</v>
      </c>
      <c r="F55" s="325" t="s">
        <v>724</v>
      </c>
      <c r="G55" s="364">
        <v>396</v>
      </c>
      <c r="H55" s="365">
        <f t="shared" si="1"/>
        <v>-396</v>
      </c>
      <c r="I55" s="362" t="s">
        <v>623</v>
      </c>
      <c r="J55" s="861">
        <v>42886</v>
      </c>
    </row>
    <row r="56" spans="1:15" ht="15" customHeight="1" x14ac:dyDescent="0.25">
      <c r="A56" s="312" t="s">
        <v>7</v>
      </c>
      <c r="B56" s="342" t="s">
        <v>19</v>
      </c>
      <c r="C56" s="353" t="s">
        <v>64</v>
      </c>
      <c r="D56" s="366" t="str">
        <f ca="1">IFERROR(OFFSET(Camp_List[P_Code],MATCH(Data_Demography_t[[#This Row],[Camp]],Camp_List[Camp Name],0)-1,0,1,1),"")</f>
        <v>MMR012CMP042</v>
      </c>
      <c r="E56" s="483" t="s">
        <v>880</v>
      </c>
      <c r="F56" s="325" t="s">
        <v>725</v>
      </c>
      <c r="G56" s="364">
        <v>356</v>
      </c>
      <c r="H56" s="365">
        <f t="shared" si="1"/>
        <v>356</v>
      </c>
      <c r="I56" s="362" t="s">
        <v>623</v>
      </c>
      <c r="J56" s="861">
        <v>42886</v>
      </c>
    </row>
    <row r="57" spans="1:15" ht="15" customHeight="1" x14ac:dyDescent="0.25">
      <c r="A57" s="312" t="s">
        <v>7</v>
      </c>
      <c r="B57" s="342" t="s">
        <v>19</v>
      </c>
      <c r="C57" s="353" t="s">
        <v>64</v>
      </c>
      <c r="D57" s="366" t="str">
        <f ca="1">IFERROR(OFFSET(Camp_List[P_Code],MATCH(Data_Demography_t[[#This Row],[Camp]],Camp_List[Camp Name],0)-1,0,1,1),"")</f>
        <v>MMR012CMP042</v>
      </c>
      <c r="E57" s="327" t="s">
        <v>655</v>
      </c>
      <c r="F57" s="325" t="s">
        <v>724</v>
      </c>
      <c r="G57" s="364">
        <v>345</v>
      </c>
      <c r="H57" s="365">
        <f t="shared" si="1"/>
        <v>-345</v>
      </c>
      <c r="I57" s="362" t="s">
        <v>623</v>
      </c>
      <c r="J57" s="861">
        <v>42886</v>
      </c>
    </row>
    <row r="58" spans="1:15" ht="15" customHeight="1" x14ac:dyDescent="0.25">
      <c r="A58" s="312" t="s">
        <v>7</v>
      </c>
      <c r="B58" s="342" t="s">
        <v>19</v>
      </c>
      <c r="C58" s="353" t="s">
        <v>64</v>
      </c>
      <c r="D58" s="366" t="str">
        <f ca="1">IFERROR(OFFSET(Camp_List[P_Code],MATCH(Data_Demography_t[[#This Row],[Camp]],Camp_List[Camp Name],0)-1,0,1,1),"")</f>
        <v>MMR012CMP042</v>
      </c>
      <c r="E58" s="327" t="s">
        <v>655</v>
      </c>
      <c r="F58" s="325" t="s">
        <v>725</v>
      </c>
      <c r="G58" s="364">
        <v>297</v>
      </c>
      <c r="H58" s="365">
        <f t="shared" si="1"/>
        <v>297</v>
      </c>
      <c r="I58" s="362" t="s">
        <v>623</v>
      </c>
      <c r="J58" s="861">
        <v>42886</v>
      </c>
    </row>
    <row r="59" spans="1:15" ht="15" customHeight="1" x14ac:dyDescent="0.25">
      <c r="A59" s="312" t="s">
        <v>7</v>
      </c>
      <c r="B59" s="342" t="s">
        <v>19</v>
      </c>
      <c r="C59" s="353" t="s">
        <v>64</v>
      </c>
      <c r="D59" s="366" t="str">
        <f ca="1">IFERROR(OFFSET(Camp_List[P_Code],MATCH(Data_Demography_t[[#This Row],[Camp]],Camp_List[Camp Name],0)-1,0,1,1),"")</f>
        <v>MMR012CMP042</v>
      </c>
      <c r="E59" s="327" t="s">
        <v>881</v>
      </c>
      <c r="F59" s="325" t="s">
        <v>724</v>
      </c>
      <c r="G59" s="364">
        <v>301</v>
      </c>
      <c r="H59" s="365">
        <f t="shared" si="1"/>
        <v>-301</v>
      </c>
      <c r="I59" s="362" t="s">
        <v>623</v>
      </c>
      <c r="J59" s="861">
        <v>42886</v>
      </c>
    </row>
    <row r="60" spans="1:15" ht="15" customHeight="1" x14ac:dyDescent="0.25">
      <c r="A60" s="312" t="s">
        <v>7</v>
      </c>
      <c r="B60" s="342" t="s">
        <v>19</v>
      </c>
      <c r="C60" s="353" t="s">
        <v>64</v>
      </c>
      <c r="D60" s="366" t="str">
        <f ca="1">IFERROR(OFFSET(Camp_List[P_Code],MATCH(Data_Demography_t[[#This Row],[Camp]],Camp_List[Camp Name],0)-1,0,1,1),"")</f>
        <v>MMR012CMP042</v>
      </c>
      <c r="E60" s="327" t="s">
        <v>881</v>
      </c>
      <c r="F60" s="325" t="s">
        <v>725</v>
      </c>
      <c r="G60" s="364">
        <v>473</v>
      </c>
      <c r="H60" s="365">
        <f t="shared" si="1"/>
        <v>473</v>
      </c>
      <c r="I60" s="362" t="s">
        <v>623</v>
      </c>
      <c r="J60" s="861">
        <v>42886</v>
      </c>
    </row>
    <row r="61" spans="1:15" s="789" customFormat="1" ht="15" customHeight="1" x14ac:dyDescent="0.25">
      <c r="A61" s="312" t="s">
        <v>7</v>
      </c>
      <c r="B61" s="342" t="s">
        <v>19</v>
      </c>
      <c r="C61" s="353" t="s">
        <v>64</v>
      </c>
      <c r="D61" s="366" t="str">
        <f ca="1">IFERROR(OFFSET(Camp_List[P_Code],MATCH(Data_Demography_t[[#This Row],[Camp]],Camp_List[Camp Name],0)-1,0,1,1),"")</f>
        <v>MMR012CMP042</v>
      </c>
      <c r="E61" s="327" t="s">
        <v>882</v>
      </c>
      <c r="F61" s="325" t="s">
        <v>724</v>
      </c>
      <c r="G61" s="364">
        <v>609</v>
      </c>
      <c r="H61" s="365">
        <f t="shared" si="1"/>
        <v>-609</v>
      </c>
      <c r="I61" s="362" t="s">
        <v>623</v>
      </c>
      <c r="J61" s="861">
        <v>42886</v>
      </c>
      <c r="K61" s="304"/>
      <c r="L61"/>
      <c r="M61"/>
      <c r="N61"/>
      <c r="O61"/>
    </row>
    <row r="62" spans="1:15" s="789" customFormat="1" ht="15" customHeight="1" x14ac:dyDescent="0.25">
      <c r="A62" s="312" t="s">
        <v>7</v>
      </c>
      <c r="B62" s="342" t="s">
        <v>19</v>
      </c>
      <c r="C62" s="353" t="s">
        <v>64</v>
      </c>
      <c r="D62" s="366" t="str">
        <f ca="1">IFERROR(OFFSET(Camp_List[P_Code],MATCH(Data_Demography_t[[#This Row],[Camp]],Camp_List[Camp Name],0)-1,0,1,1),"")</f>
        <v>MMR012CMP042</v>
      </c>
      <c r="E62" s="327" t="s">
        <v>882</v>
      </c>
      <c r="F62" s="325" t="s">
        <v>725</v>
      </c>
      <c r="G62" s="364">
        <v>607</v>
      </c>
      <c r="H62" s="365">
        <f t="shared" si="1"/>
        <v>607</v>
      </c>
      <c r="I62" s="362" t="s">
        <v>623</v>
      </c>
      <c r="J62" s="861">
        <v>42886</v>
      </c>
      <c r="K62" s="304"/>
      <c r="L62"/>
      <c r="M62"/>
      <c r="N62"/>
      <c r="O62"/>
    </row>
    <row r="63" spans="1:15" ht="15" customHeight="1" x14ac:dyDescent="0.25">
      <c r="A63" s="312" t="s">
        <v>7</v>
      </c>
      <c r="B63" s="342" t="s">
        <v>19</v>
      </c>
      <c r="C63" s="353" t="s">
        <v>64</v>
      </c>
      <c r="D63" s="366" t="str">
        <f ca="1">IFERROR(OFFSET(Camp_List[P_Code],MATCH(Data_Demography_t[[#This Row],[Camp]],Camp_List[Camp Name],0)-1,0,1,1),"")</f>
        <v>MMR012CMP042</v>
      </c>
      <c r="E63" s="327" t="s">
        <v>858</v>
      </c>
      <c r="F63" s="325" t="s">
        <v>724</v>
      </c>
      <c r="G63" s="364">
        <v>62</v>
      </c>
      <c r="H63" s="365">
        <f t="shared" si="1"/>
        <v>-62</v>
      </c>
      <c r="I63" s="362" t="s">
        <v>623</v>
      </c>
      <c r="J63" s="861">
        <v>42886</v>
      </c>
      <c r="L63"/>
      <c r="M63"/>
      <c r="N63"/>
      <c r="O63"/>
    </row>
    <row r="64" spans="1:15" ht="15" customHeight="1" x14ac:dyDescent="0.25">
      <c r="A64" s="312" t="s">
        <v>7</v>
      </c>
      <c r="B64" s="342" t="s">
        <v>19</v>
      </c>
      <c r="C64" s="353" t="s">
        <v>64</v>
      </c>
      <c r="D64" s="366" t="str">
        <f ca="1">IFERROR(OFFSET(Camp_List[P_Code],MATCH(Data_Demography_t[[#This Row],[Camp]],Camp_List[Camp Name],0)-1,0,1,1),"")</f>
        <v>MMR012CMP042</v>
      </c>
      <c r="E64" s="327" t="s">
        <v>858</v>
      </c>
      <c r="F64" s="325" t="s">
        <v>725</v>
      </c>
      <c r="G64" s="364">
        <v>81</v>
      </c>
      <c r="H64" s="365">
        <f t="shared" si="1"/>
        <v>81</v>
      </c>
      <c r="I64" s="362" t="s">
        <v>623</v>
      </c>
      <c r="J64" s="861">
        <v>42886</v>
      </c>
    </row>
    <row r="65" spans="1:13" ht="15" customHeight="1" x14ac:dyDescent="0.25">
      <c r="A65" s="312" t="s">
        <v>7</v>
      </c>
      <c r="B65" s="309" t="s">
        <v>14</v>
      </c>
      <c r="C65" s="309" t="s">
        <v>42</v>
      </c>
      <c r="D65" s="366" t="str">
        <f ca="1">IFERROR(OFFSET(Camp_List[P_Code],MATCH(Data_Demography_t[[#This Row],[Camp]],Camp_List[Camp Name],0)-1,0,1,1),"")</f>
        <v>MMR012CMP018</v>
      </c>
      <c r="E65" s="483" t="s">
        <v>1146</v>
      </c>
      <c r="F65" s="315" t="s">
        <v>724</v>
      </c>
      <c r="G65" s="310">
        <v>612</v>
      </c>
      <c r="H65" s="156">
        <f t="shared" si="1"/>
        <v>-612</v>
      </c>
      <c r="I65" s="309" t="s">
        <v>288</v>
      </c>
      <c r="J65" s="862">
        <v>42886</v>
      </c>
      <c r="L65"/>
      <c r="M65"/>
    </row>
    <row r="66" spans="1:13" ht="15" customHeight="1" x14ac:dyDescent="0.25">
      <c r="A66" s="312" t="s">
        <v>7</v>
      </c>
      <c r="B66" s="309" t="s">
        <v>14</v>
      </c>
      <c r="C66" s="309" t="s">
        <v>42</v>
      </c>
      <c r="D66" s="366" t="str">
        <f ca="1">IFERROR(OFFSET(Camp_List[P_Code],MATCH(Data_Demography_t[[#This Row],[Camp]],Camp_List[Camp Name],0)-1,0,1,1),"")</f>
        <v>MMR012CMP018</v>
      </c>
      <c r="E66" s="483" t="s">
        <v>1146</v>
      </c>
      <c r="F66" s="315" t="s">
        <v>725</v>
      </c>
      <c r="G66" s="310">
        <v>589</v>
      </c>
      <c r="H66" s="156">
        <f t="shared" si="1"/>
        <v>589</v>
      </c>
      <c r="I66" s="309" t="s">
        <v>288</v>
      </c>
      <c r="J66" s="862">
        <v>42886</v>
      </c>
      <c r="L66"/>
      <c r="M66"/>
    </row>
    <row r="67" spans="1:13" ht="15" customHeight="1" x14ac:dyDescent="0.25">
      <c r="A67" s="312" t="s">
        <v>7</v>
      </c>
      <c r="B67" s="309" t="s">
        <v>14</v>
      </c>
      <c r="C67" s="309" t="s">
        <v>42</v>
      </c>
      <c r="D67" s="366" t="str">
        <f ca="1">IFERROR(OFFSET(Camp_List[P_Code],MATCH(Data_Demography_t[[#This Row],[Camp]],Camp_List[Camp Name],0)-1,0,1,1),"")</f>
        <v>MMR012CMP018</v>
      </c>
      <c r="E67" s="483" t="s">
        <v>880</v>
      </c>
      <c r="F67" s="315" t="s">
        <v>724</v>
      </c>
      <c r="G67" s="310">
        <v>355</v>
      </c>
      <c r="H67" s="156">
        <f t="shared" si="1"/>
        <v>-355</v>
      </c>
      <c r="I67" s="309" t="s">
        <v>288</v>
      </c>
      <c r="J67" s="862">
        <v>42886</v>
      </c>
      <c r="L67"/>
      <c r="M67"/>
    </row>
    <row r="68" spans="1:13" ht="15" customHeight="1" x14ac:dyDescent="0.25">
      <c r="A68" s="312" t="s">
        <v>7</v>
      </c>
      <c r="B68" s="309" t="s">
        <v>14</v>
      </c>
      <c r="C68" s="309" t="s">
        <v>42</v>
      </c>
      <c r="D68" s="366" t="str">
        <f ca="1">IFERROR(OFFSET(Camp_List[P_Code],MATCH(Data_Demography_t[[#This Row],[Camp]],Camp_List[Camp Name],0)-1,0,1,1),"")</f>
        <v>MMR012CMP018</v>
      </c>
      <c r="E68" s="483" t="s">
        <v>880</v>
      </c>
      <c r="F68" s="315" t="s">
        <v>725</v>
      </c>
      <c r="G68" s="310">
        <v>297</v>
      </c>
      <c r="H68" s="156">
        <f t="shared" si="1"/>
        <v>297</v>
      </c>
      <c r="I68" s="309" t="s">
        <v>288</v>
      </c>
      <c r="J68" s="862">
        <v>42886</v>
      </c>
      <c r="L68"/>
      <c r="M68"/>
    </row>
    <row r="69" spans="1:13" ht="15" customHeight="1" x14ac:dyDescent="0.25">
      <c r="A69" s="312" t="s">
        <v>7</v>
      </c>
      <c r="B69" s="309" t="s">
        <v>14</v>
      </c>
      <c r="C69" s="309" t="s">
        <v>42</v>
      </c>
      <c r="D69" s="366" t="str">
        <f ca="1">IFERROR(OFFSET(Camp_List[P_Code],MATCH(Data_Demography_t[[#This Row],[Camp]],Camp_List[Camp Name],0)-1,0,1,1),"")</f>
        <v>MMR012CMP018</v>
      </c>
      <c r="E69" s="314" t="s">
        <v>655</v>
      </c>
      <c r="F69" s="315" t="s">
        <v>724</v>
      </c>
      <c r="G69" s="310">
        <v>355</v>
      </c>
      <c r="H69" s="156">
        <f t="shared" si="1"/>
        <v>-355</v>
      </c>
      <c r="I69" s="309" t="s">
        <v>288</v>
      </c>
      <c r="J69" s="862">
        <v>42886</v>
      </c>
      <c r="L69"/>
      <c r="M69"/>
    </row>
    <row r="70" spans="1:13" ht="15" customHeight="1" x14ac:dyDescent="0.25">
      <c r="A70" s="312" t="s">
        <v>7</v>
      </c>
      <c r="B70" s="309" t="s">
        <v>14</v>
      </c>
      <c r="C70" s="309" t="s">
        <v>42</v>
      </c>
      <c r="D70" s="366" t="str">
        <f ca="1">IFERROR(OFFSET(Camp_List[P_Code],MATCH(Data_Demography_t[[#This Row],[Camp]],Camp_List[Camp Name],0)-1,0,1,1),"")</f>
        <v>MMR012CMP018</v>
      </c>
      <c r="E70" s="314" t="s">
        <v>655</v>
      </c>
      <c r="F70" s="315" t="s">
        <v>725</v>
      </c>
      <c r="G70" s="310">
        <v>382</v>
      </c>
      <c r="H70" s="156">
        <f t="shared" si="1"/>
        <v>382</v>
      </c>
      <c r="I70" s="309" t="s">
        <v>288</v>
      </c>
      <c r="J70" s="862">
        <v>42886</v>
      </c>
      <c r="L70"/>
      <c r="M70"/>
    </row>
    <row r="71" spans="1:13" ht="15" customHeight="1" x14ac:dyDescent="0.25">
      <c r="A71" s="312" t="s">
        <v>7</v>
      </c>
      <c r="B71" s="309" t="s">
        <v>14</v>
      </c>
      <c r="C71" s="309" t="s">
        <v>42</v>
      </c>
      <c r="D71" s="366" t="str">
        <f ca="1">IFERROR(OFFSET(Camp_List[P_Code],MATCH(Data_Demography_t[[#This Row],[Camp]],Camp_List[Camp Name],0)-1,0,1,1),"")</f>
        <v>MMR012CMP018</v>
      </c>
      <c r="E71" s="314" t="s">
        <v>881</v>
      </c>
      <c r="F71" s="315" t="s">
        <v>724</v>
      </c>
      <c r="G71" s="310">
        <v>345</v>
      </c>
      <c r="H71" s="156">
        <f t="shared" si="1"/>
        <v>-345</v>
      </c>
      <c r="I71" s="309" t="s">
        <v>288</v>
      </c>
      <c r="J71" s="862">
        <v>42886</v>
      </c>
      <c r="L71"/>
      <c r="M71"/>
    </row>
    <row r="72" spans="1:13" ht="15" customHeight="1" x14ac:dyDescent="0.25">
      <c r="A72" s="312" t="s">
        <v>7</v>
      </c>
      <c r="B72" s="309" t="s">
        <v>14</v>
      </c>
      <c r="C72" s="309" t="s">
        <v>42</v>
      </c>
      <c r="D72" s="366" t="str">
        <f ca="1">IFERROR(OFFSET(Camp_List[P_Code],MATCH(Data_Demography_t[[#This Row],[Camp]],Camp_List[Camp Name],0)-1,0,1,1),"")</f>
        <v>MMR012CMP018</v>
      </c>
      <c r="E72" s="314" t="s">
        <v>881</v>
      </c>
      <c r="F72" s="315" t="s">
        <v>725</v>
      </c>
      <c r="G72" s="310">
        <v>482</v>
      </c>
      <c r="H72" s="156">
        <f t="shared" si="1"/>
        <v>482</v>
      </c>
      <c r="I72" s="309" t="s">
        <v>288</v>
      </c>
      <c r="J72" s="862">
        <v>42886</v>
      </c>
      <c r="L72"/>
      <c r="M72"/>
    </row>
    <row r="73" spans="1:13" ht="15" customHeight="1" x14ac:dyDescent="0.25">
      <c r="A73" s="312" t="s">
        <v>7</v>
      </c>
      <c r="B73" s="309" t="s">
        <v>14</v>
      </c>
      <c r="C73" s="309" t="s">
        <v>42</v>
      </c>
      <c r="D73" s="366" t="str">
        <f ca="1">IFERROR(OFFSET(Camp_List[P_Code],MATCH(Data_Demography_t[[#This Row],[Camp]],Camp_List[Camp Name],0)-1,0,1,1),"")</f>
        <v>MMR012CMP018</v>
      </c>
      <c r="E73" s="314" t="s">
        <v>882</v>
      </c>
      <c r="F73" s="315" t="s">
        <v>724</v>
      </c>
      <c r="G73" s="310">
        <v>599</v>
      </c>
      <c r="H73" s="156">
        <f t="shared" si="1"/>
        <v>-599</v>
      </c>
      <c r="I73" s="309" t="s">
        <v>288</v>
      </c>
      <c r="J73" s="862">
        <v>42886</v>
      </c>
      <c r="L73"/>
      <c r="M73"/>
    </row>
    <row r="74" spans="1:13" ht="15" customHeight="1" x14ac:dyDescent="0.25">
      <c r="A74" s="312" t="s">
        <v>7</v>
      </c>
      <c r="B74" s="309" t="s">
        <v>14</v>
      </c>
      <c r="C74" s="309" t="s">
        <v>42</v>
      </c>
      <c r="D74" s="366" t="str">
        <f ca="1">IFERROR(OFFSET(Camp_List[P_Code],MATCH(Data_Demography_t[[#This Row],[Camp]],Camp_List[Camp Name],0)-1,0,1,1),"")</f>
        <v>MMR012CMP018</v>
      </c>
      <c r="E74" s="314" t="s">
        <v>882</v>
      </c>
      <c r="F74" s="315" t="s">
        <v>725</v>
      </c>
      <c r="G74" s="310">
        <v>602</v>
      </c>
      <c r="H74" s="156">
        <f t="shared" si="1"/>
        <v>602</v>
      </c>
      <c r="I74" s="309" t="s">
        <v>288</v>
      </c>
      <c r="J74" s="862">
        <v>42886</v>
      </c>
      <c r="L74"/>
      <c r="M74"/>
    </row>
    <row r="75" spans="1:13" s="789" customFormat="1" ht="15" customHeight="1" x14ac:dyDescent="0.25">
      <c r="A75" s="312" t="s">
        <v>7</v>
      </c>
      <c r="B75" s="309" t="s">
        <v>14</v>
      </c>
      <c r="C75" s="309" t="s">
        <v>42</v>
      </c>
      <c r="D75" s="366" t="str">
        <f ca="1">IFERROR(OFFSET(Camp_List[P_Code],MATCH(Data_Demography_t[[#This Row],[Camp]],Camp_List[Camp Name],0)-1,0,1,1),"")</f>
        <v>MMR012CMP018</v>
      </c>
      <c r="E75" s="314" t="s">
        <v>858</v>
      </c>
      <c r="F75" s="315" t="s">
        <v>724</v>
      </c>
      <c r="G75" s="310">
        <v>104</v>
      </c>
      <c r="H75" s="156">
        <f t="shared" si="1"/>
        <v>-104</v>
      </c>
      <c r="I75" s="309" t="s">
        <v>288</v>
      </c>
      <c r="J75" s="862">
        <v>42886</v>
      </c>
      <c r="K75" s="304"/>
    </row>
    <row r="76" spans="1:13" s="789" customFormat="1" ht="15" customHeight="1" x14ac:dyDescent="0.25">
      <c r="A76" s="312" t="s">
        <v>7</v>
      </c>
      <c r="B76" s="309" t="s">
        <v>14</v>
      </c>
      <c r="C76" s="309" t="s">
        <v>42</v>
      </c>
      <c r="D76" s="366" t="str">
        <f ca="1">IFERROR(OFFSET(Camp_List[P_Code],MATCH(Data_Demography_t[[#This Row],[Camp]],Camp_List[Camp Name],0)-1,0,1,1),"")</f>
        <v>MMR012CMP018</v>
      </c>
      <c r="E76" s="314" t="s">
        <v>858</v>
      </c>
      <c r="F76" s="315" t="s">
        <v>725</v>
      </c>
      <c r="G76" s="310">
        <v>96</v>
      </c>
      <c r="H76" s="156">
        <f t="shared" si="1"/>
        <v>96</v>
      </c>
      <c r="I76" s="309" t="s">
        <v>288</v>
      </c>
      <c r="J76" s="862">
        <v>42886</v>
      </c>
      <c r="K76" s="304"/>
    </row>
    <row r="77" spans="1:13" ht="15" customHeight="1" x14ac:dyDescent="0.25">
      <c r="A77" s="312" t="s">
        <v>7</v>
      </c>
      <c r="B77" s="309" t="s">
        <v>19</v>
      </c>
      <c r="C77" s="313" t="s">
        <v>628</v>
      </c>
      <c r="D77" s="366" t="str">
        <f ca="1">IFERROR(OFFSET(Camp_List[P_Code],MATCH(Data_Demography_t[[#This Row],[Camp]],Camp_List[Camp Name],0)-1,0,1,1),"")</f>
        <v>MMR012CMP092</v>
      </c>
      <c r="E77" s="483" t="s">
        <v>1146</v>
      </c>
      <c r="F77" s="315" t="s">
        <v>724</v>
      </c>
      <c r="G77" s="310">
        <v>333</v>
      </c>
      <c r="H77" s="156">
        <f t="shared" si="1"/>
        <v>-333</v>
      </c>
      <c r="I77" s="313" t="s">
        <v>970</v>
      </c>
      <c r="J77" s="862">
        <v>42886</v>
      </c>
      <c r="L77"/>
      <c r="M77"/>
    </row>
    <row r="78" spans="1:13" ht="15" customHeight="1" x14ac:dyDescent="0.25">
      <c r="A78" s="312" t="s">
        <v>7</v>
      </c>
      <c r="B78" s="309" t="s">
        <v>19</v>
      </c>
      <c r="C78" s="313" t="s">
        <v>628</v>
      </c>
      <c r="D78" s="366" t="str">
        <f ca="1">IFERROR(OFFSET(Camp_List[P_Code],MATCH(Data_Demography_t[[#This Row],[Camp]],Camp_List[Camp Name],0)-1,0,1,1),"")</f>
        <v>MMR012CMP092</v>
      </c>
      <c r="E78" s="483" t="s">
        <v>1146</v>
      </c>
      <c r="F78" s="315" t="s">
        <v>725</v>
      </c>
      <c r="G78" s="310">
        <v>314</v>
      </c>
      <c r="H78" s="156">
        <f t="shared" si="1"/>
        <v>314</v>
      </c>
      <c r="I78" s="313" t="s">
        <v>970</v>
      </c>
      <c r="J78" s="862">
        <v>42886</v>
      </c>
      <c r="L78"/>
      <c r="M78"/>
    </row>
    <row r="79" spans="1:13" ht="15" customHeight="1" x14ac:dyDescent="0.25">
      <c r="A79" s="312" t="s">
        <v>7</v>
      </c>
      <c r="B79" s="309" t="s">
        <v>19</v>
      </c>
      <c r="C79" s="313" t="s">
        <v>628</v>
      </c>
      <c r="D79" s="366" t="str">
        <f ca="1">IFERROR(OFFSET(Camp_List[P_Code],MATCH(Data_Demography_t[[#This Row],[Camp]],Camp_List[Camp Name],0)-1,0,1,1),"")</f>
        <v>MMR012CMP092</v>
      </c>
      <c r="E79" s="483" t="s">
        <v>880</v>
      </c>
      <c r="F79" s="315" t="s">
        <v>724</v>
      </c>
      <c r="G79" s="310">
        <v>295</v>
      </c>
      <c r="H79" s="156">
        <f t="shared" si="1"/>
        <v>-295</v>
      </c>
      <c r="I79" s="313" t="s">
        <v>970</v>
      </c>
      <c r="J79" s="862">
        <v>42886</v>
      </c>
      <c r="L79"/>
      <c r="M79"/>
    </row>
    <row r="80" spans="1:13" ht="15" customHeight="1" x14ac:dyDescent="0.25">
      <c r="A80" s="312" t="s">
        <v>7</v>
      </c>
      <c r="B80" s="309" t="s">
        <v>19</v>
      </c>
      <c r="C80" s="313" t="s">
        <v>628</v>
      </c>
      <c r="D80" s="366" t="str">
        <f ca="1">IFERROR(OFFSET(Camp_List[P_Code],MATCH(Data_Demography_t[[#This Row],[Camp]],Camp_List[Camp Name],0)-1,0,1,1),"")</f>
        <v>MMR012CMP092</v>
      </c>
      <c r="E80" s="483" t="s">
        <v>880</v>
      </c>
      <c r="F80" s="315" t="s">
        <v>725</v>
      </c>
      <c r="G80" s="310">
        <v>285</v>
      </c>
      <c r="H80" s="156">
        <f t="shared" si="1"/>
        <v>285</v>
      </c>
      <c r="I80" s="313" t="s">
        <v>970</v>
      </c>
      <c r="J80" s="862">
        <v>42886</v>
      </c>
      <c r="L80"/>
      <c r="M80"/>
    </row>
    <row r="81" spans="1:13" ht="15" customHeight="1" x14ac:dyDescent="0.25">
      <c r="A81" s="312" t="s">
        <v>7</v>
      </c>
      <c r="B81" s="309" t="s">
        <v>19</v>
      </c>
      <c r="C81" s="313" t="s">
        <v>628</v>
      </c>
      <c r="D81" s="366" t="str">
        <f ca="1">IFERROR(OFFSET(Camp_List[P_Code],MATCH(Data_Demography_t[[#This Row],[Camp]],Camp_List[Camp Name],0)-1,0,1,1),"")</f>
        <v>MMR012CMP092</v>
      </c>
      <c r="E81" s="314" t="s">
        <v>655</v>
      </c>
      <c r="F81" s="315" t="s">
        <v>724</v>
      </c>
      <c r="G81" s="310">
        <v>236</v>
      </c>
      <c r="H81" s="156">
        <f t="shared" si="1"/>
        <v>-236</v>
      </c>
      <c r="I81" s="313" t="s">
        <v>970</v>
      </c>
      <c r="J81" s="862">
        <v>42886</v>
      </c>
      <c r="L81"/>
      <c r="M81"/>
    </row>
    <row r="82" spans="1:13" ht="15" customHeight="1" x14ac:dyDescent="0.25">
      <c r="A82" s="312" t="s">
        <v>7</v>
      </c>
      <c r="B82" s="309" t="s">
        <v>19</v>
      </c>
      <c r="C82" s="313" t="s">
        <v>628</v>
      </c>
      <c r="D82" s="366" t="str">
        <f ca="1">IFERROR(OFFSET(Camp_List[P_Code],MATCH(Data_Demography_t[[#This Row],[Camp]],Camp_List[Camp Name],0)-1,0,1,1),"")</f>
        <v>MMR012CMP092</v>
      </c>
      <c r="E82" s="314" t="s">
        <v>655</v>
      </c>
      <c r="F82" s="315" t="s">
        <v>725</v>
      </c>
      <c r="G82" s="310">
        <v>271</v>
      </c>
      <c r="H82" s="156">
        <f t="shared" si="1"/>
        <v>271</v>
      </c>
      <c r="I82" s="313" t="s">
        <v>970</v>
      </c>
      <c r="J82" s="862">
        <v>42886</v>
      </c>
    </row>
    <row r="83" spans="1:13" ht="15" customHeight="1" x14ac:dyDescent="0.25">
      <c r="A83" s="312" t="s">
        <v>7</v>
      </c>
      <c r="B83" s="309" t="s">
        <v>19</v>
      </c>
      <c r="C83" s="313" t="s">
        <v>628</v>
      </c>
      <c r="D83" s="366" t="str">
        <f ca="1">IFERROR(OFFSET(Camp_List[P_Code],MATCH(Data_Demography_t[[#This Row],[Camp]],Camp_List[Camp Name],0)-1,0,1,1),"")</f>
        <v>MMR012CMP092</v>
      </c>
      <c r="E83" s="314" t="s">
        <v>881</v>
      </c>
      <c r="F83" s="315" t="s">
        <v>724</v>
      </c>
      <c r="G83" s="310">
        <v>382</v>
      </c>
      <c r="H83" s="156">
        <f t="shared" si="1"/>
        <v>-382</v>
      </c>
      <c r="I83" s="313" t="s">
        <v>970</v>
      </c>
      <c r="J83" s="862">
        <v>42886</v>
      </c>
    </row>
    <row r="84" spans="1:13" ht="15" customHeight="1" x14ac:dyDescent="0.25">
      <c r="A84" s="312" t="s">
        <v>7</v>
      </c>
      <c r="B84" s="309" t="s">
        <v>19</v>
      </c>
      <c r="C84" s="313" t="s">
        <v>628</v>
      </c>
      <c r="D84" s="366" t="str">
        <f ca="1">IFERROR(OFFSET(Camp_List[P_Code],MATCH(Data_Demography_t[[#This Row],[Camp]],Camp_List[Camp Name],0)-1,0,1,1),"")</f>
        <v>MMR012CMP092</v>
      </c>
      <c r="E84" s="314" t="s">
        <v>881</v>
      </c>
      <c r="F84" s="315" t="s">
        <v>725</v>
      </c>
      <c r="G84" s="310">
        <v>285</v>
      </c>
      <c r="H84" s="156">
        <f t="shared" si="1"/>
        <v>285</v>
      </c>
      <c r="I84" s="313" t="s">
        <v>970</v>
      </c>
      <c r="J84" s="862">
        <v>42886</v>
      </c>
    </row>
    <row r="85" spans="1:13" ht="15" customHeight="1" x14ac:dyDescent="0.25">
      <c r="A85" s="312" t="s">
        <v>7</v>
      </c>
      <c r="B85" s="309" t="s">
        <v>19</v>
      </c>
      <c r="C85" s="313" t="s">
        <v>628</v>
      </c>
      <c r="D85" s="366" t="str">
        <f ca="1">IFERROR(OFFSET(Camp_List[P_Code],MATCH(Data_Demography_t[[#This Row],[Camp]],Camp_List[Camp Name],0)-1,0,1,1),"")</f>
        <v>MMR012CMP092</v>
      </c>
      <c r="E85" s="314" t="s">
        <v>882</v>
      </c>
      <c r="F85" s="315" t="s">
        <v>724</v>
      </c>
      <c r="G85" s="310">
        <v>446</v>
      </c>
      <c r="H85" s="156">
        <f t="shared" si="1"/>
        <v>-446</v>
      </c>
      <c r="I85" s="313" t="s">
        <v>970</v>
      </c>
      <c r="J85" s="862">
        <v>42886</v>
      </c>
    </row>
    <row r="86" spans="1:13" ht="15" customHeight="1" x14ac:dyDescent="0.25">
      <c r="A86" s="312" t="s">
        <v>7</v>
      </c>
      <c r="B86" s="309" t="s">
        <v>19</v>
      </c>
      <c r="C86" s="313" t="s">
        <v>628</v>
      </c>
      <c r="D86" s="366" t="str">
        <f ca="1">IFERROR(OFFSET(Camp_List[P_Code],MATCH(Data_Demography_t[[#This Row],[Camp]],Camp_List[Camp Name],0)-1,0,1,1),"")</f>
        <v>MMR012CMP092</v>
      </c>
      <c r="E86" s="314" t="s">
        <v>882</v>
      </c>
      <c r="F86" s="315" t="s">
        <v>725</v>
      </c>
      <c r="G86" s="310">
        <v>436</v>
      </c>
      <c r="H86" s="156">
        <f t="shared" si="1"/>
        <v>436</v>
      </c>
      <c r="I86" s="313" t="s">
        <v>970</v>
      </c>
      <c r="J86" s="862">
        <v>42886</v>
      </c>
    </row>
    <row r="87" spans="1:13" ht="15" customHeight="1" x14ac:dyDescent="0.25">
      <c r="A87" s="312" t="s">
        <v>7</v>
      </c>
      <c r="B87" s="309" t="s">
        <v>19</v>
      </c>
      <c r="C87" s="313" t="s">
        <v>628</v>
      </c>
      <c r="D87" s="366" t="str">
        <f ca="1">IFERROR(OFFSET(Camp_List[P_Code],MATCH(Data_Demography_t[[#This Row],[Camp]],Camp_List[Camp Name],0)-1,0,1,1),"")</f>
        <v>MMR012CMP092</v>
      </c>
      <c r="E87" s="314" t="s">
        <v>858</v>
      </c>
      <c r="F87" s="315" t="s">
        <v>724</v>
      </c>
      <c r="G87" s="310">
        <v>80</v>
      </c>
      <c r="H87" s="156">
        <f t="shared" si="1"/>
        <v>-80</v>
      </c>
      <c r="I87" s="313" t="s">
        <v>970</v>
      </c>
      <c r="J87" s="862">
        <v>42886</v>
      </c>
    </row>
    <row r="88" spans="1:13" ht="15" customHeight="1" x14ac:dyDescent="0.25">
      <c r="A88" s="312" t="s">
        <v>7</v>
      </c>
      <c r="B88" s="309" t="s">
        <v>19</v>
      </c>
      <c r="C88" s="313" t="s">
        <v>628</v>
      </c>
      <c r="D88" s="366" t="str">
        <f ca="1">IFERROR(OFFSET(Camp_List[P_Code],MATCH(Data_Demography_t[[#This Row],[Camp]],Camp_List[Camp Name],0)-1,0,1,1),"")</f>
        <v>MMR012CMP092</v>
      </c>
      <c r="E88" s="314" t="s">
        <v>858</v>
      </c>
      <c r="F88" s="315" t="s">
        <v>725</v>
      </c>
      <c r="G88" s="310">
        <v>72</v>
      </c>
      <c r="H88" s="156">
        <f t="shared" si="1"/>
        <v>72</v>
      </c>
      <c r="I88" s="313" t="s">
        <v>970</v>
      </c>
      <c r="J88" s="862">
        <v>42886</v>
      </c>
    </row>
    <row r="89" spans="1:13" s="789" customFormat="1" ht="15" customHeight="1" x14ac:dyDescent="0.25">
      <c r="A89" s="312" t="s">
        <v>7</v>
      </c>
      <c r="B89" s="309" t="s">
        <v>14</v>
      </c>
      <c r="C89" s="313" t="s">
        <v>1067</v>
      </c>
      <c r="D89" s="366" t="str">
        <f ca="1">IFERROR(OFFSET(Camp_List[P_Code],MATCH(Data_Demography_t[[#This Row],[Camp]],Camp_List[Camp Name],0)-1,0,1,1),"")</f>
        <v>MMR012CMP017</v>
      </c>
      <c r="E89" s="483" t="s">
        <v>1146</v>
      </c>
      <c r="F89" s="313" t="s">
        <v>724</v>
      </c>
      <c r="G89" s="310">
        <v>552</v>
      </c>
      <c r="H89" s="156">
        <f t="shared" si="1"/>
        <v>-552</v>
      </c>
      <c r="I89" s="313" t="s">
        <v>623</v>
      </c>
      <c r="J89" s="862">
        <v>42886</v>
      </c>
      <c r="K89" s="304"/>
    </row>
    <row r="90" spans="1:13" s="789" customFormat="1" ht="15" customHeight="1" x14ac:dyDescent="0.25">
      <c r="A90" s="312" t="s">
        <v>7</v>
      </c>
      <c r="B90" s="309" t="s">
        <v>14</v>
      </c>
      <c r="C90" s="313" t="s">
        <v>1067</v>
      </c>
      <c r="D90" s="366" t="str">
        <f ca="1">IFERROR(OFFSET(Camp_List[P_Code],MATCH(Data_Demography_t[[#This Row],[Camp]],Camp_List[Camp Name],0)-1,0,1,1),"")</f>
        <v>MMR012CMP017</v>
      </c>
      <c r="E90" s="483" t="s">
        <v>1146</v>
      </c>
      <c r="F90" s="353" t="s">
        <v>725</v>
      </c>
      <c r="G90" s="310">
        <v>557</v>
      </c>
      <c r="H90" s="156">
        <f t="shared" si="1"/>
        <v>557</v>
      </c>
      <c r="I90" s="313" t="s">
        <v>623</v>
      </c>
      <c r="J90" s="862">
        <v>42886</v>
      </c>
      <c r="K90" s="304"/>
    </row>
    <row r="91" spans="1:13" ht="15" customHeight="1" x14ac:dyDescent="0.25">
      <c r="A91" s="312" t="s">
        <v>7</v>
      </c>
      <c r="B91" s="309" t="s">
        <v>14</v>
      </c>
      <c r="C91" s="313" t="s">
        <v>1067</v>
      </c>
      <c r="D91" s="366" t="str">
        <f ca="1">IFERROR(OFFSET(Camp_List[P_Code],MATCH(Data_Demography_t[[#This Row],[Camp]],Camp_List[Camp Name],0)-1,0,1,1),"")</f>
        <v>MMR012CMP017</v>
      </c>
      <c r="E91" s="483" t="s">
        <v>880</v>
      </c>
      <c r="F91" s="313" t="s">
        <v>724</v>
      </c>
      <c r="G91" s="310">
        <v>373</v>
      </c>
      <c r="H91" s="156">
        <f t="shared" si="1"/>
        <v>-373</v>
      </c>
      <c r="I91" s="313" t="s">
        <v>623</v>
      </c>
      <c r="J91" s="862">
        <v>42886</v>
      </c>
    </row>
    <row r="92" spans="1:13" ht="15" customHeight="1" x14ac:dyDescent="0.25">
      <c r="A92" s="312" t="s">
        <v>7</v>
      </c>
      <c r="B92" s="309" t="s">
        <v>14</v>
      </c>
      <c r="C92" s="313" t="s">
        <v>1067</v>
      </c>
      <c r="D92" s="366" t="str">
        <f ca="1">IFERROR(OFFSET(Camp_List[P_Code],MATCH(Data_Demography_t[[#This Row],[Camp]],Camp_List[Camp Name],0)-1,0,1,1),"")</f>
        <v>MMR012CMP017</v>
      </c>
      <c r="E92" s="483" t="s">
        <v>880</v>
      </c>
      <c r="F92" s="353" t="s">
        <v>725</v>
      </c>
      <c r="G92" s="310">
        <v>329</v>
      </c>
      <c r="H92" s="156">
        <f t="shared" si="1"/>
        <v>329</v>
      </c>
      <c r="I92" s="313" t="s">
        <v>623</v>
      </c>
      <c r="J92" s="862">
        <v>42886</v>
      </c>
    </row>
    <row r="93" spans="1:13" ht="15" customHeight="1" x14ac:dyDescent="0.25">
      <c r="A93" s="312" t="s">
        <v>7</v>
      </c>
      <c r="B93" s="309" t="s">
        <v>14</v>
      </c>
      <c r="C93" s="313" t="s">
        <v>1067</v>
      </c>
      <c r="D93" s="366" t="str">
        <f ca="1">IFERROR(OFFSET(Camp_List[P_Code],MATCH(Data_Demography_t[[#This Row],[Camp]],Camp_List[Camp Name],0)-1,0,1,1),"")</f>
        <v>MMR012CMP017</v>
      </c>
      <c r="E93" s="314" t="s">
        <v>655</v>
      </c>
      <c r="F93" s="315" t="s">
        <v>724</v>
      </c>
      <c r="G93" s="310">
        <v>222</v>
      </c>
      <c r="H93" s="156">
        <f t="shared" si="1"/>
        <v>-222</v>
      </c>
      <c r="I93" s="313" t="s">
        <v>623</v>
      </c>
      <c r="J93" s="862">
        <v>42886</v>
      </c>
    </row>
    <row r="94" spans="1:13" ht="15" customHeight="1" x14ac:dyDescent="0.25">
      <c r="A94" s="312" t="s">
        <v>7</v>
      </c>
      <c r="B94" s="309" t="s">
        <v>14</v>
      </c>
      <c r="C94" s="313" t="s">
        <v>1067</v>
      </c>
      <c r="D94" s="366" t="str">
        <f ca="1">IFERROR(OFFSET(Camp_List[P_Code],MATCH(Data_Demography_t[[#This Row],[Camp]],Camp_List[Camp Name],0)-1,0,1,1),"")</f>
        <v>MMR012CMP017</v>
      </c>
      <c r="E94" s="314" t="s">
        <v>655</v>
      </c>
      <c r="F94" s="315" t="s">
        <v>725</v>
      </c>
      <c r="G94" s="310">
        <v>207</v>
      </c>
      <c r="H94" s="156">
        <f t="shared" si="1"/>
        <v>207</v>
      </c>
      <c r="I94" s="313" t="s">
        <v>623</v>
      </c>
      <c r="J94" s="862">
        <v>42886</v>
      </c>
    </row>
    <row r="95" spans="1:13" ht="15" customHeight="1" x14ac:dyDescent="0.25">
      <c r="A95" s="312" t="s">
        <v>7</v>
      </c>
      <c r="B95" s="309" t="s">
        <v>14</v>
      </c>
      <c r="C95" s="313" t="s">
        <v>1067</v>
      </c>
      <c r="D95" s="366" t="str">
        <f ca="1">IFERROR(OFFSET(Camp_List[P_Code],MATCH(Data_Demography_t[[#This Row],[Camp]],Camp_List[Camp Name],0)-1,0,1,1),"")</f>
        <v>MMR012CMP017</v>
      </c>
      <c r="E95" s="314" t="s">
        <v>881</v>
      </c>
      <c r="F95" s="315" t="s">
        <v>724</v>
      </c>
      <c r="G95" s="310">
        <v>323</v>
      </c>
      <c r="H95" s="156">
        <f t="shared" si="1"/>
        <v>-323</v>
      </c>
      <c r="I95" s="313" t="s">
        <v>623</v>
      </c>
      <c r="J95" s="862">
        <v>42886</v>
      </c>
    </row>
    <row r="96" spans="1:13" ht="15" customHeight="1" x14ac:dyDescent="0.25">
      <c r="A96" s="312" t="s">
        <v>7</v>
      </c>
      <c r="B96" s="309" t="s">
        <v>14</v>
      </c>
      <c r="C96" s="313" t="s">
        <v>1067</v>
      </c>
      <c r="D96" s="366" t="str">
        <f ca="1">IFERROR(OFFSET(Camp_List[P_Code],MATCH(Data_Demography_t[[#This Row],[Camp]],Camp_List[Camp Name],0)-1,0,1,1),"")</f>
        <v>MMR012CMP017</v>
      </c>
      <c r="E96" s="314" t="s">
        <v>881</v>
      </c>
      <c r="F96" s="315" t="s">
        <v>725</v>
      </c>
      <c r="G96" s="310">
        <v>449</v>
      </c>
      <c r="H96" s="156">
        <f t="shared" si="1"/>
        <v>449</v>
      </c>
      <c r="I96" s="313" t="s">
        <v>623</v>
      </c>
      <c r="J96" s="862">
        <v>42886</v>
      </c>
    </row>
    <row r="97" spans="1:11" ht="15" customHeight="1" x14ac:dyDescent="0.25">
      <c r="A97" s="312" t="s">
        <v>7</v>
      </c>
      <c r="B97" s="309" t="s">
        <v>14</v>
      </c>
      <c r="C97" s="313" t="s">
        <v>1067</v>
      </c>
      <c r="D97" s="366" t="str">
        <f ca="1">IFERROR(OFFSET(Camp_List[P_Code],MATCH(Data_Demography_t[[#This Row],[Camp]],Camp_List[Camp Name],0)-1,0,1,1),"")</f>
        <v>MMR012CMP017</v>
      </c>
      <c r="E97" s="314" t="s">
        <v>882</v>
      </c>
      <c r="F97" s="315" t="s">
        <v>724</v>
      </c>
      <c r="G97" s="310">
        <v>433</v>
      </c>
      <c r="H97" s="156">
        <f t="shared" ref="H97:H136" si="2">IF(F97="M",-G97,G97)</f>
        <v>-433</v>
      </c>
      <c r="I97" s="313" t="s">
        <v>623</v>
      </c>
      <c r="J97" s="862">
        <v>42886</v>
      </c>
    </row>
    <row r="98" spans="1:11" ht="15" customHeight="1" x14ac:dyDescent="0.25">
      <c r="A98" s="312" t="s">
        <v>7</v>
      </c>
      <c r="B98" s="309" t="s">
        <v>14</v>
      </c>
      <c r="C98" s="313" t="s">
        <v>1067</v>
      </c>
      <c r="D98" s="366" t="str">
        <f ca="1">IFERROR(OFFSET(Camp_List[P_Code],MATCH(Data_Demography_t[[#This Row],[Camp]],Camp_List[Camp Name],0)-1,0,1,1),"")</f>
        <v>MMR012CMP017</v>
      </c>
      <c r="E98" s="314" t="s">
        <v>882</v>
      </c>
      <c r="F98" s="315" t="s">
        <v>725</v>
      </c>
      <c r="G98" s="310">
        <v>346</v>
      </c>
      <c r="H98" s="156">
        <f t="shared" si="2"/>
        <v>346</v>
      </c>
      <c r="I98" s="313" t="s">
        <v>623</v>
      </c>
      <c r="J98" s="862">
        <v>42886</v>
      </c>
    </row>
    <row r="99" spans="1:11" ht="15" customHeight="1" x14ac:dyDescent="0.25">
      <c r="A99" s="312" t="s">
        <v>7</v>
      </c>
      <c r="B99" s="309" t="s">
        <v>14</v>
      </c>
      <c r="C99" s="313" t="s">
        <v>1067</v>
      </c>
      <c r="D99" s="366" t="str">
        <f ca="1">IFERROR(OFFSET(Camp_List[P_Code],MATCH(Data_Demography_t[[#This Row],[Camp]],Camp_List[Camp Name],0)-1,0,1,1),"")</f>
        <v>MMR012CMP017</v>
      </c>
      <c r="E99" s="314" t="s">
        <v>858</v>
      </c>
      <c r="F99" s="315" t="s">
        <v>724</v>
      </c>
      <c r="G99" s="310">
        <v>89</v>
      </c>
      <c r="H99" s="156">
        <f t="shared" si="2"/>
        <v>-89</v>
      </c>
      <c r="I99" s="313" t="s">
        <v>623</v>
      </c>
      <c r="J99" s="862">
        <v>42886</v>
      </c>
    </row>
    <row r="100" spans="1:11" ht="15" customHeight="1" x14ac:dyDescent="0.25">
      <c r="A100" s="312" t="s">
        <v>7</v>
      </c>
      <c r="B100" s="309" t="s">
        <v>14</v>
      </c>
      <c r="C100" s="313" t="s">
        <v>1067</v>
      </c>
      <c r="D100" s="366" t="str">
        <f ca="1">IFERROR(OFFSET(Camp_List[P_Code],MATCH(Data_Demography_t[[#This Row],[Camp]],Camp_List[Camp Name],0)-1,0,1,1),"")</f>
        <v>MMR012CMP017</v>
      </c>
      <c r="E100" s="314" t="s">
        <v>858</v>
      </c>
      <c r="F100" s="315" t="s">
        <v>725</v>
      </c>
      <c r="G100" s="310">
        <v>66</v>
      </c>
      <c r="H100" s="156">
        <f t="shared" si="2"/>
        <v>66</v>
      </c>
      <c r="I100" s="313" t="s">
        <v>623</v>
      </c>
      <c r="J100" s="862">
        <v>42886</v>
      </c>
    </row>
    <row r="101" spans="1:11" ht="15" customHeight="1" x14ac:dyDescent="0.25">
      <c r="A101" s="312" t="s">
        <v>7</v>
      </c>
      <c r="B101" s="309" t="s">
        <v>19</v>
      </c>
      <c r="C101" s="313" t="s">
        <v>633</v>
      </c>
      <c r="D101" s="366" t="str">
        <f ca="1">IFERROR(OFFSET(Camp_List[P_Code],MATCH(Data_Demography_t[[#This Row],[Camp]],Camp_List[Camp Name],0)-1,0,1,1),"")</f>
        <v>MMR012CMP098</v>
      </c>
      <c r="E101" s="483" t="s">
        <v>1146</v>
      </c>
      <c r="F101" s="325" t="s">
        <v>724</v>
      </c>
      <c r="G101" s="310">
        <v>352</v>
      </c>
      <c r="H101" s="156">
        <f t="shared" si="2"/>
        <v>-352</v>
      </c>
      <c r="I101" s="313" t="s">
        <v>288</v>
      </c>
      <c r="J101" s="862">
        <v>42886</v>
      </c>
    </row>
    <row r="102" spans="1:11" ht="15" customHeight="1" x14ac:dyDescent="0.25">
      <c r="A102" s="312" t="s">
        <v>7</v>
      </c>
      <c r="B102" s="309" t="s">
        <v>19</v>
      </c>
      <c r="C102" s="313" t="s">
        <v>633</v>
      </c>
      <c r="D102" s="366" t="str">
        <f ca="1">IFERROR(OFFSET(Camp_List[P_Code],MATCH(Data_Demography_t[[#This Row],[Camp]],Camp_List[Camp Name],0)-1,0,1,1),"")</f>
        <v>MMR012CMP098</v>
      </c>
      <c r="E102" s="483" t="s">
        <v>1146</v>
      </c>
      <c r="F102" s="325" t="s">
        <v>725</v>
      </c>
      <c r="G102" s="310">
        <v>415</v>
      </c>
      <c r="H102" s="156">
        <f t="shared" si="2"/>
        <v>415</v>
      </c>
      <c r="I102" s="313" t="s">
        <v>288</v>
      </c>
      <c r="J102" s="862">
        <v>42886</v>
      </c>
    </row>
    <row r="103" spans="1:11" s="789" customFormat="1" ht="15" customHeight="1" x14ac:dyDescent="0.25">
      <c r="A103" s="312" t="s">
        <v>7</v>
      </c>
      <c r="B103" s="309" t="s">
        <v>19</v>
      </c>
      <c r="C103" s="313" t="s">
        <v>633</v>
      </c>
      <c r="D103" s="366" t="str">
        <f ca="1">IFERROR(OFFSET(Camp_List[P_Code],MATCH(Data_Demography_t[[#This Row],[Camp]],Camp_List[Camp Name],0)-1,0,1,1),"")</f>
        <v>MMR012CMP098</v>
      </c>
      <c r="E103" s="483" t="s">
        <v>880</v>
      </c>
      <c r="F103" s="325" t="s">
        <v>724</v>
      </c>
      <c r="G103" s="364">
        <v>429</v>
      </c>
      <c r="H103" s="365">
        <f t="shared" si="2"/>
        <v>-429</v>
      </c>
      <c r="I103" s="313" t="s">
        <v>288</v>
      </c>
      <c r="J103" s="862">
        <v>42886</v>
      </c>
      <c r="K103" s="304"/>
    </row>
    <row r="104" spans="1:11" s="789" customFormat="1" ht="15" customHeight="1" x14ac:dyDescent="0.25">
      <c r="A104" s="312" t="s">
        <v>7</v>
      </c>
      <c r="B104" s="309" t="s">
        <v>19</v>
      </c>
      <c r="C104" s="313" t="s">
        <v>633</v>
      </c>
      <c r="D104" s="366" t="str">
        <f ca="1">IFERROR(OFFSET(Camp_List[P_Code],MATCH(Data_Demography_t[[#This Row],[Camp]],Camp_List[Camp Name],0)-1,0,1,1),"")</f>
        <v>MMR012CMP098</v>
      </c>
      <c r="E104" s="483" t="s">
        <v>880</v>
      </c>
      <c r="F104" s="325" t="s">
        <v>725</v>
      </c>
      <c r="G104" s="364">
        <v>365</v>
      </c>
      <c r="H104" s="365">
        <f t="shared" si="2"/>
        <v>365</v>
      </c>
      <c r="I104" s="313" t="s">
        <v>288</v>
      </c>
      <c r="J104" s="862">
        <v>42886</v>
      </c>
      <c r="K104" s="304"/>
    </row>
    <row r="105" spans="1:11" ht="15" customHeight="1" x14ac:dyDescent="0.25">
      <c r="A105" s="312" t="s">
        <v>7</v>
      </c>
      <c r="B105" s="309" t="s">
        <v>19</v>
      </c>
      <c r="C105" s="313" t="s">
        <v>633</v>
      </c>
      <c r="D105" s="366" t="str">
        <f ca="1">IFERROR(OFFSET(Camp_List[P_Code],MATCH(Data_Demography_t[[#This Row],[Camp]],Camp_List[Camp Name],0)-1,0,1,1),"")</f>
        <v>MMR012CMP098</v>
      </c>
      <c r="E105" s="327" t="s">
        <v>655</v>
      </c>
      <c r="F105" s="325" t="s">
        <v>724</v>
      </c>
      <c r="G105" s="928">
        <v>259</v>
      </c>
      <c r="H105" s="156">
        <f t="shared" si="2"/>
        <v>-259</v>
      </c>
      <c r="I105" s="313" t="s">
        <v>288</v>
      </c>
      <c r="J105" s="862">
        <v>42886</v>
      </c>
    </row>
    <row r="106" spans="1:11" ht="15" customHeight="1" x14ac:dyDescent="0.25">
      <c r="A106" s="312" t="s">
        <v>7</v>
      </c>
      <c r="B106" s="309" t="s">
        <v>19</v>
      </c>
      <c r="C106" s="313" t="s">
        <v>633</v>
      </c>
      <c r="D106" s="366" t="str">
        <f ca="1">IFERROR(OFFSET(Camp_List[P_Code],MATCH(Data_Demography_t[[#This Row],[Camp]],Camp_List[Camp Name],0)-1,0,1,1),"")</f>
        <v>MMR012CMP098</v>
      </c>
      <c r="E106" s="327" t="s">
        <v>655</v>
      </c>
      <c r="F106" s="325" t="s">
        <v>725</v>
      </c>
      <c r="G106" s="928">
        <v>224</v>
      </c>
      <c r="H106" s="156">
        <f t="shared" si="2"/>
        <v>224</v>
      </c>
      <c r="I106" s="313" t="s">
        <v>288</v>
      </c>
      <c r="J106" s="862">
        <v>42886</v>
      </c>
    </row>
    <row r="107" spans="1:11" ht="15" customHeight="1" x14ac:dyDescent="0.25">
      <c r="A107" s="312" t="s">
        <v>7</v>
      </c>
      <c r="B107" s="309" t="s">
        <v>19</v>
      </c>
      <c r="C107" s="313" t="s">
        <v>633</v>
      </c>
      <c r="D107" s="366" t="str">
        <f ca="1">IFERROR(OFFSET(Camp_List[P_Code],MATCH(Data_Demography_t[[#This Row],[Camp]],Camp_List[Camp Name],0)-1,0,1,1),"")</f>
        <v>MMR012CMP098</v>
      </c>
      <c r="E107" s="314" t="s">
        <v>881</v>
      </c>
      <c r="F107" s="313" t="s">
        <v>724</v>
      </c>
      <c r="G107" s="928">
        <v>243</v>
      </c>
      <c r="H107" s="156">
        <f t="shared" si="2"/>
        <v>-243</v>
      </c>
      <c r="I107" s="313" t="s">
        <v>288</v>
      </c>
      <c r="J107" s="862">
        <v>42886</v>
      </c>
    </row>
    <row r="108" spans="1:11" ht="15" customHeight="1" x14ac:dyDescent="0.25">
      <c r="A108" s="312" t="s">
        <v>7</v>
      </c>
      <c r="B108" s="309" t="s">
        <v>19</v>
      </c>
      <c r="C108" s="313" t="s">
        <v>633</v>
      </c>
      <c r="D108" s="366" t="str">
        <f ca="1">IFERROR(OFFSET(Camp_List[P_Code],MATCH(Data_Demography_t[[#This Row],[Camp]],Camp_List[Camp Name],0)-1,0,1,1),"")</f>
        <v>MMR012CMP098</v>
      </c>
      <c r="E108" s="314" t="s">
        <v>881</v>
      </c>
      <c r="F108" s="353" t="s">
        <v>725</v>
      </c>
      <c r="G108" s="928">
        <v>291</v>
      </c>
      <c r="H108" s="156">
        <f t="shared" si="2"/>
        <v>291</v>
      </c>
      <c r="I108" s="313" t="s">
        <v>288</v>
      </c>
      <c r="J108" s="862">
        <v>42886</v>
      </c>
    </row>
    <row r="109" spans="1:11" ht="15" customHeight="1" x14ac:dyDescent="0.25">
      <c r="A109" s="312" t="s">
        <v>7</v>
      </c>
      <c r="B109" s="309" t="s">
        <v>19</v>
      </c>
      <c r="C109" s="313" t="s">
        <v>633</v>
      </c>
      <c r="D109" s="366" t="str">
        <f ca="1">IFERROR(OFFSET(Camp_List[P_Code],MATCH(Data_Demography_t[[#This Row],[Camp]],Camp_List[Camp Name],0)-1,0,1,1),"")</f>
        <v>MMR012CMP098</v>
      </c>
      <c r="E109" s="314" t="s">
        <v>882</v>
      </c>
      <c r="F109" s="313" t="s">
        <v>724</v>
      </c>
      <c r="G109" s="310">
        <v>364</v>
      </c>
      <c r="H109" s="156">
        <f t="shared" si="2"/>
        <v>-364</v>
      </c>
      <c r="I109" s="313" t="s">
        <v>288</v>
      </c>
      <c r="J109" s="862">
        <v>42886</v>
      </c>
    </row>
    <row r="110" spans="1:11" ht="15" customHeight="1" x14ac:dyDescent="0.25">
      <c r="A110" s="312" t="s">
        <v>7</v>
      </c>
      <c r="B110" s="309" t="s">
        <v>19</v>
      </c>
      <c r="C110" s="313" t="s">
        <v>633</v>
      </c>
      <c r="D110" s="366" t="str">
        <f ca="1">IFERROR(OFFSET(Camp_List[P_Code],MATCH(Data_Demography_t[[#This Row],[Camp]],Camp_List[Camp Name],0)-1,0,1,1),"")</f>
        <v>MMR012CMP098</v>
      </c>
      <c r="E110" s="314" t="s">
        <v>882</v>
      </c>
      <c r="F110" s="353" t="s">
        <v>725</v>
      </c>
      <c r="G110" s="310">
        <v>375</v>
      </c>
      <c r="H110" s="156">
        <f t="shared" si="2"/>
        <v>375</v>
      </c>
      <c r="I110" s="313" t="s">
        <v>288</v>
      </c>
      <c r="J110" s="862">
        <v>42886</v>
      </c>
    </row>
    <row r="111" spans="1:11" ht="15" customHeight="1" x14ac:dyDescent="0.25">
      <c r="A111" s="312" t="s">
        <v>7</v>
      </c>
      <c r="B111" s="309" t="s">
        <v>19</v>
      </c>
      <c r="C111" s="313" t="s">
        <v>633</v>
      </c>
      <c r="D111" s="366" t="str">
        <f ca="1">IFERROR(OFFSET(Camp_List[P_Code],MATCH(Data_Demography_t[[#This Row],[Camp]],Camp_List[Camp Name],0)-1,0,1,1),"")</f>
        <v>MMR012CMP098</v>
      </c>
      <c r="E111" s="314" t="s">
        <v>858</v>
      </c>
      <c r="F111" s="313" t="s">
        <v>724</v>
      </c>
      <c r="G111" s="310">
        <v>45</v>
      </c>
      <c r="H111" s="156">
        <f t="shared" si="2"/>
        <v>-45</v>
      </c>
      <c r="I111" s="313" t="s">
        <v>288</v>
      </c>
      <c r="J111" s="862">
        <v>42886</v>
      </c>
    </row>
    <row r="112" spans="1:11" ht="15" customHeight="1" x14ac:dyDescent="0.25">
      <c r="A112" s="312" t="s">
        <v>7</v>
      </c>
      <c r="B112" s="309" t="s">
        <v>19</v>
      </c>
      <c r="C112" s="313" t="s">
        <v>633</v>
      </c>
      <c r="D112" s="366" t="str">
        <f ca="1">IFERROR(OFFSET(Camp_List[P_Code],MATCH(Data_Demography_t[[#This Row],[Camp]],Camp_List[Camp Name],0)-1,0,1,1),"")</f>
        <v>MMR012CMP098</v>
      </c>
      <c r="E112" s="314" t="s">
        <v>858</v>
      </c>
      <c r="F112" s="353" t="s">
        <v>725</v>
      </c>
      <c r="G112" s="310">
        <v>27</v>
      </c>
      <c r="H112" s="156">
        <f t="shared" si="2"/>
        <v>27</v>
      </c>
      <c r="I112" s="313" t="s">
        <v>288</v>
      </c>
      <c r="J112" s="862">
        <v>42886</v>
      </c>
    </row>
    <row r="113" spans="1:11" ht="15" customHeight="1" x14ac:dyDescent="0.25">
      <c r="A113" s="351" t="s">
        <v>7</v>
      </c>
      <c r="B113" s="352" t="s">
        <v>19</v>
      </c>
      <c r="C113" s="355" t="s">
        <v>634</v>
      </c>
      <c r="D113" s="366" t="str">
        <f ca="1">IFERROR(OFFSET(Camp_List[P_Code],MATCH(Data_Demography_t[[#This Row],[Camp]],Camp_List[Camp Name],0)-1,0,1,1),"")</f>
        <v>MMR012CMP115</v>
      </c>
      <c r="E113" s="483" t="s">
        <v>1146</v>
      </c>
      <c r="F113" s="357" t="s">
        <v>724</v>
      </c>
      <c r="G113" s="322">
        <v>1479</v>
      </c>
      <c r="H113" s="156">
        <f t="shared" ref="H113:H124" si="3">IF(F113="M",-G113,G113)</f>
        <v>-1479</v>
      </c>
      <c r="I113" s="355" t="s">
        <v>288</v>
      </c>
      <c r="J113" s="862">
        <v>42886</v>
      </c>
    </row>
    <row r="114" spans="1:11" ht="15" customHeight="1" x14ac:dyDescent="0.25">
      <c r="A114" s="351" t="s">
        <v>7</v>
      </c>
      <c r="B114" s="352" t="s">
        <v>19</v>
      </c>
      <c r="C114" s="355" t="s">
        <v>634</v>
      </c>
      <c r="D114" s="366" t="str">
        <f ca="1">IFERROR(OFFSET(Camp_List[P_Code],MATCH(Data_Demography_t[[#This Row],[Camp]],Camp_List[Camp Name],0)-1,0,1,1),"")</f>
        <v>MMR012CMP115</v>
      </c>
      <c r="E114" s="483" t="s">
        <v>1146</v>
      </c>
      <c r="F114" s="357" t="s">
        <v>725</v>
      </c>
      <c r="G114" s="322">
        <v>1429</v>
      </c>
      <c r="H114" s="156">
        <f t="shared" si="3"/>
        <v>1429</v>
      </c>
      <c r="I114" s="355" t="s">
        <v>288</v>
      </c>
      <c r="J114" s="862">
        <v>42886</v>
      </c>
    </row>
    <row r="115" spans="1:11" ht="15" customHeight="1" x14ac:dyDescent="0.25">
      <c r="A115" s="351" t="s">
        <v>7</v>
      </c>
      <c r="B115" s="352" t="s">
        <v>19</v>
      </c>
      <c r="C115" s="355" t="s">
        <v>634</v>
      </c>
      <c r="D115" s="366" t="str">
        <f ca="1">IFERROR(OFFSET(Camp_List[P_Code],MATCH(Data_Demography_t[[#This Row],[Camp]],Camp_List[Camp Name],0)-1,0,1,1),"")</f>
        <v>MMR012CMP115</v>
      </c>
      <c r="E115" s="483" t="s">
        <v>880</v>
      </c>
      <c r="F115" s="357" t="s">
        <v>724</v>
      </c>
      <c r="G115" s="322">
        <v>1461</v>
      </c>
      <c r="H115" s="156">
        <f t="shared" si="3"/>
        <v>-1461</v>
      </c>
      <c r="I115" s="355" t="s">
        <v>288</v>
      </c>
      <c r="J115" s="862">
        <v>42886</v>
      </c>
    </row>
    <row r="116" spans="1:11" ht="15" customHeight="1" x14ac:dyDescent="0.25">
      <c r="A116" s="351" t="s">
        <v>7</v>
      </c>
      <c r="B116" s="352" t="s">
        <v>19</v>
      </c>
      <c r="C116" s="355" t="s">
        <v>634</v>
      </c>
      <c r="D116" s="366" t="str">
        <f ca="1">IFERROR(OFFSET(Camp_List[P_Code],MATCH(Data_Demography_t[[#This Row],[Camp]],Camp_List[Camp Name],0)-1,0,1,1),"")</f>
        <v>MMR012CMP115</v>
      </c>
      <c r="E116" s="483" t="s">
        <v>880</v>
      </c>
      <c r="F116" s="357" t="s">
        <v>725</v>
      </c>
      <c r="G116" s="322">
        <v>1300</v>
      </c>
      <c r="H116" s="156">
        <f t="shared" si="3"/>
        <v>1300</v>
      </c>
      <c r="I116" s="355" t="s">
        <v>288</v>
      </c>
      <c r="J116" s="862">
        <v>42886</v>
      </c>
    </row>
    <row r="117" spans="1:11" s="789" customFormat="1" ht="15" customHeight="1" x14ac:dyDescent="0.25">
      <c r="A117" s="351" t="s">
        <v>7</v>
      </c>
      <c r="B117" s="352" t="s">
        <v>19</v>
      </c>
      <c r="C117" s="355" t="s">
        <v>634</v>
      </c>
      <c r="D117" s="366" t="str">
        <f ca="1">IFERROR(OFFSET(Camp_List[P_Code],MATCH(Data_Demography_t[[#This Row],[Camp]],Camp_List[Camp Name],0)-1,0,1,1),"")</f>
        <v>MMR012CMP115</v>
      </c>
      <c r="E117" s="356" t="s">
        <v>655</v>
      </c>
      <c r="F117" s="357" t="s">
        <v>724</v>
      </c>
      <c r="G117" s="929">
        <v>1004</v>
      </c>
      <c r="H117" s="156">
        <f t="shared" si="3"/>
        <v>-1004</v>
      </c>
      <c r="I117" s="355" t="s">
        <v>288</v>
      </c>
      <c r="J117" s="862">
        <v>42886</v>
      </c>
      <c r="K117" s="304"/>
    </row>
    <row r="118" spans="1:11" s="789" customFormat="1" ht="15" customHeight="1" x14ac:dyDescent="0.25">
      <c r="A118" s="351" t="s">
        <v>7</v>
      </c>
      <c r="B118" s="352" t="s">
        <v>19</v>
      </c>
      <c r="C118" s="355" t="s">
        <v>634</v>
      </c>
      <c r="D118" s="366" t="str">
        <f ca="1">IFERROR(OFFSET(Camp_List[P_Code],MATCH(Data_Demography_t[[#This Row],[Camp]],Camp_List[Camp Name],0)-1,0,1,1),"")</f>
        <v>MMR012CMP115</v>
      </c>
      <c r="E118" s="356" t="s">
        <v>655</v>
      </c>
      <c r="F118" s="357" t="s">
        <v>725</v>
      </c>
      <c r="G118" s="929">
        <v>907</v>
      </c>
      <c r="H118" s="156">
        <f t="shared" si="3"/>
        <v>907</v>
      </c>
      <c r="I118" s="355" t="s">
        <v>288</v>
      </c>
      <c r="J118" s="862">
        <v>42886</v>
      </c>
      <c r="K118" s="304"/>
    </row>
    <row r="119" spans="1:11" ht="15" customHeight="1" x14ac:dyDescent="0.25">
      <c r="A119" s="312" t="s">
        <v>7</v>
      </c>
      <c r="B119" s="309" t="s">
        <v>19</v>
      </c>
      <c r="C119" s="313" t="s">
        <v>634</v>
      </c>
      <c r="D119" s="366" t="str">
        <f ca="1">IFERROR(OFFSET(Camp_List[P_Code],MATCH(Data_Demography_t[[#This Row],[Camp]],Camp_List[Camp Name],0)-1,0,1,1),"")</f>
        <v>MMR012CMP115</v>
      </c>
      <c r="E119" s="327" t="s">
        <v>881</v>
      </c>
      <c r="F119" s="325" t="s">
        <v>724</v>
      </c>
      <c r="G119" s="310">
        <v>1034</v>
      </c>
      <c r="H119" s="156">
        <f t="shared" si="3"/>
        <v>-1034</v>
      </c>
      <c r="I119" s="313" t="s">
        <v>288</v>
      </c>
      <c r="J119" s="862">
        <v>42886</v>
      </c>
    </row>
    <row r="120" spans="1:11" ht="15" customHeight="1" x14ac:dyDescent="0.25">
      <c r="A120" s="312" t="s">
        <v>7</v>
      </c>
      <c r="B120" s="309" t="s">
        <v>19</v>
      </c>
      <c r="C120" s="313" t="s">
        <v>634</v>
      </c>
      <c r="D120" s="366" t="str">
        <f ca="1">IFERROR(OFFSET(Camp_List[P_Code],MATCH(Data_Demography_t[[#This Row],[Camp]],Camp_List[Camp Name],0)-1,0,1,1),"")</f>
        <v>MMR012CMP115</v>
      </c>
      <c r="E120" s="327" t="s">
        <v>881</v>
      </c>
      <c r="F120" s="325" t="s">
        <v>725</v>
      </c>
      <c r="G120" s="310">
        <v>1300</v>
      </c>
      <c r="H120" s="156">
        <f t="shared" si="3"/>
        <v>1300</v>
      </c>
      <c r="I120" s="313" t="s">
        <v>288</v>
      </c>
      <c r="J120" s="862">
        <v>42886</v>
      </c>
    </row>
    <row r="121" spans="1:11" ht="15" customHeight="1" x14ac:dyDescent="0.25">
      <c r="A121" s="312" t="s">
        <v>7</v>
      </c>
      <c r="B121" s="309" t="s">
        <v>19</v>
      </c>
      <c r="C121" s="313" t="s">
        <v>634</v>
      </c>
      <c r="D121" s="366" t="str">
        <f ca="1">IFERROR(OFFSET(Camp_List[P_Code],MATCH(Data_Demography_t[[#This Row],[Camp]],Camp_List[Camp Name],0)-1,0,1,1),"")</f>
        <v>MMR012CMP115</v>
      </c>
      <c r="E121" s="327" t="s">
        <v>882</v>
      </c>
      <c r="F121" s="325" t="s">
        <v>724</v>
      </c>
      <c r="G121" s="310">
        <v>1406</v>
      </c>
      <c r="H121" s="156">
        <f t="shared" si="3"/>
        <v>-1406</v>
      </c>
      <c r="I121" s="313" t="s">
        <v>288</v>
      </c>
      <c r="J121" s="862">
        <v>42886</v>
      </c>
    </row>
    <row r="122" spans="1:11" ht="15" customHeight="1" x14ac:dyDescent="0.25">
      <c r="A122" s="312" t="s">
        <v>7</v>
      </c>
      <c r="B122" s="309" t="s">
        <v>19</v>
      </c>
      <c r="C122" s="313" t="s">
        <v>634</v>
      </c>
      <c r="D122" s="366" t="str">
        <f ca="1">IFERROR(OFFSET(Camp_List[P_Code],MATCH(Data_Demography_t[[#This Row],[Camp]],Camp_List[Camp Name],0)-1,0,1,1),"")</f>
        <v>MMR012CMP115</v>
      </c>
      <c r="E122" s="327" t="s">
        <v>882</v>
      </c>
      <c r="F122" s="325" t="s">
        <v>725</v>
      </c>
      <c r="G122" s="310">
        <v>1562</v>
      </c>
      <c r="H122" s="156">
        <f t="shared" si="3"/>
        <v>1562</v>
      </c>
      <c r="I122" s="313" t="s">
        <v>288</v>
      </c>
      <c r="J122" s="862">
        <v>42886</v>
      </c>
    </row>
    <row r="123" spans="1:11" ht="15" customHeight="1" x14ac:dyDescent="0.25">
      <c r="A123" s="312" t="s">
        <v>7</v>
      </c>
      <c r="B123" s="309" t="s">
        <v>19</v>
      </c>
      <c r="C123" s="313" t="s">
        <v>634</v>
      </c>
      <c r="D123" s="366" t="str">
        <f ca="1">IFERROR(OFFSET(Camp_List[P_Code],MATCH(Data_Demography_t[[#This Row],[Camp]],Camp_List[Camp Name],0)-1,0,1,1),"")</f>
        <v>MMR012CMP115</v>
      </c>
      <c r="E123" s="327" t="s">
        <v>858</v>
      </c>
      <c r="F123" s="325" t="s">
        <v>724</v>
      </c>
      <c r="G123" s="310">
        <v>259</v>
      </c>
      <c r="H123" s="156">
        <f t="shared" si="3"/>
        <v>-259</v>
      </c>
      <c r="I123" s="313" t="s">
        <v>288</v>
      </c>
      <c r="J123" s="862">
        <v>42886</v>
      </c>
    </row>
    <row r="124" spans="1:11" ht="15" customHeight="1" x14ac:dyDescent="0.25">
      <c r="A124" s="312" t="s">
        <v>7</v>
      </c>
      <c r="B124" s="309" t="s">
        <v>19</v>
      </c>
      <c r="C124" s="313" t="s">
        <v>634</v>
      </c>
      <c r="D124" s="366" t="str">
        <f ca="1">IFERROR(OFFSET(Camp_List[P_Code],MATCH(Data_Demography_t[[#This Row],[Camp]],Camp_List[Camp Name],0)-1,0,1,1),"")</f>
        <v>MMR012CMP115</v>
      </c>
      <c r="E124" s="327" t="s">
        <v>858</v>
      </c>
      <c r="F124" s="325" t="s">
        <v>725</v>
      </c>
      <c r="G124" s="310">
        <v>319</v>
      </c>
      <c r="H124" s="156">
        <f t="shared" si="3"/>
        <v>319</v>
      </c>
      <c r="I124" s="313" t="s">
        <v>288</v>
      </c>
      <c r="J124" s="862">
        <v>42886</v>
      </c>
    </row>
    <row r="125" spans="1:11" ht="15" customHeight="1" x14ac:dyDescent="0.25">
      <c r="A125" s="312" t="s">
        <v>7</v>
      </c>
      <c r="B125" s="309" t="s">
        <v>19</v>
      </c>
      <c r="C125" s="309" t="s">
        <v>635</v>
      </c>
      <c r="D125" s="366" t="str">
        <f ca="1">IFERROR(OFFSET(Camp_List[P_Code],MATCH(Data_Demography_t[[#This Row],[Camp]],Camp_List[Camp Name],0)-1,0,1,1),"")</f>
        <v>MMR012CMP116</v>
      </c>
      <c r="E125" s="483" t="s">
        <v>1146</v>
      </c>
      <c r="F125" s="313" t="s">
        <v>724</v>
      </c>
      <c r="G125" s="310">
        <v>1326</v>
      </c>
      <c r="H125" s="156">
        <f t="shared" si="2"/>
        <v>-1326</v>
      </c>
      <c r="I125" s="309" t="s">
        <v>623</v>
      </c>
      <c r="J125" s="862">
        <v>42886</v>
      </c>
    </row>
    <row r="126" spans="1:11" ht="15" customHeight="1" x14ac:dyDescent="0.25">
      <c r="A126" s="312" t="s">
        <v>7</v>
      </c>
      <c r="B126" s="309" t="s">
        <v>19</v>
      </c>
      <c r="C126" s="309" t="s">
        <v>635</v>
      </c>
      <c r="D126" s="366" t="str">
        <f ca="1">IFERROR(OFFSET(Camp_List[P_Code],MATCH(Data_Demography_t[[#This Row],[Camp]],Camp_List[Camp Name],0)-1,0,1,1),"")</f>
        <v>MMR012CMP116</v>
      </c>
      <c r="E126" s="483" t="s">
        <v>1146</v>
      </c>
      <c r="F126" s="353" t="s">
        <v>725</v>
      </c>
      <c r="G126" s="310">
        <v>1278</v>
      </c>
      <c r="H126" s="156">
        <f t="shared" si="2"/>
        <v>1278</v>
      </c>
      <c r="I126" s="309" t="s">
        <v>623</v>
      </c>
      <c r="J126" s="862">
        <v>42886</v>
      </c>
    </row>
    <row r="127" spans="1:11" ht="15" customHeight="1" x14ac:dyDescent="0.25">
      <c r="A127" s="312" t="s">
        <v>7</v>
      </c>
      <c r="B127" s="309" t="s">
        <v>19</v>
      </c>
      <c r="C127" s="309" t="s">
        <v>635</v>
      </c>
      <c r="D127" s="366" t="str">
        <f ca="1">IFERROR(OFFSET(Camp_List[P_Code],MATCH(Data_Demography_t[[#This Row],[Camp]],Camp_List[Camp Name],0)-1,0,1,1),"")</f>
        <v>MMR012CMP116</v>
      </c>
      <c r="E127" s="483" t="s">
        <v>880</v>
      </c>
      <c r="F127" s="313" t="s">
        <v>724</v>
      </c>
      <c r="G127" s="310">
        <v>1239</v>
      </c>
      <c r="H127" s="156">
        <f t="shared" si="2"/>
        <v>-1239</v>
      </c>
      <c r="I127" s="309" t="s">
        <v>623</v>
      </c>
      <c r="J127" s="862">
        <v>42886</v>
      </c>
    </row>
    <row r="128" spans="1:11" ht="15" customHeight="1" x14ac:dyDescent="0.25">
      <c r="A128" s="312" t="s">
        <v>7</v>
      </c>
      <c r="B128" s="309" t="s">
        <v>19</v>
      </c>
      <c r="C128" s="309" t="s">
        <v>635</v>
      </c>
      <c r="D128" s="366" t="str">
        <f ca="1">IFERROR(OFFSET(Camp_List[P_Code],MATCH(Data_Demography_t[[#This Row],[Camp]],Camp_List[Camp Name],0)-1,0,1,1),"")</f>
        <v>MMR012CMP116</v>
      </c>
      <c r="E128" s="483" t="s">
        <v>880</v>
      </c>
      <c r="F128" s="353" t="s">
        <v>725</v>
      </c>
      <c r="G128" s="310">
        <v>1111</v>
      </c>
      <c r="H128" s="156">
        <f t="shared" si="2"/>
        <v>1111</v>
      </c>
      <c r="I128" s="309" t="s">
        <v>623</v>
      </c>
      <c r="J128" s="862">
        <v>42886</v>
      </c>
    </row>
    <row r="129" spans="1:11" ht="15" customHeight="1" x14ac:dyDescent="0.25">
      <c r="A129" s="312" t="s">
        <v>7</v>
      </c>
      <c r="B129" s="309" t="s">
        <v>19</v>
      </c>
      <c r="C129" s="309" t="s">
        <v>635</v>
      </c>
      <c r="D129" s="366" t="str">
        <f ca="1">IFERROR(OFFSET(Camp_List[P_Code],MATCH(Data_Demography_t[[#This Row],[Camp]],Camp_List[Camp Name],0)-1,0,1,1),"")</f>
        <v>MMR012CMP116</v>
      </c>
      <c r="E129" s="311" t="s">
        <v>655</v>
      </c>
      <c r="F129" s="313" t="s">
        <v>724</v>
      </c>
      <c r="G129" s="310">
        <v>853</v>
      </c>
      <c r="H129" s="156">
        <f t="shared" si="2"/>
        <v>-853</v>
      </c>
      <c r="I129" s="309" t="s">
        <v>623</v>
      </c>
      <c r="J129" s="862">
        <v>42886</v>
      </c>
    </row>
    <row r="130" spans="1:11" ht="15" customHeight="1" x14ac:dyDescent="0.25">
      <c r="A130" s="312" t="s">
        <v>7</v>
      </c>
      <c r="B130" s="309" t="s">
        <v>19</v>
      </c>
      <c r="C130" s="309" t="s">
        <v>635</v>
      </c>
      <c r="D130" s="366" t="str">
        <f ca="1">IFERROR(OFFSET(Camp_List[P_Code],MATCH(Data_Demography_t[[#This Row],[Camp]],Camp_List[Camp Name],0)-1,0,1,1),"")</f>
        <v>MMR012CMP116</v>
      </c>
      <c r="E130" s="311" t="s">
        <v>655</v>
      </c>
      <c r="F130" s="353" t="s">
        <v>725</v>
      </c>
      <c r="G130" s="310">
        <v>815</v>
      </c>
      <c r="H130" s="156">
        <f t="shared" si="2"/>
        <v>815</v>
      </c>
      <c r="I130" s="309" t="s">
        <v>623</v>
      </c>
      <c r="J130" s="862">
        <v>42886</v>
      </c>
    </row>
    <row r="131" spans="1:11" s="789" customFormat="1" ht="15" customHeight="1" x14ac:dyDescent="0.25">
      <c r="A131" s="312" t="s">
        <v>7</v>
      </c>
      <c r="B131" s="309" t="s">
        <v>19</v>
      </c>
      <c r="C131" s="309" t="s">
        <v>635</v>
      </c>
      <c r="D131" s="366" t="str">
        <f ca="1">IFERROR(OFFSET(Camp_List[P_Code],MATCH(Data_Demography_t[[#This Row],[Camp]],Camp_List[Camp Name],0)-1,0,1,1),"")</f>
        <v>MMR012CMP116</v>
      </c>
      <c r="E131" s="314" t="s">
        <v>881</v>
      </c>
      <c r="F131" s="313" t="s">
        <v>724</v>
      </c>
      <c r="G131" s="310">
        <v>738</v>
      </c>
      <c r="H131" s="156">
        <f t="shared" si="2"/>
        <v>-738</v>
      </c>
      <c r="I131" s="309" t="s">
        <v>623</v>
      </c>
      <c r="J131" s="862">
        <v>42886</v>
      </c>
      <c r="K131" s="304"/>
    </row>
    <row r="132" spans="1:11" s="789" customFormat="1" ht="15" customHeight="1" x14ac:dyDescent="0.25">
      <c r="A132" s="312" t="s">
        <v>7</v>
      </c>
      <c r="B132" s="309" t="s">
        <v>19</v>
      </c>
      <c r="C132" s="309" t="s">
        <v>635</v>
      </c>
      <c r="D132" s="366" t="str">
        <f ca="1">IFERROR(OFFSET(Camp_List[P_Code],MATCH(Data_Demography_t[[#This Row],[Camp]],Camp_List[Camp Name],0)-1,0,1,1),"")</f>
        <v>MMR012CMP116</v>
      </c>
      <c r="E132" s="314" t="s">
        <v>881</v>
      </c>
      <c r="F132" s="353" t="s">
        <v>725</v>
      </c>
      <c r="G132" s="310">
        <v>1093</v>
      </c>
      <c r="H132" s="156">
        <f t="shared" si="2"/>
        <v>1093</v>
      </c>
      <c r="I132" s="309" t="s">
        <v>623</v>
      </c>
      <c r="J132" s="862">
        <v>42886</v>
      </c>
      <c r="K132" s="304"/>
    </row>
    <row r="133" spans="1:11" ht="15" customHeight="1" x14ac:dyDescent="0.25">
      <c r="A133" s="351" t="s">
        <v>7</v>
      </c>
      <c r="B133" s="352" t="s">
        <v>19</v>
      </c>
      <c r="C133" s="355" t="s">
        <v>635</v>
      </c>
      <c r="D133" s="366" t="str">
        <f ca="1">IFERROR(OFFSET(Camp_List[P_Code],MATCH(Data_Demography_t[[#This Row],[Camp]],Camp_List[Camp Name],0)-1,0,1,1),"")</f>
        <v>MMR012CMP116</v>
      </c>
      <c r="E133" s="356" t="s">
        <v>882</v>
      </c>
      <c r="F133" s="357" t="s">
        <v>724</v>
      </c>
      <c r="G133" s="322">
        <v>1334</v>
      </c>
      <c r="H133" s="156">
        <f t="shared" si="2"/>
        <v>-1334</v>
      </c>
      <c r="I133" s="355" t="s">
        <v>623</v>
      </c>
      <c r="J133" s="862">
        <v>42886</v>
      </c>
    </row>
    <row r="134" spans="1:11" ht="15" customHeight="1" x14ac:dyDescent="0.25">
      <c r="A134" s="351" t="s">
        <v>7</v>
      </c>
      <c r="B134" s="352" t="s">
        <v>19</v>
      </c>
      <c r="C134" s="355" t="s">
        <v>635</v>
      </c>
      <c r="D134" s="366" t="str">
        <f ca="1">IFERROR(OFFSET(Camp_List[P_Code],MATCH(Data_Demography_t[[#This Row],[Camp]],Camp_List[Camp Name],0)-1,0,1,1),"")</f>
        <v>MMR012CMP116</v>
      </c>
      <c r="E134" s="356" t="s">
        <v>882</v>
      </c>
      <c r="F134" s="357" t="s">
        <v>725</v>
      </c>
      <c r="G134" s="322">
        <v>1519</v>
      </c>
      <c r="H134" s="156">
        <f t="shared" si="2"/>
        <v>1519</v>
      </c>
      <c r="I134" s="355" t="s">
        <v>623</v>
      </c>
      <c r="J134" s="862">
        <v>42886</v>
      </c>
    </row>
    <row r="135" spans="1:11" ht="15" customHeight="1" x14ac:dyDescent="0.25">
      <c r="A135" s="351" t="s">
        <v>7</v>
      </c>
      <c r="B135" s="352" t="s">
        <v>19</v>
      </c>
      <c r="C135" s="355" t="s">
        <v>635</v>
      </c>
      <c r="D135" s="366" t="str">
        <f ca="1">IFERROR(OFFSET(Camp_List[P_Code],MATCH(Data_Demography_t[[#This Row],[Camp]],Camp_List[Camp Name],0)-1,0,1,1),"")</f>
        <v>MMR012CMP116</v>
      </c>
      <c r="E135" s="356" t="s">
        <v>858</v>
      </c>
      <c r="F135" s="357" t="s">
        <v>724</v>
      </c>
      <c r="G135" s="322">
        <v>175</v>
      </c>
      <c r="H135" s="156">
        <f t="shared" si="2"/>
        <v>-175</v>
      </c>
      <c r="I135" s="355" t="s">
        <v>623</v>
      </c>
      <c r="J135" s="862">
        <v>42886</v>
      </c>
    </row>
    <row r="136" spans="1:11" ht="15" customHeight="1" x14ac:dyDescent="0.25">
      <c r="A136" s="351" t="s">
        <v>7</v>
      </c>
      <c r="B136" s="352" t="s">
        <v>19</v>
      </c>
      <c r="C136" s="355" t="s">
        <v>635</v>
      </c>
      <c r="D136" s="366" t="str">
        <f ca="1">IFERROR(OFFSET(Camp_List[P_Code],MATCH(Data_Demography_t[[#This Row],[Camp]],Camp_List[Camp Name],0)-1,0,1,1),"")</f>
        <v>MMR012CMP116</v>
      </c>
      <c r="E136" s="356" t="s">
        <v>858</v>
      </c>
      <c r="F136" s="357" t="s">
        <v>725</v>
      </c>
      <c r="G136" s="322">
        <v>178</v>
      </c>
      <c r="H136" s="156">
        <f t="shared" si="2"/>
        <v>178</v>
      </c>
      <c r="I136" s="355" t="s">
        <v>623</v>
      </c>
      <c r="J136" s="862">
        <v>42886</v>
      </c>
    </row>
    <row r="137" spans="1:11" s="264" customFormat="1" ht="15" customHeight="1" x14ac:dyDescent="0.25">
      <c r="A137" s="312" t="s">
        <v>7</v>
      </c>
      <c r="B137" s="309" t="s">
        <v>19</v>
      </c>
      <c r="C137" s="313" t="s">
        <v>67</v>
      </c>
      <c r="D137" s="366" t="str">
        <f ca="1">IFERROR(OFFSET(Camp_List[P_Code],MATCH(Data_Demography_t[[#This Row],[Camp]],Camp_List[Camp Name],0)-1,0,1,1),"")</f>
        <v>MMR012CMP045</v>
      </c>
      <c r="E137" s="483" t="s">
        <v>1146</v>
      </c>
      <c r="F137" s="313" t="s">
        <v>724</v>
      </c>
      <c r="G137" s="310">
        <v>1277</v>
      </c>
      <c r="H137" s="156">
        <f t="shared" ref="H137:H148" si="4">IF(F137="M",-G137,G137)</f>
        <v>-1277</v>
      </c>
      <c r="I137" s="313" t="s">
        <v>288</v>
      </c>
      <c r="J137" s="862">
        <v>42886</v>
      </c>
      <c r="K137" s="326"/>
    </row>
    <row r="138" spans="1:11" s="264" customFormat="1" ht="15" customHeight="1" x14ac:dyDescent="0.25">
      <c r="A138" s="312" t="s">
        <v>7</v>
      </c>
      <c r="B138" s="309" t="s">
        <v>19</v>
      </c>
      <c r="C138" s="313" t="s">
        <v>67</v>
      </c>
      <c r="D138" s="366" t="str">
        <f ca="1">IFERROR(OFFSET(Camp_List[P_Code],MATCH(Data_Demography_t[[#This Row],[Camp]],Camp_List[Camp Name],0)-1,0,1,1),"")</f>
        <v>MMR012CMP045</v>
      </c>
      <c r="E138" s="483" t="s">
        <v>1146</v>
      </c>
      <c r="F138" s="353" t="s">
        <v>725</v>
      </c>
      <c r="G138" s="310">
        <v>1293</v>
      </c>
      <c r="H138" s="156">
        <f t="shared" si="4"/>
        <v>1293</v>
      </c>
      <c r="I138" s="313" t="s">
        <v>288</v>
      </c>
      <c r="J138" s="862">
        <v>42886</v>
      </c>
      <c r="K138" s="326"/>
    </row>
    <row r="139" spans="1:11" s="264" customFormat="1" ht="15" customHeight="1" x14ac:dyDescent="0.25">
      <c r="A139" s="312" t="s">
        <v>7</v>
      </c>
      <c r="B139" s="309" t="s">
        <v>19</v>
      </c>
      <c r="C139" s="313" t="s">
        <v>67</v>
      </c>
      <c r="D139" s="366" t="str">
        <f ca="1">IFERROR(OFFSET(Camp_List[P_Code],MATCH(Data_Demography_t[[#This Row],[Camp]],Camp_List[Camp Name],0)-1,0,1,1),"")</f>
        <v>MMR012CMP045</v>
      </c>
      <c r="E139" s="483" t="s">
        <v>880</v>
      </c>
      <c r="F139" s="313" t="s">
        <v>724</v>
      </c>
      <c r="G139" s="310">
        <v>1337</v>
      </c>
      <c r="H139" s="156">
        <f t="shared" si="4"/>
        <v>-1337</v>
      </c>
      <c r="I139" s="313" t="s">
        <v>288</v>
      </c>
      <c r="J139" s="862">
        <v>42886</v>
      </c>
      <c r="K139" s="326"/>
    </row>
    <row r="140" spans="1:11" s="264" customFormat="1" ht="15" customHeight="1" x14ac:dyDescent="0.25">
      <c r="A140" s="312" t="s">
        <v>7</v>
      </c>
      <c r="B140" s="309" t="s">
        <v>19</v>
      </c>
      <c r="C140" s="313" t="s">
        <v>67</v>
      </c>
      <c r="D140" s="366" t="str">
        <f ca="1">IFERROR(OFFSET(Camp_List[P_Code],MATCH(Data_Demography_t[[#This Row],[Camp]],Camp_List[Camp Name],0)-1,0,1,1),"")</f>
        <v>MMR012CMP045</v>
      </c>
      <c r="E140" s="483" t="s">
        <v>880</v>
      </c>
      <c r="F140" s="353" t="s">
        <v>725</v>
      </c>
      <c r="G140" s="310">
        <v>1219</v>
      </c>
      <c r="H140" s="156">
        <f t="shared" si="4"/>
        <v>1219</v>
      </c>
      <c r="I140" s="313" t="s">
        <v>288</v>
      </c>
      <c r="J140" s="862">
        <v>42886</v>
      </c>
      <c r="K140" s="326"/>
    </row>
    <row r="141" spans="1:11" s="264" customFormat="1" ht="15" customHeight="1" x14ac:dyDescent="0.25">
      <c r="A141" s="312" t="s">
        <v>7</v>
      </c>
      <c r="B141" s="309" t="s">
        <v>19</v>
      </c>
      <c r="C141" s="313" t="s">
        <v>67</v>
      </c>
      <c r="D141" s="366" t="str">
        <f ca="1">IFERROR(OFFSET(Camp_List[P_Code],MATCH(Data_Demography_t[[#This Row],[Camp]],Camp_List[Camp Name],0)-1,0,1,1),"")</f>
        <v>MMR012CMP045</v>
      </c>
      <c r="E141" s="311" t="s">
        <v>655</v>
      </c>
      <c r="F141" s="313" t="s">
        <v>724</v>
      </c>
      <c r="G141" s="928">
        <v>852</v>
      </c>
      <c r="H141" s="156">
        <f t="shared" si="4"/>
        <v>-852</v>
      </c>
      <c r="I141" s="313" t="s">
        <v>288</v>
      </c>
      <c r="J141" s="862">
        <v>42886</v>
      </c>
      <c r="K141" s="326"/>
    </row>
    <row r="142" spans="1:11" s="264" customFormat="1" ht="15" customHeight="1" x14ac:dyDescent="0.25">
      <c r="A142" s="312" t="s">
        <v>7</v>
      </c>
      <c r="B142" s="309" t="s">
        <v>19</v>
      </c>
      <c r="C142" s="313" t="s">
        <v>67</v>
      </c>
      <c r="D142" s="366" t="str">
        <f ca="1">IFERROR(OFFSET(Camp_List[P_Code],MATCH(Data_Demography_t[[#This Row],[Camp]],Camp_List[Camp Name],0)-1,0,1,1),"")</f>
        <v>MMR012CMP045</v>
      </c>
      <c r="E142" s="311" t="s">
        <v>655</v>
      </c>
      <c r="F142" s="353" t="s">
        <v>725</v>
      </c>
      <c r="G142" s="928">
        <v>844</v>
      </c>
      <c r="H142" s="156">
        <f t="shared" si="4"/>
        <v>844</v>
      </c>
      <c r="I142" s="313" t="s">
        <v>288</v>
      </c>
      <c r="J142" s="862">
        <v>42886</v>
      </c>
      <c r="K142" s="326"/>
    </row>
    <row r="143" spans="1:11" s="264" customFormat="1" ht="15" customHeight="1" x14ac:dyDescent="0.25">
      <c r="A143" s="312" t="s">
        <v>7</v>
      </c>
      <c r="B143" s="309" t="s">
        <v>19</v>
      </c>
      <c r="C143" s="313" t="s">
        <v>67</v>
      </c>
      <c r="D143" s="366" t="str">
        <f ca="1">IFERROR(OFFSET(Camp_List[P_Code],MATCH(Data_Demography_t[[#This Row],[Camp]],Camp_List[Camp Name],0)-1,0,1,1),"")</f>
        <v>MMR012CMP045</v>
      </c>
      <c r="E143" s="314" t="s">
        <v>881</v>
      </c>
      <c r="F143" s="313" t="s">
        <v>724</v>
      </c>
      <c r="G143" s="310">
        <v>901</v>
      </c>
      <c r="H143" s="156">
        <f t="shared" si="4"/>
        <v>-901</v>
      </c>
      <c r="I143" s="313" t="s">
        <v>288</v>
      </c>
      <c r="J143" s="862">
        <v>42886</v>
      </c>
      <c r="K143" s="326"/>
    </row>
    <row r="144" spans="1:11" s="264" customFormat="1" ht="15" customHeight="1" x14ac:dyDescent="0.25">
      <c r="A144" s="312" t="s">
        <v>7</v>
      </c>
      <c r="B144" s="309" t="s">
        <v>19</v>
      </c>
      <c r="C144" s="313" t="s">
        <v>67</v>
      </c>
      <c r="D144" s="366" t="str">
        <f ca="1">IFERROR(OFFSET(Camp_List[P_Code],MATCH(Data_Demography_t[[#This Row],[Camp]],Camp_List[Camp Name],0)-1,0,1,1),"")</f>
        <v>MMR012CMP045</v>
      </c>
      <c r="E144" s="314" t="s">
        <v>881</v>
      </c>
      <c r="F144" s="353" t="s">
        <v>725</v>
      </c>
      <c r="G144" s="310">
        <v>1275</v>
      </c>
      <c r="H144" s="156">
        <f t="shared" si="4"/>
        <v>1275</v>
      </c>
      <c r="I144" s="313" t="s">
        <v>288</v>
      </c>
      <c r="J144" s="862">
        <v>42886</v>
      </c>
      <c r="K144" s="326"/>
    </row>
    <row r="145" spans="1:11" s="264" customFormat="1" ht="15" customHeight="1" x14ac:dyDescent="0.25">
      <c r="A145" s="312" t="s">
        <v>7</v>
      </c>
      <c r="B145" s="309" t="s">
        <v>19</v>
      </c>
      <c r="C145" s="313" t="s">
        <v>67</v>
      </c>
      <c r="D145" s="366" t="str">
        <f ca="1">IFERROR(OFFSET(Camp_List[P_Code],MATCH(Data_Demography_t[[#This Row],[Camp]],Camp_List[Camp Name],0)-1,0,1,1),"")</f>
        <v>MMR012CMP045</v>
      </c>
      <c r="E145" s="314" t="s">
        <v>882</v>
      </c>
      <c r="F145" s="313" t="s">
        <v>724</v>
      </c>
      <c r="G145" s="310">
        <v>1335</v>
      </c>
      <c r="H145" s="156">
        <f t="shared" si="4"/>
        <v>-1335</v>
      </c>
      <c r="I145" s="313" t="s">
        <v>288</v>
      </c>
      <c r="J145" s="862">
        <v>42886</v>
      </c>
      <c r="K145" s="326"/>
    </row>
    <row r="146" spans="1:11" s="264" customFormat="1" ht="15" customHeight="1" x14ac:dyDescent="0.25">
      <c r="A146" s="312" t="s">
        <v>7</v>
      </c>
      <c r="B146" s="309" t="s">
        <v>19</v>
      </c>
      <c r="C146" s="313" t="s">
        <v>67</v>
      </c>
      <c r="D146" s="366" t="str">
        <f ca="1">IFERROR(OFFSET(Camp_List[P_Code],MATCH(Data_Demography_t[[#This Row],[Camp]],Camp_List[Camp Name],0)-1,0,1,1),"")</f>
        <v>MMR012CMP045</v>
      </c>
      <c r="E146" s="314" t="s">
        <v>882</v>
      </c>
      <c r="F146" s="353" t="s">
        <v>725</v>
      </c>
      <c r="G146" s="310">
        <v>1475</v>
      </c>
      <c r="H146" s="156">
        <f t="shared" si="4"/>
        <v>1475</v>
      </c>
      <c r="I146" s="313" t="s">
        <v>288</v>
      </c>
      <c r="J146" s="862">
        <v>42886</v>
      </c>
      <c r="K146" s="326"/>
    </row>
    <row r="147" spans="1:11" s="264" customFormat="1" ht="15" customHeight="1" x14ac:dyDescent="0.25">
      <c r="A147" s="312" t="s">
        <v>7</v>
      </c>
      <c r="B147" s="313" t="s">
        <v>19</v>
      </c>
      <c r="C147" s="313" t="s">
        <v>67</v>
      </c>
      <c r="D147" s="366" t="str">
        <f ca="1">IFERROR(OFFSET(Camp_List[P_Code],MATCH(Data_Demography_t[[#This Row],[Camp]],Camp_List[Camp Name],0)-1,0,1,1),"")</f>
        <v>MMR012CMP045</v>
      </c>
      <c r="E147" s="327" t="s">
        <v>858</v>
      </c>
      <c r="F147" s="325" t="s">
        <v>724</v>
      </c>
      <c r="G147" s="310">
        <v>190</v>
      </c>
      <c r="H147" s="156">
        <f t="shared" si="4"/>
        <v>-190</v>
      </c>
      <c r="I147" s="313" t="s">
        <v>288</v>
      </c>
      <c r="J147" s="862">
        <v>42886</v>
      </c>
      <c r="K147" s="326"/>
    </row>
    <row r="148" spans="1:11" s="264" customFormat="1" ht="17.25" customHeight="1" x14ac:dyDescent="0.25">
      <c r="A148" s="312" t="s">
        <v>7</v>
      </c>
      <c r="B148" s="313" t="s">
        <v>19</v>
      </c>
      <c r="C148" s="313" t="s">
        <v>67</v>
      </c>
      <c r="D148" s="366" t="str">
        <f ca="1">IFERROR(OFFSET(Camp_List[P_Code],MATCH(Data_Demography_t[[#This Row],[Camp]],Camp_List[Camp Name],0)-1,0,1,1),"")</f>
        <v>MMR012CMP045</v>
      </c>
      <c r="E148" s="327" t="s">
        <v>858</v>
      </c>
      <c r="F148" s="325" t="s">
        <v>725</v>
      </c>
      <c r="G148" s="310">
        <v>180</v>
      </c>
      <c r="H148" s="156">
        <f t="shared" si="4"/>
        <v>180</v>
      </c>
      <c r="I148" s="313" t="s">
        <v>288</v>
      </c>
      <c r="J148" s="862">
        <v>42886</v>
      </c>
      <c r="K148" s="326"/>
    </row>
    <row r="149" spans="1:11" s="264" customFormat="1" ht="17.25" customHeight="1" x14ac:dyDescent="0.25">
      <c r="A149" s="312" t="s">
        <v>7</v>
      </c>
      <c r="B149" s="309" t="s">
        <v>14</v>
      </c>
      <c r="C149" s="313" t="s">
        <v>43</v>
      </c>
      <c r="D149" s="366" t="str">
        <f ca="1">IFERROR(OFFSET(Camp_List[P_Code],MATCH(Data_Demography_t[[#This Row],[Camp]],Camp_List[Camp Name],0)-1,0,1,1),"")</f>
        <v>MMR012CMP019</v>
      </c>
      <c r="E149" s="483" t="s">
        <v>1146</v>
      </c>
      <c r="F149" s="313" t="s">
        <v>724</v>
      </c>
      <c r="G149" s="310">
        <v>206</v>
      </c>
      <c r="H149" s="156">
        <f t="shared" ref="H149:H150" si="5">IF(F149="M",-G149,G149)</f>
        <v>-206</v>
      </c>
      <c r="I149" s="313" t="s">
        <v>288</v>
      </c>
      <c r="J149" s="861">
        <v>42886</v>
      </c>
      <c r="K149" s="326"/>
    </row>
    <row r="150" spans="1:11" s="264" customFormat="1" ht="15" customHeight="1" x14ac:dyDescent="0.25">
      <c r="A150" s="312" t="s">
        <v>7</v>
      </c>
      <c r="B150" s="309" t="s">
        <v>14</v>
      </c>
      <c r="C150" s="313" t="s">
        <v>43</v>
      </c>
      <c r="D150" s="366" t="str">
        <f ca="1">IFERROR(OFFSET(Camp_List[P_Code],MATCH(Data_Demography_t[[#This Row],[Camp]],Camp_List[Camp Name],0)-1,0,1,1),"")</f>
        <v>MMR012CMP019</v>
      </c>
      <c r="E150" s="483" t="s">
        <v>1146</v>
      </c>
      <c r="F150" s="353" t="s">
        <v>725</v>
      </c>
      <c r="G150" s="310">
        <v>211</v>
      </c>
      <c r="H150" s="156">
        <f t="shared" si="5"/>
        <v>211</v>
      </c>
      <c r="I150" s="313" t="s">
        <v>288</v>
      </c>
      <c r="J150" s="861">
        <v>42886</v>
      </c>
      <c r="K150" s="326"/>
    </row>
    <row r="151" spans="1:11" ht="15" customHeight="1" x14ac:dyDescent="0.25">
      <c r="A151" s="312" t="s">
        <v>7</v>
      </c>
      <c r="B151" s="309" t="s">
        <v>14</v>
      </c>
      <c r="C151" s="313" t="s">
        <v>43</v>
      </c>
      <c r="D151" s="366" t="str">
        <f ca="1">IFERROR(OFFSET(Camp_List[P_Code],MATCH(Data_Demography_t[[#This Row],[Camp]],Camp_List[Camp Name],0)-1,0,1,1),"")</f>
        <v>MMR012CMP019</v>
      </c>
      <c r="E151" s="483" t="s">
        <v>880</v>
      </c>
      <c r="F151" s="313" t="s">
        <v>724</v>
      </c>
      <c r="G151" s="310">
        <v>198</v>
      </c>
      <c r="H151" s="156">
        <f t="shared" ref="H151:H196" si="6">IF(F151="M",-G151,G151)</f>
        <v>-198</v>
      </c>
      <c r="I151" s="313" t="s">
        <v>288</v>
      </c>
      <c r="J151" s="861">
        <v>42886</v>
      </c>
    </row>
    <row r="152" spans="1:11" ht="15" customHeight="1" x14ac:dyDescent="0.25">
      <c r="A152" s="312" t="s">
        <v>7</v>
      </c>
      <c r="B152" s="309" t="s">
        <v>14</v>
      </c>
      <c r="C152" s="313" t="s">
        <v>43</v>
      </c>
      <c r="D152" s="366" t="str">
        <f ca="1">IFERROR(OFFSET(Camp_List[P_Code],MATCH(Data_Demography_t[[#This Row],[Camp]],Camp_List[Camp Name],0)-1,0,1,1),"")</f>
        <v>MMR012CMP019</v>
      </c>
      <c r="E152" s="483" t="s">
        <v>880</v>
      </c>
      <c r="F152" s="353" t="s">
        <v>725</v>
      </c>
      <c r="G152" s="310">
        <v>218</v>
      </c>
      <c r="H152" s="156">
        <f t="shared" si="6"/>
        <v>218</v>
      </c>
      <c r="I152" s="313" t="s">
        <v>288</v>
      </c>
      <c r="J152" s="861">
        <v>42886</v>
      </c>
    </row>
    <row r="153" spans="1:11" ht="15" customHeight="1" x14ac:dyDescent="0.25">
      <c r="A153" s="312" t="s">
        <v>7</v>
      </c>
      <c r="B153" s="309" t="s">
        <v>14</v>
      </c>
      <c r="C153" s="313" t="s">
        <v>43</v>
      </c>
      <c r="D153" s="366" t="str">
        <f ca="1">IFERROR(OFFSET(Camp_List[P_Code],MATCH(Data_Demography_t[[#This Row],[Camp]],Camp_List[Camp Name],0)-1,0,1,1),"")</f>
        <v>MMR012CMP019</v>
      </c>
      <c r="E153" s="311" t="s">
        <v>655</v>
      </c>
      <c r="F153" s="313" t="s">
        <v>724</v>
      </c>
      <c r="G153" s="310">
        <v>135</v>
      </c>
      <c r="H153" s="156">
        <f t="shared" si="6"/>
        <v>-135</v>
      </c>
      <c r="I153" s="313" t="s">
        <v>288</v>
      </c>
      <c r="J153" s="861">
        <v>42886</v>
      </c>
    </row>
    <row r="154" spans="1:11" ht="15" customHeight="1" x14ac:dyDescent="0.25">
      <c r="A154" s="312" t="s">
        <v>7</v>
      </c>
      <c r="B154" s="309" t="s">
        <v>14</v>
      </c>
      <c r="C154" s="313" t="s">
        <v>43</v>
      </c>
      <c r="D154" s="366" t="str">
        <f ca="1">IFERROR(OFFSET(Camp_List[P_Code],MATCH(Data_Demography_t[[#This Row],[Camp]],Camp_List[Camp Name],0)-1,0,1,1),"")</f>
        <v>MMR012CMP019</v>
      </c>
      <c r="E154" s="311" t="s">
        <v>655</v>
      </c>
      <c r="F154" s="353" t="s">
        <v>725</v>
      </c>
      <c r="G154" s="310">
        <v>139</v>
      </c>
      <c r="H154" s="156">
        <f t="shared" si="6"/>
        <v>139</v>
      </c>
      <c r="I154" s="313" t="s">
        <v>288</v>
      </c>
      <c r="J154" s="861">
        <v>42886</v>
      </c>
    </row>
    <row r="155" spans="1:11" ht="15" customHeight="1" x14ac:dyDescent="0.25">
      <c r="A155" s="312" t="s">
        <v>7</v>
      </c>
      <c r="B155" s="309" t="s">
        <v>14</v>
      </c>
      <c r="C155" s="313" t="s">
        <v>43</v>
      </c>
      <c r="D155" s="366" t="str">
        <f ca="1">IFERROR(OFFSET(Camp_List[P_Code],MATCH(Data_Demography_t[[#This Row],[Camp]],Camp_List[Camp Name],0)-1,0,1,1),"")</f>
        <v>MMR012CMP019</v>
      </c>
      <c r="E155" s="314" t="s">
        <v>881</v>
      </c>
      <c r="F155" s="313" t="s">
        <v>724</v>
      </c>
      <c r="G155" s="310">
        <v>0</v>
      </c>
      <c r="H155" s="156">
        <f t="shared" si="6"/>
        <v>0</v>
      </c>
      <c r="I155" s="313" t="s">
        <v>288</v>
      </c>
      <c r="J155" s="861">
        <v>42886</v>
      </c>
    </row>
    <row r="156" spans="1:11" ht="15" customHeight="1" x14ac:dyDescent="0.25">
      <c r="A156" s="312" t="s">
        <v>7</v>
      </c>
      <c r="B156" s="309" t="s">
        <v>14</v>
      </c>
      <c r="C156" s="313" t="s">
        <v>43</v>
      </c>
      <c r="D156" s="366" t="str">
        <f ca="1">IFERROR(OFFSET(Camp_List[P_Code],MATCH(Data_Demography_t[[#This Row],[Camp]],Camp_List[Camp Name],0)-1,0,1,1),"")</f>
        <v>MMR012CMP019</v>
      </c>
      <c r="E156" s="314" t="s">
        <v>881</v>
      </c>
      <c r="F156" s="353" t="s">
        <v>725</v>
      </c>
      <c r="G156" s="310">
        <v>0</v>
      </c>
      <c r="H156" s="156">
        <f t="shared" si="6"/>
        <v>0</v>
      </c>
      <c r="I156" s="313" t="s">
        <v>288</v>
      </c>
      <c r="J156" s="861">
        <v>42886</v>
      </c>
    </row>
    <row r="157" spans="1:11" s="789" customFormat="1" ht="15" customHeight="1" x14ac:dyDescent="0.25">
      <c r="A157" s="312" t="s">
        <v>7</v>
      </c>
      <c r="B157" s="309" t="s">
        <v>14</v>
      </c>
      <c r="C157" s="313" t="s">
        <v>43</v>
      </c>
      <c r="D157" s="366" t="str">
        <f ca="1">IFERROR(OFFSET(Camp_List[P_Code],MATCH(Data_Demography_t[[#This Row],[Camp]],Camp_List[Camp Name],0)-1,0,1,1),"")</f>
        <v>MMR012CMP019</v>
      </c>
      <c r="E157" s="314" t="s">
        <v>882</v>
      </c>
      <c r="F157" s="313" t="s">
        <v>724</v>
      </c>
      <c r="G157" s="310">
        <v>575</v>
      </c>
      <c r="H157" s="156">
        <f t="shared" si="6"/>
        <v>-575</v>
      </c>
      <c r="I157" s="313" t="s">
        <v>288</v>
      </c>
      <c r="J157" s="861">
        <v>42886</v>
      </c>
      <c r="K157" s="304"/>
    </row>
    <row r="158" spans="1:11" s="789" customFormat="1" ht="15" customHeight="1" x14ac:dyDescent="0.25">
      <c r="A158" s="312" t="s">
        <v>7</v>
      </c>
      <c r="B158" s="309" t="s">
        <v>14</v>
      </c>
      <c r="C158" s="313" t="s">
        <v>43</v>
      </c>
      <c r="D158" s="366" t="str">
        <f ca="1">IFERROR(OFFSET(Camp_List[P_Code],MATCH(Data_Demography_t[[#This Row],[Camp]],Camp_List[Camp Name],0)-1,0,1,1),"")</f>
        <v>MMR012CMP019</v>
      </c>
      <c r="E158" s="314" t="s">
        <v>882</v>
      </c>
      <c r="F158" s="353" t="s">
        <v>725</v>
      </c>
      <c r="G158" s="310">
        <v>641</v>
      </c>
      <c r="H158" s="156">
        <f t="shared" si="6"/>
        <v>641</v>
      </c>
      <c r="I158" s="313" t="s">
        <v>288</v>
      </c>
      <c r="J158" s="861">
        <v>42886</v>
      </c>
      <c r="K158" s="304"/>
    </row>
    <row r="159" spans="1:11" s="789" customFormat="1" ht="15" customHeight="1" x14ac:dyDescent="0.25">
      <c r="A159" s="312" t="s">
        <v>7</v>
      </c>
      <c r="B159" s="309" t="s">
        <v>14</v>
      </c>
      <c r="C159" s="313" t="s">
        <v>43</v>
      </c>
      <c r="D159" s="366" t="str">
        <f ca="1">IFERROR(OFFSET(Camp_List[P_Code],MATCH(Data_Demography_t[[#This Row],[Camp]],Camp_List[Camp Name],0)-1,0,1,1),"")</f>
        <v>MMR012CMP019</v>
      </c>
      <c r="E159" s="314" t="s">
        <v>858</v>
      </c>
      <c r="F159" s="315" t="s">
        <v>724</v>
      </c>
      <c r="G159" s="310">
        <v>35</v>
      </c>
      <c r="H159" s="156">
        <f t="shared" si="6"/>
        <v>-35</v>
      </c>
      <c r="I159" s="313" t="s">
        <v>288</v>
      </c>
      <c r="J159" s="861">
        <v>42886</v>
      </c>
      <c r="K159" s="304"/>
    </row>
    <row r="160" spans="1:11" s="789" customFormat="1" ht="15" customHeight="1" x14ac:dyDescent="0.25">
      <c r="A160" s="312" t="s">
        <v>7</v>
      </c>
      <c r="B160" s="309" t="s">
        <v>14</v>
      </c>
      <c r="C160" s="313" t="s">
        <v>43</v>
      </c>
      <c r="D160" s="366" t="str">
        <f ca="1">IFERROR(OFFSET(Camp_List[P_Code],MATCH(Data_Demography_t[[#This Row],[Camp]],Camp_List[Camp Name],0)-1,0,1,1),"")</f>
        <v>MMR012CMP019</v>
      </c>
      <c r="E160" s="314" t="s">
        <v>858</v>
      </c>
      <c r="F160" s="315" t="s">
        <v>725</v>
      </c>
      <c r="G160" s="310">
        <v>47</v>
      </c>
      <c r="H160" s="156">
        <f t="shared" si="6"/>
        <v>47</v>
      </c>
      <c r="I160" s="313" t="s">
        <v>288</v>
      </c>
      <c r="J160" s="861">
        <v>42886</v>
      </c>
      <c r="K160" s="304"/>
    </row>
    <row r="161" spans="1:11" ht="15" customHeight="1" x14ac:dyDescent="0.25">
      <c r="A161" s="312" t="s">
        <v>7</v>
      </c>
      <c r="B161" s="342" t="s">
        <v>866</v>
      </c>
      <c r="C161" s="353" t="s">
        <v>38</v>
      </c>
      <c r="D161" s="366" t="str">
        <f ca="1">IFERROR(OFFSET(Camp_List[P_Code],MATCH(Data_Demography_t[[#This Row],[Camp]],Camp_List[Camp Name],0)-1,0,1,1),"")</f>
        <v>MMR012CMP014</v>
      </c>
      <c r="E161" s="483" t="s">
        <v>1146</v>
      </c>
      <c r="F161" s="313" t="s">
        <v>724</v>
      </c>
      <c r="G161">
        <v>224</v>
      </c>
      <c r="H161" s="365">
        <f t="shared" si="6"/>
        <v>-224</v>
      </c>
      <c r="I161" s="362" t="s">
        <v>706</v>
      </c>
      <c r="J161" s="863">
        <v>42886</v>
      </c>
    </row>
    <row r="162" spans="1:11" ht="15" customHeight="1" x14ac:dyDescent="0.25">
      <c r="A162" s="312" t="s">
        <v>7</v>
      </c>
      <c r="B162" s="342" t="s">
        <v>866</v>
      </c>
      <c r="C162" s="353" t="s">
        <v>38</v>
      </c>
      <c r="D162" s="366" t="str">
        <f ca="1">IFERROR(OFFSET(Camp_List[P_Code],MATCH(Data_Demography_t[[#This Row],[Camp]],Camp_List[Camp Name],0)-1,0,1,1),"")</f>
        <v>MMR012CMP014</v>
      </c>
      <c r="E162" s="483" t="s">
        <v>1146</v>
      </c>
      <c r="F162" s="353" t="s">
        <v>725</v>
      </c>
      <c r="G162" s="927">
        <v>235</v>
      </c>
      <c r="H162" s="927">
        <v>218</v>
      </c>
      <c r="I162" s="362" t="s">
        <v>706</v>
      </c>
      <c r="J162" s="863">
        <v>42886</v>
      </c>
    </row>
    <row r="163" spans="1:11" ht="15" customHeight="1" x14ac:dyDescent="0.25">
      <c r="A163" s="312" t="s">
        <v>7</v>
      </c>
      <c r="B163" s="342" t="s">
        <v>866</v>
      </c>
      <c r="C163" s="353" t="s">
        <v>38</v>
      </c>
      <c r="D163" s="366" t="str">
        <f ca="1">IFERROR(OFFSET(Camp_List[P_Code],MATCH(Data_Demography_t[[#This Row],[Camp]],Camp_List[Camp Name],0)-1,0,1,1),"")</f>
        <v>MMR012CMP014</v>
      </c>
      <c r="E163" s="483" t="s">
        <v>880</v>
      </c>
      <c r="F163" s="313" t="s">
        <v>724</v>
      </c>
      <c r="G163" s="364">
        <v>236</v>
      </c>
      <c r="H163" s="365">
        <f t="shared" si="6"/>
        <v>-236</v>
      </c>
      <c r="I163" s="362" t="s">
        <v>706</v>
      </c>
      <c r="J163" s="863">
        <v>42886</v>
      </c>
    </row>
    <row r="164" spans="1:11" ht="15" customHeight="1" x14ac:dyDescent="0.25">
      <c r="A164" s="312" t="s">
        <v>7</v>
      </c>
      <c r="B164" s="342" t="s">
        <v>866</v>
      </c>
      <c r="C164" s="353" t="s">
        <v>38</v>
      </c>
      <c r="D164" s="366" t="str">
        <f ca="1">IFERROR(OFFSET(Camp_List[P_Code],MATCH(Data_Demography_t[[#This Row],[Camp]],Camp_List[Camp Name],0)-1,0,1,1),"")</f>
        <v>MMR012CMP014</v>
      </c>
      <c r="E164" s="483" t="s">
        <v>880</v>
      </c>
      <c r="F164" s="353" t="s">
        <v>725</v>
      </c>
      <c r="G164" s="364">
        <v>244</v>
      </c>
      <c r="H164" s="365">
        <f t="shared" si="6"/>
        <v>244</v>
      </c>
      <c r="I164" s="362" t="s">
        <v>706</v>
      </c>
      <c r="J164" s="863">
        <v>42886</v>
      </c>
    </row>
    <row r="165" spans="1:11" ht="15" customHeight="1" x14ac:dyDescent="0.25">
      <c r="A165" s="312" t="s">
        <v>7</v>
      </c>
      <c r="B165" s="342" t="s">
        <v>866</v>
      </c>
      <c r="C165" s="353" t="s">
        <v>38</v>
      </c>
      <c r="D165" s="366" t="str">
        <f ca="1">IFERROR(OFFSET(Camp_List[P_Code],MATCH(Data_Demography_t[[#This Row],[Camp]],Camp_List[Camp Name],0)-1,0,1,1),"")</f>
        <v>MMR012CMP014</v>
      </c>
      <c r="E165" s="311" t="s">
        <v>655</v>
      </c>
      <c r="F165" s="313" t="s">
        <v>724</v>
      </c>
      <c r="G165" s="364">
        <v>200</v>
      </c>
      <c r="H165" s="365">
        <f t="shared" si="6"/>
        <v>-200</v>
      </c>
      <c r="I165" s="362" t="s">
        <v>706</v>
      </c>
      <c r="J165" s="863">
        <v>42886</v>
      </c>
    </row>
    <row r="166" spans="1:11" ht="15" customHeight="1" x14ac:dyDescent="0.25">
      <c r="A166" s="312" t="s">
        <v>7</v>
      </c>
      <c r="B166" s="342" t="s">
        <v>866</v>
      </c>
      <c r="C166" s="353" t="s">
        <v>38</v>
      </c>
      <c r="D166" s="366" t="str">
        <f ca="1">IFERROR(OFFSET(Camp_List[P_Code],MATCH(Data_Demography_t[[#This Row],[Camp]],Camp_List[Camp Name],0)-1,0,1,1),"")</f>
        <v>MMR012CMP014</v>
      </c>
      <c r="E166" s="311" t="s">
        <v>655</v>
      </c>
      <c r="F166" s="353" t="s">
        <v>725</v>
      </c>
      <c r="G166" s="364">
        <v>206</v>
      </c>
      <c r="H166" s="365">
        <f t="shared" si="6"/>
        <v>206</v>
      </c>
      <c r="I166" s="362" t="s">
        <v>706</v>
      </c>
      <c r="J166" s="863">
        <v>42886</v>
      </c>
    </row>
    <row r="167" spans="1:11" ht="15" customHeight="1" x14ac:dyDescent="0.25">
      <c r="A167" s="312" t="s">
        <v>7</v>
      </c>
      <c r="B167" s="342" t="s">
        <v>866</v>
      </c>
      <c r="C167" s="353" t="s">
        <v>38</v>
      </c>
      <c r="D167" s="366" t="str">
        <f ca="1">IFERROR(OFFSET(Camp_List[P_Code],MATCH(Data_Demography_t[[#This Row],[Camp]],Camp_List[Camp Name],0)-1,0,1,1),"")</f>
        <v>MMR012CMP014</v>
      </c>
      <c r="E167" s="314" t="s">
        <v>881</v>
      </c>
      <c r="F167" s="313" t="s">
        <v>724</v>
      </c>
      <c r="G167" s="364">
        <v>174</v>
      </c>
      <c r="H167" s="365">
        <f t="shared" si="6"/>
        <v>-174</v>
      </c>
      <c r="I167" s="362" t="s">
        <v>706</v>
      </c>
      <c r="J167" s="863">
        <v>42886</v>
      </c>
    </row>
    <row r="168" spans="1:11" ht="15" customHeight="1" x14ac:dyDescent="0.25">
      <c r="A168" s="312" t="s">
        <v>7</v>
      </c>
      <c r="B168" s="342" t="s">
        <v>866</v>
      </c>
      <c r="C168" s="353" t="s">
        <v>38</v>
      </c>
      <c r="D168" s="366" t="str">
        <f ca="1">IFERROR(OFFSET(Camp_List[P_Code],MATCH(Data_Demography_t[[#This Row],[Camp]],Camp_List[Camp Name],0)-1,0,1,1),"")</f>
        <v>MMR012CMP014</v>
      </c>
      <c r="E168" s="314" t="s">
        <v>881</v>
      </c>
      <c r="F168" s="353" t="s">
        <v>725</v>
      </c>
      <c r="G168" s="310">
        <v>248</v>
      </c>
      <c r="H168" s="156">
        <f t="shared" si="6"/>
        <v>248</v>
      </c>
      <c r="I168" s="362" t="s">
        <v>706</v>
      </c>
      <c r="J168" s="863">
        <v>42886</v>
      </c>
    </row>
    <row r="169" spans="1:11" ht="15" customHeight="1" x14ac:dyDescent="0.25">
      <c r="A169" s="312" t="s">
        <v>7</v>
      </c>
      <c r="B169" s="342" t="s">
        <v>866</v>
      </c>
      <c r="C169" s="353" t="s">
        <v>38</v>
      </c>
      <c r="D169" s="366" t="str">
        <f ca="1">IFERROR(OFFSET(Camp_List[P_Code],MATCH(Data_Demography_t[[#This Row],[Camp]],Camp_List[Camp Name],0)-1,0,1,1),"")</f>
        <v>MMR012CMP014</v>
      </c>
      <c r="E169" s="314" t="s">
        <v>882</v>
      </c>
      <c r="F169" s="313" t="s">
        <v>724</v>
      </c>
      <c r="G169" s="310">
        <v>336</v>
      </c>
      <c r="H169" s="156">
        <f t="shared" si="6"/>
        <v>-336</v>
      </c>
      <c r="I169" s="362" t="s">
        <v>706</v>
      </c>
      <c r="J169" s="863">
        <v>42886</v>
      </c>
    </row>
    <row r="170" spans="1:11" ht="15" customHeight="1" x14ac:dyDescent="0.25">
      <c r="A170" s="312" t="s">
        <v>7</v>
      </c>
      <c r="B170" s="342" t="s">
        <v>866</v>
      </c>
      <c r="C170" s="353" t="s">
        <v>38</v>
      </c>
      <c r="D170" s="366" t="str">
        <f ca="1">IFERROR(OFFSET(Camp_List[P_Code],MATCH(Data_Demography_t[[#This Row],[Camp]],Camp_List[Camp Name],0)-1,0,1,1),"")</f>
        <v>MMR012CMP014</v>
      </c>
      <c r="E170" s="314" t="s">
        <v>882</v>
      </c>
      <c r="F170" s="353" t="s">
        <v>725</v>
      </c>
      <c r="G170" s="364">
        <v>436</v>
      </c>
      <c r="H170" s="365">
        <f t="shared" si="6"/>
        <v>436</v>
      </c>
      <c r="I170" s="362" t="s">
        <v>706</v>
      </c>
      <c r="J170" s="863">
        <v>42886</v>
      </c>
    </row>
    <row r="171" spans="1:11" ht="15" customHeight="1" x14ac:dyDescent="0.25">
      <c r="A171" s="312" t="s">
        <v>7</v>
      </c>
      <c r="B171" s="309" t="s">
        <v>866</v>
      </c>
      <c r="C171" s="313" t="s">
        <v>38</v>
      </c>
      <c r="D171" s="366" t="str">
        <f ca="1">IFERROR(OFFSET(Camp_List[P_Code],MATCH(Data_Demography_t[[#This Row],[Camp]],Camp_List[Camp Name],0)-1,0,1,1),"")</f>
        <v>MMR012CMP014</v>
      </c>
      <c r="E171" s="314" t="s">
        <v>858</v>
      </c>
      <c r="F171" s="315" t="s">
        <v>724</v>
      </c>
      <c r="G171" s="310">
        <v>62</v>
      </c>
      <c r="H171" s="156">
        <f t="shared" si="6"/>
        <v>-62</v>
      </c>
      <c r="I171" s="313" t="s">
        <v>706</v>
      </c>
      <c r="J171" s="863">
        <v>42886</v>
      </c>
    </row>
    <row r="172" spans="1:11" ht="15" customHeight="1" x14ac:dyDescent="0.25">
      <c r="A172" s="312" t="s">
        <v>7</v>
      </c>
      <c r="B172" s="309" t="s">
        <v>866</v>
      </c>
      <c r="C172" s="313" t="s">
        <v>38</v>
      </c>
      <c r="D172" s="366" t="str">
        <f ca="1">IFERROR(OFFSET(Camp_List[P_Code],MATCH(Data_Demography_t[[#This Row],[Camp]],Camp_List[Camp Name],0)-1,0,1,1),"")</f>
        <v>MMR012CMP014</v>
      </c>
      <c r="E172" s="314" t="s">
        <v>858</v>
      </c>
      <c r="F172" s="315" t="s">
        <v>725</v>
      </c>
      <c r="G172" s="310">
        <v>55</v>
      </c>
      <c r="H172" s="156">
        <f t="shared" si="6"/>
        <v>55</v>
      </c>
      <c r="I172" s="313" t="s">
        <v>706</v>
      </c>
      <c r="J172" s="863">
        <v>42886</v>
      </c>
    </row>
    <row r="173" spans="1:11" s="789" customFormat="1" x14ac:dyDescent="0.25">
      <c r="A173" s="312" t="s">
        <v>7</v>
      </c>
      <c r="B173" s="309" t="s">
        <v>19</v>
      </c>
      <c r="C173" s="313" t="s">
        <v>68</v>
      </c>
      <c r="D173" s="366" t="str">
        <f ca="1">IFERROR(OFFSET(Camp_List[P_Code],MATCH(Data_Demography_t[[#This Row],[Camp]],Camp_List[Camp Name],0)-1,0,1,1),"")</f>
        <v>MMR012CMP046</v>
      </c>
      <c r="E173" s="483" t="s">
        <v>1146</v>
      </c>
      <c r="F173" s="313" t="s">
        <v>724</v>
      </c>
      <c r="G173" s="310">
        <v>916</v>
      </c>
      <c r="H173" s="156">
        <f t="shared" si="6"/>
        <v>-916</v>
      </c>
      <c r="I173" s="313" t="s">
        <v>623</v>
      </c>
      <c r="J173" s="862">
        <v>42886</v>
      </c>
      <c r="K173" s="304"/>
    </row>
    <row r="174" spans="1:11" s="789" customFormat="1" x14ac:dyDescent="0.25">
      <c r="A174" s="312" t="s">
        <v>7</v>
      </c>
      <c r="B174" s="309" t="s">
        <v>19</v>
      </c>
      <c r="C174" s="313" t="s">
        <v>68</v>
      </c>
      <c r="D174" s="366" t="str">
        <f ca="1">IFERROR(OFFSET(Camp_List[P_Code],MATCH(Data_Demography_t[[#This Row],[Camp]],Camp_List[Camp Name],0)-1,0,1,1),"")</f>
        <v>MMR012CMP046</v>
      </c>
      <c r="E174" s="483" t="s">
        <v>1146</v>
      </c>
      <c r="F174" s="353" t="s">
        <v>725</v>
      </c>
      <c r="G174" s="310">
        <v>1030</v>
      </c>
      <c r="H174" s="156">
        <f t="shared" si="6"/>
        <v>1030</v>
      </c>
      <c r="I174" s="313" t="s">
        <v>623</v>
      </c>
      <c r="J174" s="862">
        <v>42886</v>
      </c>
      <c r="K174" s="304"/>
    </row>
    <row r="175" spans="1:11" x14ac:dyDescent="0.25">
      <c r="A175" s="312" t="s">
        <v>7</v>
      </c>
      <c r="B175" s="309" t="s">
        <v>19</v>
      </c>
      <c r="C175" s="313" t="s">
        <v>68</v>
      </c>
      <c r="D175" s="366" t="str">
        <f ca="1">IFERROR(OFFSET(Camp_List[P_Code],MATCH(Data_Demography_t[[#This Row],[Camp]],Camp_List[Camp Name],0)-1,0,1,1),"")</f>
        <v>MMR012CMP046</v>
      </c>
      <c r="E175" s="483" t="s">
        <v>880</v>
      </c>
      <c r="F175" s="313" t="s">
        <v>724</v>
      </c>
      <c r="G175" s="310">
        <v>1024</v>
      </c>
      <c r="H175" s="156">
        <f t="shared" si="6"/>
        <v>-1024</v>
      </c>
      <c r="I175" s="313" t="s">
        <v>623</v>
      </c>
      <c r="J175" s="862">
        <v>42886</v>
      </c>
    </row>
    <row r="176" spans="1:11" x14ac:dyDescent="0.25">
      <c r="A176" s="312" t="s">
        <v>7</v>
      </c>
      <c r="B176" s="309" t="s">
        <v>19</v>
      </c>
      <c r="C176" s="313" t="s">
        <v>68</v>
      </c>
      <c r="D176" s="366" t="str">
        <f ca="1">IFERROR(OFFSET(Camp_List[P_Code],MATCH(Data_Demography_t[[#This Row],[Camp]],Camp_List[Camp Name],0)-1,0,1,1),"")</f>
        <v>MMR012CMP046</v>
      </c>
      <c r="E176" s="483" t="s">
        <v>880</v>
      </c>
      <c r="F176" s="353" t="s">
        <v>725</v>
      </c>
      <c r="G176" s="310">
        <v>984</v>
      </c>
      <c r="H176" s="156">
        <f t="shared" si="6"/>
        <v>984</v>
      </c>
      <c r="I176" s="313" t="s">
        <v>623</v>
      </c>
      <c r="J176" s="862">
        <v>42886</v>
      </c>
    </row>
    <row r="177" spans="1:10" x14ac:dyDescent="0.25">
      <c r="A177" s="312" t="s">
        <v>7</v>
      </c>
      <c r="B177" s="309" t="s">
        <v>19</v>
      </c>
      <c r="C177" s="313" t="s">
        <v>68</v>
      </c>
      <c r="D177" s="366" t="str">
        <f ca="1">IFERROR(OFFSET(Camp_List[P_Code],MATCH(Data_Demography_t[[#This Row],[Camp]],Camp_List[Camp Name],0)-1,0,1,1),"")</f>
        <v>MMR012CMP046</v>
      </c>
      <c r="E177" s="311" t="s">
        <v>655</v>
      </c>
      <c r="F177" s="313" t="s">
        <v>724</v>
      </c>
      <c r="G177" s="310">
        <v>958</v>
      </c>
      <c r="H177" s="156">
        <f t="shared" si="6"/>
        <v>-958</v>
      </c>
      <c r="I177" s="313" t="s">
        <v>623</v>
      </c>
      <c r="J177" s="862">
        <v>42886</v>
      </c>
    </row>
    <row r="178" spans="1:10" x14ac:dyDescent="0.25">
      <c r="A178" s="312" t="s">
        <v>7</v>
      </c>
      <c r="B178" s="309" t="s">
        <v>19</v>
      </c>
      <c r="C178" s="313" t="s">
        <v>68</v>
      </c>
      <c r="D178" s="366" t="str">
        <f ca="1">IFERROR(OFFSET(Camp_List[P_Code],MATCH(Data_Demography_t[[#This Row],[Camp]],Camp_List[Camp Name],0)-1,0,1,1),"")</f>
        <v>MMR012CMP046</v>
      </c>
      <c r="E178" s="311" t="s">
        <v>655</v>
      </c>
      <c r="F178" s="353" t="s">
        <v>725</v>
      </c>
      <c r="G178" s="310">
        <v>922</v>
      </c>
      <c r="H178" s="156">
        <f t="shared" si="6"/>
        <v>922</v>
      </c>
      <c r="I178" s="313" t="s">
        <v>623</v>
      </c>
      <c r="J178" s="862">
        <v>42886</v>
      </c>
    </row>
    <row r="179" spans="1:10" x14ac:dyDescent="0.25">
      <c r="A179" s="312" t="s">
        <v>7</v>
      </c>
      <c r="B179" s="309" t="s">
        <v>19</v>
      </c>
      <c r="C179" s="313" t="s">
        <v>68</v>
      </c>
      <c r="D179" s="366" t="str">
        <f ca="1">IFERROR(OFFSET(Camp_List[P_Code],MATCH(Data_Demography_t[[#This Row],[Camp]],Camp_List[Camp Name],0)-1,0,1,1),"")</f>
        <v>MMR012CMP046</v>
      </c>
      <c r="E179" s="314" t="s">
        <v>881</v>
      </c>
      <c r="F179" s="313" t="s">
        <v>724</v>
      </c>
      <c r="G179" s="310">
        <v>998</v>
      </c>
      <c r="H179" s="156">
        <f t="shared" si="6"/>
        <v>-998</v>
      </c>
      <c r="I179" s="313" t="s">
        <v>623</v>
      </c>
      <c r="J179" s="862">
        <v>42886</v>
      </c>
    </row>
    <row r="180" spans="1:10" x14ac:dyDescent="0.25">
      <c r="A180" s="312" t="s">
        <v>7</v>
      </c>
      <c r="B180" s="309" t="s">
        <v>19</v>
      </c>
      <c r="C180" s="313" t="s">
        <v>68</v>
      </c>
      <c r="D180" s="366" t="str">
        <f ca="1">IFERROR(OFFSET(Camp_List[P_Code],MATCH(Data_Demography_t[[#This Row],[Camp]],Camp_List[Camp Name],0)-1,0,1,1),"")</f>
        <v>MMR012CMP046</v>
      </c>
      <c r="E180" s="314" t="s">
        <v>881</v>
      </c>
      <c r="F180" s="353" t="s">
        <v>725</v>
      </c>
      <c r="G180" s="310">
        <v>1212</v>
      </c>
      <c r="H180" s="156">
        <f t="shared" si="6"/>
        <v>1212</v>
      </c>
      <c r="I180" s="313" t="s">
        <v>623</v>
      </c>
      <c r="J180" s="862">
        <v>42886</v>
      </c>
    </row>
    <row r="181" spans="1:10" x14ac:dyDescent="0.25">
      <c r="A181" s="312" t="s">
        <v>7</v>
      </c>
      <c r="B181" s="309" t="s">
        <v>19</v>
      </c>
      <c r="C181" s="313" t="s">
        <v>68</v>
      </c>
      <c r="D181" s="366" t="str">
        <f ca="1">IFERROR(OFFSET(Camp_List[P_Code],MATCH(Data_Demography_t[[#This Row],[Camp]],Camp_List[Camp Name],0)-1,0,1,1),"")</f>
        <v>MMR012CMP046</v>
      </c>
      <c r="E181" s="314" t="s">
        <v>882</v>
      </c>
      <c r="F181" s="313" t="s">
        <v>724</v>
      </c>
      <c r="G181" s="364">
        <v>1546</v>
      </c>
      <c r="H181" s="365">
        <f t="shared" si="6"/>
        <v>-1546</v>
      </c>
      <c r="I181" s="313" t="s">
        <v>623</v>
      </c>
      <c r="J181" s="862">
        <v>42886</v>
      </c>
    </row>
    <row r="182" spans="1:10" x14ac:dyDescent="0.25">
      <c r="A182" s="312" t="s">
        <v>7</v>
      </c>
      <c r="B182" s="309" t="s">
        <v>19</v>
      </c>
      <c r="C182" s="313" t="s">
        <v>68</v>
      </c>
      <c r="D182" s="366" t="str">
        <f ca="1">IFERROR(OFFSET(Camp_List[P_Code],MATCH(Data_Demography_t[[#This Row],[Camp]],Camp_List[Camp Name],0)-1,0,1,1),"")</f>
        <v>MMR012CMP046</v>
      </c>
      <c r="E182" s="314" t="s">
        <v>882</v>
      </c>
      <c r="F182" s="353" t="s">
        <v>725</v>
      </c>
      <c r="G182" s="364">
        <v>1808</v>
      </c>
      <c r="H182" s="365">
        <f t="shared" si="6"/>
        <v>1808</v>
      </c>
      <c r="I182" s="313" t="s">
        <v>623</v>
      </c>
      <c r="J182" s="862">
        <v>42886</v>
      </c>
    </row>
    <row r="183" spans="1:10" x14ac:dyDescent="0.25">
      <c r="A183" s="312" t="s">
        <v>7</v>
      </c>
      <c r="B183" s="342" t="s">
        <v>19</v>
      </c>
      <c r="C183" s="353" t="s">
        <v>68</v>
      </c>
      <c r="D183" s="366" t="str">
        <f ca="1">IFERROR(OFFSET(Camp_List[P_Code],MATCH(Data_Demography_t[[#This Row],[Camp]],Camp_List[Camp Name],0)-1,0,1,1),"")</f>
        <v>MMR012CMP046</v>
      </c>
      <c r="E183" s="314" t="s">
        <v>858</v>
      </c>
      <c r="F183" s="313" t="s">
        <v>724</v>
      </c>
      <c r="G183" s="364">
        <v>200</v>
      </c>
      <c r="H183" s="365">
        <f t="shared" si="6"/>
        <v>-200</v>
      </c>
      <c r="I183" s="362" t="s">
        <v>623</v>
      </c>
      <c r="J183" s="862">
        <v>42886</v>
      </c>
    </row>
    <row r="184" spans="1:10" x14ac:dyDescent="0.25">
      <c r="A184" s="312" t="s">
        <v>7</v>
      </c>
      <c r="B184" s="342" t="s">
        <v>19</v>
      </c>
      <c r="C184" s="353" t="s">
        <v>68</v>
      </c>
      <c r="D184" s="366" t="str">
        <f ca="1">IFERROR(OFFSET(Camp_List[P_Code],MATCH(Data_Demography_t[[#This Row],[Camp]],Camp_List[Camp Name],0)-1,0,1,1),"")</f>
        <v>MMR012CMP046</v>
      </c>
      <c r="E184" s="314" t="s">
        <v>858</v>
      </c>
      <c r="F184" s="353" t="s">
        <v>725</v>
      </c>
      <c r="G184" s="364">
        <v>166</v>
      </c>
      <c r="H184" s="365">
        <f t="shared" si="6"/>
        <v>166</v>
      </c>
      <c r="I184" s="362" t="s">
        <v>623</v>
      </c>
      <c r="J184" s="862">
        <v>42886</v>
      </c>
    </row>
    <row r="185" spans="1:10" ht="15" customHeight="1" x14ac:dyDescent="0.25">
      <c r="A185" s="312" t="s">
        <v>7</v>
      </c>
      <c r="B185" s="309" t="s">
        <v>19</v>
      </c>
      <c r="C185" s="313" t="s">
        <v>70</v>
      </c>
      <c r="D185" s="366" t="str">
        <f ca="1">IFERROR(OFFSET(Camp_List[P_Code],MATCH(Data_Demography_t[[#This Row],[Camp]],Camp_List[Camp Name],0)-1,0,1,1),"")</f>
        <v>MMR012CMP048</v>
      </c>
      <c r="E185" s="483" t="s">
        <v>1146</v>
      </c>
      <c r="F185" s="315" t="s">
        <v>724</v>
      </c>
      <c r="G185" s="310">
        <v>557</v>
      </c>
      <c r="H185" s="156">
        <f t="shared" si="6"/>
        <v>-557</v>
      </c>
      <c r="I185" s="313" t="s">
        <v>970</v>
      </c>
      <c r="J185" s="862">
        <v>42886</v>
      </c>
    </row>
    <row r="186" spans="1:10" ht="15" customHeight="1" x14ac:dyDescent="0.25">
      <c r="A186" s="312" t="s">
        <v>7</v>
      </c>
      <c r="B186" s="309" t="s">
        <v>19</v>
      </c>
      <c r="C186" s="313" t="s">
        <v>70</v>
      </c>
      <c r="D186" s="366" t="str">
        <f ca="1">IFERROR(OFFSET(Camp_List[P_Code],MATCH(Data_Demography_t[[#This Row],[Camp]],Camp_List[Camp Name],0)-1,0,1,1),"")</f>
        <v>MMR012CMP048</v>
      </c>
      <c r="E186" s="483" t="s">
        <v>1146</v>
      </c>
      <c r="F186" s="315" t="s">
        <v>725</v>
      </c>
      <c r="G186" s="310">
        <v>536</v>
      </c>
      <c r="H186" s="156">
        <f t="shared" si="6"/>
        <v>536</v>
      </c>
      <c r="I186" s="313" t="s">
        <v>970</v>
      </c>
      <c r="J186" s="862">
        <v>42886</v>
      </c>
    </row>
    <row r="187" spans="1:10" ht="15" customHeight="1" x14ac:dyDescent="0.25">
      <c r="A187" s="312" t="s">
        <v>7</v>
      </c>
      <c r="B187" s="309" t="s">
        <v>19</v>
      </c>
      <c r="C187" s="313" t="s">
        <v>70</v>
      </c>
      <c r="D187" s="366" t="str">
        <f ca="1">IFERROR(OFFSET(Camp_List[P_Code],MATCH(Data_Demography_t[[#This Row],[Camp]],Camp_List[Camp Name],0)-1,0,1,1),"")</f>
        <v>MMR012CMP048</v>
      </c>
      <c r="E187" s="483" t="s">
        <v>880</v>
      </c>
      <c r="F187" s="315" t="s">
        <v>724</v>
      </c>
      <c r="G187" s="310">
        <v>485</v>
      </c>
      <c r="H187" s="156">
        <f t="shared" si="6"/>
        <v>-485</v>
      </c>
      <c r="I187" s="313" t="s">
        <v>970</v>
      </c>
      <c r="J187" s="862">
        <v>42886</v>
      </c>
    </row>
    <row r="188" spans="1:10" ht="15" customHeight="1" x14ac:dyDescent="0.25">
      <c r="A188" s="312" t="s">
        <v>7</v>
      </c>
      <c r="B188" s="309" t="s">
        <v>19</v>
      </c>
      <c r="C188" s="313" t="s">
        <v>70</v>
      </c>
      <c r="D188" s="366" t="str">
        <f ca="1">IFERROR(OFFSET(Camp_List[P_Code],MATCH(Data_Demography_t[[#This Row],[Camp]],Camp_List[Camp Name],0)-1,0,1,1),"")</f>
        <v>MMR012CMP048</v>
      </c>
      <c r="E188" s="483" t="s">
        <v>880</v>
      </c>
      <c r="F188" s="315" t="s">
        <v>725</v>
      </c>
      <c r="G188" s="310">
        <v>535</v>
      </c>
      <c r="H188" s="156">
        <f t="shared" si="6"/>
        <v>535</v>
      </c>
      <c r="I188" s="313" t="s">
        <v>970</v>
      </c>
      <c r="J188" s="862">
        <v>42886</v>
      </c>
    </row>
    <row r="189" spans="1:10" ht="15" customHeight="1" x14ac:dyDescent="0.25">
      <c r="A189" s="312" t="s">
        <v>7</v>
      </c>
      <c r="B189" s="309" t="s">
        <v>19</v>
      </c>
      <c r="C189" s="313" t="s">
        <v>70</v>
      </c>
      <c r="D189" s="366" t="str">
        <f ca="1">IFERROR(OFFSET(Camp_List[P_Code],MATCH(Data_Demography_t[[#This Row],[Camp]],Camp_List[Camp Name],0)-1,0,1,1),"")</f>
        <v>MMR012CMP048</v>
      </c>
      <c r="E189" s="314" t="s">
        <v>655</v>
      </c>
      <c r="F189" s="315" t="s">
        <v>724</v>
      </c>
      <c r="G189" s="310">
        <v>438</v>
      </c>
      <c r="H189" s="156">
        <f t="shared" si="6"/>
        <v>-438</v>
      </c>
      <c r="I189" s="313" t="s">
        <v>970</v>
      </c>
      <c r="J189" s="862">
        <v>42886</v>
      </c>
    </row>
    <row r="190" spans="1:10" ht="15" customHeight="1" x14ac:dyDescent="0.25">
      <c r="A190" s="312" t="s">
        <v>7</v>
      </c>
      <c r="B190" s="309" t="s">
        <v>19</v>
      </c>
      <c r="C190" s="313" t="s">
        <v>70</v>
      </c>
      <c r="D190" s="366" t="str">
        <f ca="1">IFERROR(OFFSET(Camp_List[P_Code],MATCH(Data_Demography_t[[#This Row],[Camp]],Camp_List[Camp Name],0)-1,0,1,1),"")</f>
        <v>MMR012CMP048</v>
      </c>
      <c r="E190" s="314" t="s">
        <v>655</v>
      </c>
      <c r="F190" s="315" t="s">
        <v>725</v>
      </c>
      <c r="G190" s="310">
        <v>439</v>
      </c>
      <c r="H190" s="156">
        <f t="shared" si="6"/>
        <v>439</v>
      </c>
      <c r="I190" s="313" t="s">
        <v>970</v>
      </c>
      <c r="J190" s="862">
        <v>42886</v>
      </c>
    </row>
    <row r="191" spans="1:10" ht="15" customHeight="1" x14ac:dyDescent="0.25">
      <c r="A191" s="312" t="s">
        <v>7</v>
      </c>
      <c r="B191" s="309" t="s">
        <v>19</v>
      </c>
      <c r="C191" s="313" t="s">
        <v>70</v>
      </c>
      <c r="D191" s="366" t="str">
        <f ca="1">IFERROR(OFFSET(Camp_List[P_Code],MATCH(Data_Demography_t[[#This Row],[Camp]],Camp_List[Camp Name],0)-1,0,1,1),"")</f>
        <v>MMR012CMP048</v>
      </c>
      <c r="E191" s="314" t="s">
        <v>881</v>
      </c>
      <c r="F191" s="315" t="s">
        <v>724</v>
      </c>
      <c r="G191" s="310">
        <v>645</v>
      </c>
      <c r="H191" s="156">
        <f t="shared" si="6"/>
        <v>-645</v>
      </c>
      <c r="I191" s="313" t="s">
        <v>970</v>
      </c>
      <c r="J191" s="862">
        <v>42886</v>
      </c>
    </row>
    <row r="192" spans="1:10" ht="15" customHeight="1" x14ac:dyDescent="0.25">
      <c r="A192" s="312" t="s">
        <v>7</v>
      </c>
      <c r="B192" s="309" t="s">
        <v>19</v>
      </c>
      <c r="C192" s="313" t="s">
        <v>70</v>
      </c>
      <c r="D192" s="366" t="str">
        <f ca="1">IFERROR(OFFSET(Camp_List[P_Code],MATCH(Data_Demography_t[[#This Row],[Camp]],Camp_List[Camp Name],0)-1,0,1,1),"")</f>
        <v>MMR012CMP048</v>
      </c>
      <c r="E192" s="314" t="s">
        <v>881</v>
      </c>
      <c r="F192" s="315" t="s">
        <v>725</v>
      </c>
      <c r="G192" s="310">
        <v>460</v>
      </c>
      <c r="H192" s="156">
        <f t="shared" si="6"/>
        <v>460</v>
      </c>
      <c r="I192" s="313" t="s">
        <v>970</v>
      </c>
      <c r="J192" s="862">
        <v>42886</v>
      </c>
    </row>
    <row r="193" spans="1:11" ht="15" customHeight="1" x14ac:dyDescent="0.25">
      <c r="A193" s="312" t="s">
        <v>7</v>
      </c>
      <c r="B193" s="309" t="s">
        <v>19</v>
      </c>
      <c r="C193" s="313" t="s">
        <v>70</v>
      </c>
      <c r="D193" s="366" t="str">
        <f ca="1">IFERROR(OFFSET(Camp_List[P_Code],MATCH(Data_Demography_t[[#This Row],[Camp]],Camp_List[Camp Name],0)-1,0,1,1),"")</f>
        <v>MMR012CMP048</v>
      </c>
      <c r="E193" s="314" t="s">
        <v>882</v>
      </c>
      <c r="F193" s="315" t="s">
        <v>724</v>
      </c>
      <c r="G193" s="310">
        <v>756</v>
      </c>
      <c r="H193" s="156">
        <f t="shared" si="6"/>
        <v>-756</v>
      </c>
      <c r="I193" s="313" t="s">
        <v>970</v>
      </c>
      <c r="J193" s="862">
        <v>42886</v>
      </c>
    </row>
    <row r="194" spans="1:11" ht="15" customHeight="1" x14ac:dyDescent="0.25">
      <c r="A194" s="312" t="s">
        <v>7</v>
      </c>
      <c r="B194" s="309" t="s">
        <v>19</v>
      </c>
      <c r="C194" s="313" t="s">
        <v>70</v>
      </c>
      <c r="D194" s="366" t="str">
        <f ca="1">IFERROR(OFFSET(Camp_List[P_Code],MATCH(Data_Demography_t[[#This Row],[Camp]],Camp_List[Camp Name],0)-1,0,1,1),"")</f>
        <v>MMR012CMP048</v>
      </c>
      <c r="E194" s="314" t="s">
        <v>882</v>
      </c>
      <c r="F194" s="315" t="s">
        <v>725</v>
      </c>
      <c r="G194" s="310">
        <v>724</v>
      </c>
      <c r="H194" s="156">
        <f t="shared" si="6"/>
        <v>724</v>
      </c>
      <c r="I194" s="313" t="s">
        <v>970</v>
      </c>
      <c r="J194" s="862">
        <v>42886</v>
      </c>
    </row>
    <row r="195" spans="1:11" ht="15" customHeight="1" x14ac:dyDescent="0.25">
      <c r="A195" s="312" t="s">
        <v>7</v>
      </c>
      <c r="B195" s="309" t="s">
        <v>19</v>
      </c>
      <c r="C195" s="313" t="s">
        <v>70</v>
      </c>
      <c r="D195" s="366" t="str">
        <f ca="1">IFERROR(OFFSET(Camp_List[P_Code],MATCH(Data_Demography_t[[#This Row],[Camp]],Camp_List[Camp Name],0)-1,0,1,1),"")</f>
        <v>MMR012CMP048</v>
      </c>
      <c r="E195" s="314" t="s">
        <v>858</v>
      </c>
      <c r="F195" s="313" t="s">
        <v>724</v>
      </c>
      <c r="G195" s="310">
        <v>134</v>
      </c>
      <c r="H195" s="156">
        <f t="shared" si="6"/>
        <v>-134</v>
      </c>
      <c r="I195" s="313" t="s">
        <v>970</v>
      </c>
      <c r="J195" s="862">
        <v>42886</v>
      </c>
    </row>
    <row r="196" spans="1:11" ht="15" customHeight="1" x14ac:dyDescent="0.25">
      <c r="A196" s="316" t="s">
        <v>7</v>
      </c>
      <c r="B196" s="350" t="s">
        <v>19</v>
      </c>
      <c r="C196" s="349" t="s">
        <v>70</v>
      </c>
      <c r="D196" s="366" t="str">
        <f ca="1">IFERROR(OFFSET(Camp_List[P_Code],MATCH(Data_Demography_t[[#This Row],[Camp]],Camp_List[Camp Name],0)-1,0,1,1),"")</f>
        <v>MMR012CMP048</v>
      </c>
      <c r="E196" s="318" t="s">
        <v>858</v>
      </c>
      <c r="F196" s="354" t="s">
        <v>725</v>
      </c>
      <c r="G196" s="317">
        <v>129</v>
      </c>
      <c r="H196" s="306">
        <f t="shared" si="6"/>
        <v>129</v>
      </c>
      <c r="I196" s="349" t="s">
        <v>970</v>
      </c>
      <c r="J196" s="862">
        <v>42886</v>
      </c>
    </row>
    <row r="197" spans="1:11" ht="15" customHeight="1" x14ac:dyDescent="0.25">
      <c r="A197" s="847" t="s">
        <v>7</v>
      </c>
      <c r="B197" s="848" t="s">
        <v>19</v>
      </c>
      <c r="C197" s="845" t="s">
        <v>61</v>
      </c>
      <c r="D197" s="366" t="str">
        <f ca="1">IFERROR(OFFSET(Camp_List[P_Code],MATCH(Data_Demography_t[[#This Row],[Camp]],Camp_List[Camp Name],0)-1,0,1,1),"")</f>
        <v>MMR012CMP039</v>
      </c>
      <c r="E197" s="483" t="s">
        <v>1146</v>
      </c>
      <c r="F197" s="852" t="s">
        <v>724</v>
      </c>
      <c r="G197" s="846">
        <v>251</v>
      </c>
      <c r="H197" s="845">
        <f t="shared" ref="H197:H208" si="7">IF(F197="M",-G197,G197)</f>
        <v>-251</v>
      </c>
      <c r="I197" s="849" t="s">
        <v>623</v>
      </c>
      <c r="J197" s="864">
        <v>42886</v>
      </c>
    </row>
    <row r="198" spans="1:11" ht="15" customHeight="1" x14ac:dyDescent="0.25">
      <c r="A198" s="847" t="s">
        <v>7</v>
      </c>
      <c r="B198" s="848" t="s">
        <v>19</v>
      </c>
      <c r="C198" s="845" t="s">
        <v>61</v>
      </c>
      <c r="D198" s="366" t="str">
        <f ca="1">IFERROR(OFFSET(Camp_List[P_Code],MATCH(Data_Demography_t[[#This Row],[Camp]],Camp_List[Camp Name],0)-1,0,1,1),"")</f>
        <v>MMR012CMP039</v>
      </c>
      <c r="E198" s="483" t="s">
        <v>1146</v>
      </c>
      <c r="F198" s="852" t="s">
        <v>725</v>
      </c>
      <c r="G198" s="846">
        <v>219</v>
      </c>
      <c r="H198" s="845">
        <f t="shared" si="7"/>
        <v>219</v>
      </c>
      <c r="I198" s="849" t="s">
        <v>623</v>
      </c>
      <c r="J198" s="864">
        <v>42886</v>
      </c>
    </row>
    <row r="199" spans="1:11" s="789" customFormat="1" ht="15" customHeight="1" x14ac:dyDescent="0.25">
      <c r="A199" s="847" t="s">
        <v>7</v>
      </c>
      <c r="B199" s="848" t="s">
        <v>19</v>
      </c>
      <c r="C199" s="849" t="s">
        <v>61</v>
      </c>
      <c r="D199" s="366" t="str">
        <f ca="1">IFERROR(OFFSET(Camp_List[P_Code],MATCH(Data_Demography_t[[#This Row],[Camp]],Camp_List[Camp Name],0)-1,0,1,1),"")</f>
        <v>MMR012CMP039</v>
      </c>
      <c r="E199" s="483" t="s">
        <v>880</v>
      </c>
      <c r="F199" s="852" t="s">
        <v>724</v>
      </c>
      <c r="G199" s="846">
        <v>181</v>
      </c>
      <c r="H199" s="845">
        <f t="shared" si="7"/>
        <v>-181</v>
      </c>
      <c r="I199" s="849" t="s">
        <v>623</v>
      </c>
      <c r="J199" s="864">
        <v>42886</v>
      </c>
      <c r="K199" s="304"/>
    </row>
    <row r="200" spans="1:11" s="789" customFormat="1" ht="15" customHeight="1" x14ac:dyDescent="0.25">
      <c r="A200" s="847" t="s">
        <v>7</v>
      </c>
      <c r="B200" s="848" t="s">
        <v>19</v>
      </c>
      <c r="C200" s="849" t="s">
        <v>61</v>
      </c>
      <c r="D200" s="366" t="str">
        <f ca="1">IFERROR(OFFSET(Camp_List[P_Code],MATCH(Data_Demography_t[[#This Row],[Camp]],Camp_List[Camp Name],0)-1,0,1,1),"")</f>
        <v>MMR012CMP039</v>
      </c>
      <c r="E200" s="483" t="s">
        <v>880</v>
      </c>
      <c r="F200" s="852" t="s">
        <v>725</v>
      </c>
      <c r="G200" s="846">
        <v>165</v>
      </c>
      <c r="H200" s="845">
        <f t="shared" si="7"/>
        <v>165</v>
      </c>
      <c r="I200" s="849" t="s">
        <v>623</v>
      </c>
      <c r="J200" s="864">
        <v>42886</v>
      </c>
      <c r="K200" s="304"/>
    </row>
    <row r="201" spans="1:11" s="789" customFormat="1" ht="15" customHeight="1" x14ac:dyDescent="0.25">
      <c r="A201" s="847" t="s">
        <v>7</v>
      </c>
      <c r="B201" s="848" t="s">
        <v>19</v>
      </c>
      <c r="C201" s="849" t="s">
        <v>61</v>
      </c>
      <c r="D201" s="366" t="str">
        <f ca="1">IFERROR(OFFSET(Camp_List[P_Code],MATCH(Data_Demography_t[[#This Row],[Camp]],Camp_List[Camp Name],0)-1,0,1,1),"")</f>
        <v>MMR012CMP039</v>
      </c>
      <c r="E201" s="850" t="s">
        <v>655</v>
      </c>
      <c r="F201" s="852" t="s">
        <v>724</v>
      </c>
      <c r="G201" s="846">
        <v>148</v>
      </c>
      <c r="H201" s="845">
        <f t="shared" si="7"/>
        <v>-148</v>
      </c>
      <c r="I201" s="849" t="s">
        <v>623</v>
      </c>
      <c r="J201" s="864">
        <v>42886</v>
      </c>
      <c r="K201" s="304"/>
    </row>
    <row r="202" spans="1:11" s="789" customFormat="1" ht="15" customHeight="1" x14ac:dyDescent="0.25">
      <c r="A202" s="847" t="s">
        <v>7</v>
      </c>
      <c r="B202" s="848" t="s">
        <v>19</v>
      </c>
      <c r="C202" s="849" t="s">
        <v>61</v>
      </c>
      <c r="D202" s="366" t="str">
        <f ca="1">IFERROR(OFFSET(Camp_List[P_Code],MATCH(Data_Demography_t[[#This Row],[Camp]],Camp_List[Camp Name],0)-1,0,1,1),"")</f>
        <v>MMR012CMP039</v>
      </c>
      <c r="E202" s="850" t="s">
        <v>655</v>
      </c>
      <c r="F202" s="852" t="s">
        <v>725</v>
      </c>
      <c r="G202" s="846">
        <v>136</v>
      </c>
      <c r="H202" s="845">
        <f t="shared" si="7"/>
        <v>136</v>
      </c>
      <c r="I202" s="849" t="s">
        <v>623</v>
      </c>
      <c r="J202" s="864">
        <v>42886</v>
      </c>
      <c r="K202" s="304"/>
    </row>
    <row r="203" spans="1:11" ht="15" customHeight="1" x14ac:dyDescent="0.25">
      <c r="A203" s="847" t="s">
        <v>7</v>
      </c>
      <c r="B203" s="848" t="s">
        <v>19</v>
      </c>
      <c r="C203" s="849" t="s">
        <v>61</v>
      </c>
      <c r="D203" s="366" t="str">
        <f ca="1">IFERROR(OFFSET(Camp_List[P_Code],MATCH(Data_Demography_t[[#This Row],[Camp]],Camp_List[Camp Name],0)-1,0,1,1),"")</f>
        <v>MMR012CMP039</v>
      </c>
      <c r="E203" s="850" t="s">
        <v>881</v>
      </c>
      <c r="F203" s="852" t="s">
        <v>724</v>
      </c>
      <c r="G203" s="846">
        <v>141</v>
      </c>
      <c r="H203" s="845">
        <f t="shared" si="7"/>
        <v>-141</v>
      </c>
      <c r="I203" s="849" t="s">
        <v>623</v>
      </c>
      <c r="J203" s="864">
        <v>42886</v>
      </c>
    </row>
    <row r="204" spans="1:11" ht="15" customHeight="1" x14ac:dyDescent="0.25">
      <c r="A204" s="847" t="s">
        <v>7</v>
      </c>
      <c r="B204" s="848" t="s">
        <v>19</v>
      </c>
      <c r="C204" s="849" t="s">
        <v>61</v>
      </c>
      <c r="D204" s="366" t="str">
        <f ca="1">IFERROR(OFFSET(Camp_List[P_Code],MATCH(Data_Demography_t[[#This Row],[Camp]],Camp_List[Camp Name],0)-1,0,1,1),"")</f>
        <v>MMR012CMP039</v>
      </c>
      <c r="E204" s="850" t="s">
        <v>881</v>
      </c>
      <c r="F204" s="852" t="s">
        <v>725</v>
      </c>
      <c r="G204" s="846">
        <v>224</v>
      </c>
      <c r="H204" s="845">
        <f t="shared" si="7"/>
        <v>224</v>
      </c>
      <c r="I204" s="849" t="s">
        <v>623</v>
      </c>
      <c r="J204" s="864">
        <v>42886</v>
      </c>
    </row>
    <row r="205" spans="1:11" ht="15" customHeight="1" x14ac:dyDescent="0.25">
      <c r="A205" s="847" t="s">
        <v>7</v>
      </c>
      <c r="B205" s="848" t="s">
        <v>19</v>
      </c>
      <c r="C205" s="849" t="s">
        <v>61</v>
      </c>
      <c r="D205" s="366" t="str">
        <f ca="1">IFERROR(OFFSET(Camp_List[P_Code],MATCH(Data_Demography_t[[#This Row],[Camp]],Camp_List[Camp Name],0)-1,0,1,1),"")</f>
        <v>MMR012CMP039</v>
      </c>
      <c r="E205" s="851" t="s">
        <v>882</v>
      </c>
      <c r="F205" s="852" t="s">
        <v>724</v>
      </c>
      <c r="G205" s="846">
        <v>323</v>
      </c>
      <c r="H205" s="845">
        <f t="shared" si="7"/>
        <v>-323</v>
      </c>
      <c r="I205" s="849" t="s">
        <v>623</v>
      </c>
      <c r="J205" s="864">
        <v>42886</v>
      </c>
    </row>
    <row r="206" spans="1:11" ht="15" customHeight="1" x14ac:dyDescent="0.25">
      <c r="A206" s="847" t="s">
        <v>7</v>
      </c>
      <c r="B206" s="848" t="s">
        <v>19</v>
      </c>
      <c r="C206" s="849" t="s">
        <v>61</v>
      </c>
      <c r="D206" s="366" t="str">
        <f ca="1">IFERROR(OFFSET(Camp_List[P_Code],MATCH(Data_Demography_t[[#This Row],[Camp]],Camp_List[Camp Name],0)-1,0,1,1),"")</f>
        <v>MMR012CMP039</v>
      </c>
      <c r="E206" s="851" t="s">
        <v>882</v>
      </c>
      <c r="F206" s="852" t="s">
        <v>725</v>
      </c>
      <c r="G206" s="846">
        <v>339</v>
      </c>
      <c r="H206" s="845">
        <f t="shared" si="7"/>
        <v>339</v>
      </c>
      <c r="I206" s="849" t="s">
        <v>623</v>
      </c>
      <c r="J206" s="864">
        <v>42886</v>
      </c>
    </row>
    <row r="207" spans="1:11" ht="15" customHeight="1" x14ac:dyDescent="0.25">
      <c r="A207" s="847" t="s">
        <v>7</v>
      </c>
      <c r="B207" s="848" t="s">
        <v>19</v>
      </c>
      <c r="C207" s="849" t="s">
        <v>61</v>
      </c>
      <c r="D207" s="366" t="str">
        <f ca="1">IFERROR(OFFSET(Camp_List[P_Code],MATCH(Data_Demography_t[[#This Row],[Camp]],Camp_List[Camp Name],0)-1,0,1,1),"")</f>
        <v>MMR012CMP039</v>
      </c>
      <c r="E207" s="850" t="s">
        <v>858</v>
      </c>
      <c r="F207" s="852" t="s">
        <v>724</v>
      </c>
      <c r="G207" s="846">
        <v>50</v>
      </c>
      <c r="H207" s="845">
        <f t="shared" si="7"/>
        <v>-50</v>
      </c>
      <c r="I207" s="849" t="s">
        <v>623</v>
      </c>
      <c r="J207" s="864">
        <v>42886</v>
      </c>
    </row>
    <row r="208" spans="1:11" ht="15" customHeight="1" x14ac:dyDescent="0.25">
      <c r="A208" s="853" t="s">
        <v>7</v>
      </c>
      <c r="B208" s="854" t="s">
        <v>19</v>
      </c>
      <c r="C208" s="855" t="s">
        <v>61</v>
      </c>
      <c r="D208" s="366" t="str">
        <f ca="1">IFERROR(OFFSET(Camp_List[P_Code],MATCH(Data_Demography_t[[#This Row],[Camp]],Camp_List[Camp Name],0)-1,0,1,1),"")</f>
        <v>MMR012CMP039</v>
      </c>
      <c r="E208" s="856" t="s">
        <v>858</v>
      </c>
      <c r="F208" s="857" t="s">
        <v>725</v>
      </c>
      <c r="G208" s="858">
        <v>63</v>
      </c>
      <c r="H208" s="859">
        <f t="shared" si="7"/>
        <v>63</v>
      </c>
      <c r="I208" s="855" t="s">
        <v>623</v>
      </c>
      <c r="J208" s="864">
        <v>42886</v>
      </c>
    </row>
    <row r="215" spans="1:11" s="789" customFormat="1" x14ac:dyDescent="0.25">
      <c r="A215" s="90"/>
      <c r="B215" s="90"/>
      <c r="C215" s="90"/>
      <c r="D215" s="90"/>
      <c r="E215" s="90"/>
      <c r="F215" s="90"/>
      <c r="G215" s="26"/>
      <c r="H215"/>
      <c r="I215" s="90"/>
      <c r="J215" s="304"/>
      <c r="K215" s="304"/>
    </row>
    <row r="216" spans="1:11" s="789" customFormat="1" x14ac:dyDescent="0.25">
      <c r="A216" s="90"/>
      <c r="B216" s="90"/>
      <c r="C216" s="90"/>
      <c r="D216" s="90"/>
      <c r="E216" s="90"/>
      <c r="F216" s="90"/>
      <c r="G216" s="26"/>
      <c r="H216"/>
      <c r="I216" s="90"/>
      <c r="J216" s="304"/>
      <c r="K216" s="304"/>
    </row>
    <row r="229" spans="1:11" s="789" customFormat="1" x14ac:dyDescent="0.25">
      <c r="A229" s="90"/>
      <c r="B229" s="90"/>
      <c r="C229" s="90"/>
      <c r="D229" s="90"/>
      <c r="E229" s="90"/>
      <c r="F229" s="90"/>
      <c r="G229" s="26"/>
      <c r="H229"/>
      <c r="I229" s="90"/>
      <c r="J229" s="304"/>
      <c r="K229" s="304"/>
    </row>
    <row r="230" spans="1:11" s="789" customFormat="1" x14ac:dyDescent="0.25">
      <c r="A230" s="90"/>
      <c r="B230" s="90"/>
      <c r="C230" s="90"/>
      <c r="D230" s="90"/>
      <c r="E230" s="90"/>
      <c r="F230" s="90"/>
      <c r="G230" s="26"/>
      <c r="H230"/>
      <c r="I230" s="90"/>
      <c r="J230" s="304"/>
      <c r="K230" s="304"/>
    </row>
  </sheetData>
  <dataValidations count="4">
    <dataValidation type="list" allowBlank="1" showInputMessage="1" showErrorMessage="1" sqref="A5:A208">
      <formula1>State</formula1>
    </dataValidation>
    <dataValidation type="list" allowBlank="1" showInputMessage="1" showErrorMessage="1" sqref="E5:E208">
      <formula1>Age_Category</formula1>
    </dataValidation>
    <dataValidation type="list" showInputMessage="1" showErrorMessage="1" sqref="B5:B208">
      <formula1>INDIRECT(A5)</formula1>
    </dataValidation>
    <dataValidation type="list" errorStyle="warning" showInputMessage="1" showErrorMessage="1" sqref="C5:C208">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77"/>
  <sheetViews>
    <sheetView topLeftCell="C13" zoomScale="80" zoomScaleNormal="80" workbookViewId="0">
      <selection activeCell="L46" sqref="L46"/>
    </sheetView>
  </sheetViews>
  <sheetFormatPr defaultColWidth="9.140625" defaultRowHeight="12.75" x14ac:dyDescent="0.2"/>
  <cols>
    <col min="1" max="1" width="7.28515625" style="155" bestFit="1" customWidth="1"/>
    <col min="2" max="2" width="10.5703125" style="155" bestFit="1" customWidth="1"/>
    <col min="3" max="3" width="51.42578125" style="155" customWidth="1"/>
    <col min="4" max="4" width="18.7109375" style="155" customWidth="1"/>
    <col min="5" max="5" width="38.5703125" style="155" customWidth="1"/>
    <col min="6" max="6" width="12" style="155" customWidth="1"/>
    <col min="7" max="7" width="10.42578125" style="155" customWidth="1"/>
    <col min="8" max="8" width="16" style="305" customWidth="1"/>
    <col min="9" max="9" width="9.140625" style="155"/>
    <col min="10" max="10" width="41" style="155" customWidth="1"/>
    <col min="11" max="11" width="16.7109375" style="155" customWidth="1"/>
    <col min="12" max="12" width="8.85546875" style="155" customWidth="1"/>
    <col min="13" max="13" width="8.42578125" style="155" customWidth="1"/>
    <col min="14" max="14" width="11.5703125" style="155" customWidth="1"/>
    <col min="15" max="15" width="15" style="155" bestFit="1" customWidth="1"/>
    <col min="16" max="16" width="13.85546875" style="155" customWidth="1"/>
    <col min="17" max="17" width="11" style="155" customWidth="1"/>
    <col min="18" max="18" width="25.7109375" style="155" bestFit="1" customWidth="1"/>
    <col min="19" max="19" width="11.5703125" style="155" customWidth="1"/>
    <col min="20" max="20" width="12" style="155" bestFit="1" customWidth="1"/>
    <col min="21" max="21" width="12.28515625" style="155" bestFit="1" customWidth="1"/>
    <col min="22" max="22" width="13.5703125" style="155" bestFit="1" customWidth="1"/>
    <col min="23" max="24" width="19.42578125" style="155" bestFit="1" customWidth="1"/>
    <col min="25" max="26" width="12.5703125" style="155" bestFit="1" customWidth="1"/>
    <col min="27" max="27" width="15.140625" style="155" bestFit="1" customWidth="1"/>
    <col min="28" max="28" width="11.42578125" style="155" bestFit="1" customWidth="1"/>
    <col min="29" max="29" width="12.85546875" style="155" bestFit="1" customWidth="1"/>
    <col min="30" max="30" width="11.85546875" style="155" bestFit="1" customWidth="1"/>
    <col min="31" max="31" width="10.85546875" style="155" bestFit="1" customWidth="1"/>
    <col min="32" max="32" width="12.28515625" style="155" bestFit="1" customWidth="1"/>
    <col min="33" max="33" width="13.5703125" style="155" bestFit="1" customWidth="1"/>
    <col min="34" max="34" width="11.28515625" style="155" bestFit="1" customWidth="1"/>
    <col min="35" max="16384" width="9.140625" style="155"/>
  </cols>
  <sheetData>
    <row r="1" spans="1:34" ht="15" x14ac:dyDescent="0.25">
      <c r="A1" s="591" t="s">
        <v>10</v>
      </c>
      <c r="B1" s="592" t="s">
        <v>1</v>
      </c>
      <c r="C1" s="592" t="s">
        <v>9</v>
      </c>
      <c r="D1" s="592" t="s">
        <v>565</v>
      </c>
      <c r="E1" s="593" t="s">
        <v>734</v>
      </c>
      <c r="F1" s="594" t="s">
        <v>5</v>
      </c>
      <c r="G1" s="594" t="s">
        <v>340</v>
      </c>
      <c r="H1" s="595" t="s">
        <v>870</v>
      </c>
      <c r="J1" s="927"/>
      <c r="K1"/>
      <c r="O1"/>
      <c r="P1"/>
      <c r="Q1"/>
      <c r="R1"/>
      <c r="S1"/>
      <c r="T1"/>
      <c r="U1"/>
      <c r="V1"/>
      <c r="W1"/>
      <c r="X1"/>
      <c r="Y1"/>
      <c r="Z1"/>
      <c r="AA1"/>
      <c r="AB1"/>
      <c r="AC1"/>
      <c r="AD1"/>
      <c r="AE1"/>
      <c r="AF1"/>
      <c r="AG1"/>
      <c r="AH1"/>
    </row>
    <row r="2" spans="1:34" ht="15" x14ac:dyDescent="0.25">
      <c r="A2" s="312" t="s">
        <v>7</v>
      </c>
      <c r="B2" s="328" t="s">
        <v>14</v>
      </c>
      <c r="C2" s="313" t="s">
        <v>40</v>
      </c>
      <c r="D2" s="313" t="str">
        <f ca="1">IFERROR(OFFSET(Camp_List[P_Code],MATCH(Data_Vulnerability_t[[#This Row],[Camp Name]],Camp_List[Camp Name],0)-1,0,1,1),"")</f>
        <v>MMR012CMP016</v>
      </c>
      <c r="E2" s="314" t="s">
        <v>1104</v>
      </c>
      <c r="F2" s="156">
        <v>39</v>
      </c>
      <c r="G2" s="309" t="s">
        <v>623</v>
      </c>
      <c r="H2" s="861">
        <v>42886</v>
      </c>
      <c r="J2" s="927"/>
      <c r="K2" s="927"/>
      <c r="O2"/>
      <c r="P2"/>
      <c r="Q2"/>
      <c r="R2"/>
      <c r="S2"/>
      <c r="T2"/>
      <c r="U2"/>
      <c r="V2"/>
      <c r="W2"/>
      <c r="X2"/>
      <c r="Y2"/>
      <c r="Z2"/>
      <c r="AA2"/>
      <c r="AB2"/>
      <c r="AC2"/>
      <c r="AD2"/>
      <c r="AE2"/>
      <c r="AF2"/>
      <c r="AG2"/>
      <c r="AH2"/>
    </row>
    <row r="3" spans="1:34" ht="15" x14ac:dyDescent="0.25">
      <c r="A3" s="312" t="s">
        <v>7</v>
      </c>
      <c r="B3" s="328" t="s">
        <v>14</v>
      </c>
      <c r="C3" s="313" t="s">
        <v>40</v>
      </c>
      <c r="D3" s="313" t="str">
        <f ca="1">IFERROR(OFFSET(Camp_List[P_Code],MATCH(Data_Vulnerability_t[[#This Row],[Camp Name]],Camp_List[Camp Name],0)-1,0,1,1),"")</f>
        <v>MMR012CMP016</v>
      </c>
      <c r="E3" s="314" t="s">
        <v>1105</v>
      </c>
      <c r="F3" s="156">
        <v>11</v>
      </c>
      <c r="G3" s="309" t="s">
        <v>623</v>
      </c>
      <c r="H3" s="861">
        <v>42886</v>
      </c>
      <c r="J3" s="927"/>
      <c r="K3" s="927"/>
      <c r="O3"/>
      <c r="P3"/>
      <c r="Q3"/>
      <c r="R3"/>
      <c r="S3"/>
      <c r="T3"/>
      <c r="U3"/>
      <c r="V3"/>
      <c r="W3"/>
      <c r="X3"/>
      <c r="Y3"/>
      <c r="Z3"/>
      <c r="AA3"/>
      <c r="AB3"/>
      <c r="AC3"/>
      <c r="AD3"/>
      <c r="AE3"/>
      <c r="AF3"/>
      <c r="AG3"/>
      <c r="AH3"/>
    </row>
    <row r="4" spans="1:34" ht="15" x14ac:dyDescent="0.25">
      <c r="A4" s="312" t="s">
        <v>7</v>
      </c>
      <c r="B4" s="328" t="s">
        <v>14</v>
      </c>
      <c r="C4" s="313" t="s">
        <v>40</v>
      </c>
      <c r="D4" s="313" t="str">
        <f ca="1">IFERROR(OFFSET(Camp_List[P_Code],MATCH(Data_Vulnerability_t[[#This Row],[Camp Name]],Camp_List[Camp Name],0)-1,0,1,1),"")</f>
        <v>MMR012CMP016</v>
      </c>
      <c r="E4" s="314" t="s">
        <v>1106</v>
      </c>
      <c r="F4" s="156">
        <v>14</v>
      </c>
      <c r="G4" s="309" t="s">
        <v>623</v>
      </c>
      <c r="H4" s="861">
        <v>42886</v>
      </c>
      <c r="J4" s="927"/>
      <c r="K4" s="927"/>
      <c r="O4"/>
      <c r="P4"/>
      <c r="Q4"/>
      <c r="R4"/>
      <c r="S4"/>
      <c r="T4"/>
      <c r="U4"/>
      <c r="V4"/>
      <c r="W4"/>
      <c r="X4"/>
      <c r="Y4"/>
      <c r="Z4"/>
      <c r="AA4"/>
      <c r="AB4"/>
      <c r="AC4"/>
      <c r="AD4"/>
      <c r="AE4"/>
      <c r="AF4"/>
      <c r="AG4"/>
      <c r="AH4"/>
    </row>
    <row r="5" spans="1:34" ht="15" x14ac:dyDescent="0.25">
      <c r="A5" s="312" t="s">
        <v>7</v>
      </c>
      <c r="B5" s="328" t="s">
        <v>14</v>
      </c>
      <c r="C5" s="313" t="s">
        <v>40</v>
      </c>
      <c r="D5" s="313" t="str">
        <f ca="1">IFERROR(OFFSET(Camp_List[P_Code],MATCH(Data_Vulnerability_t[[#This Row],[Camp Name]],Camp_List[Camp Name],0)-1,0,1,1),"")</f>
        <v>MMR012CMP016</v>
      </c>
      <c r="E5" s="314" t="s">
        <v>1107</v>
      </c>
      <c r="F5" s="156">
        <v>0</v>
      </c>
      <c r="G5" s="309" t="s">
        <v>623</v>
      </c>
      <c r="H5" s="861">
        <v>42886</v>
      </c>
      <c r="J5" s="927"/>
      <c r="K5" s="927"/>
      <c r="O5"/>
      <c r="P5"/>
      <c r="Q5"/>
      <c r="R5"/>
      <c r="S5"/>
      <c r="T5"/>
      <c r="U5"/>
      <c r="V5"/>
      <c r="W5"/>
      <c r="X5"/>
      <c r="Y5"/>
      <c r="Z5"/>
      <c r="AA5"/>
      <c r="AB5"/>
      <c r="AC5"/>
      <c r="AD5"/>
      <c r="AE5"/>
      <c r="AF5"/>
      <c r="AG5"/>
      <c r="AH5"/>
    </row>
    <row r="6" spans="1:34" ht="15" x14ac:dyDescent="0.25">
      <c r="A6" s="312" t="s">
        <v>7</v>
      </c>
      <c r="B6" s="328" t="s">
        <v>14</v>
      </c>
      <c r="C6" s="313" t="s">
        <v>40</v>
      </c>
      <c r="D6" s="313" t="str">
        <f ca="1">IFERROR(OFFSET(Camp_List[P_Code],MATCH(Data_Vulnerability_t[[#This Row],[Camp Name]],Camp_List[Camp Name],0)-1,0,1,1),"")</f>
        <v>MMR012CMP016</v>
      </c>
      <c r="E6" s="314" t="s">
        <v>1108</v>
      </c>
      <c r="F6" s="156">
        <v>0</v>
      </c>
      <c r="G6" s="309" t="s">
        <v>623</v>
      </c>
      <c r="H6" s="861">
        <v>42886</v>
      </c>
      <c r="J6" s="927"/>
      <c r="K6" s="927"/>
      <c r="O6"/>
      <c r="P6"/>
      <c r="Q6"/>
      <c r="R6"/>
      <c r="S6"/>
      <c r="T6"/>
      <c r="U6"/>
      <c r="V6"/>
      <c r="W6"/>
      <c r="X6"/>
      <c r="Y6"/>
      <c r="Z6"/>
      <c r="AA6"/>
      <c r="AB6"/>
      <c r="AC6"/>
      <c r="AD6"/>
      <c r="AE6"/>
      <c r="AF6"/>
      <c r="AG6"/>
      <c r="AH6"/>
    </row>
    <row r="7" spans="1:34" ht="15" x14ac:dyDescent="0.25">
      <c r="A7" s="312" t="s">
        <v>7</v>
      </c>
      <c r="B7" s="328" t="s">
        <v>14</v>
      </c>
      <c r="C7" s="313" t="s">
        <v>40</v>
      </c>
      <c r="D7" s="313" t="str">
        <f ca="1">IFERROR(OFFSET(Camp_List[P_Code],MATCH(Data_Vulnerability_t[[#This Row],[Camp Name]],Camp_List[Camp Name],0)-1,0,1,1),"")</f>
        <v>MMR012CMP016</v>
      </c>
      <c r="E7" s="314" t="s">
        <v>1109</v>
      </c>
      <c r="F7" s="156">
        <v>93</v>
      </c>
      <c r="G7" s="309" t="s">
        <v>623</v>
      </c>
      <c r="H7" s="861">
        <v>42886</v>
      </c>
      <c r="J7" s="927"/>
      <c r="K7" s="927"/>
      <c r="O7"/>
      <c r="P7"/>
      <c r="Q7"/>
      <c r="R7"/>
      <c r="S7"/>
      <c r="T7"/>
      <c r="U7"/>
      <c r="V7"/>
      <c r="W7"/>
      <c r="X7"/>
      <c r="Y7"/>
      <c r="Z7"/>
      <c r="AA7"/>
      <c r="AB7"/>
      <c r="AC7"/>
      <c r="AD7"/>
      <c r="AE7"/>
      <c r="AF7"/>
      <c r="AG7"/>
      <c r="AH7"/>
    </row>
    <row r="8" spans="1:34" ht="15" x14ac:dyDescent="0.25">
      <c r="A8" s="312" t="s">
        <v>7</v>
      </c>
      <c r="B8" s="328" t="s">
        <v>14</v>
      </c>
      <c r="C8" s="313" t="s">
        <v>40</v>
      </c>
      <c r="D8" s="313" t="str">
        <f ca="1">IFERROR(OFFSET(Camp_List[P_Code],MATCH(Data_Vulnerability_t[[#This Row],[Camp Name]],Camp_List[Camp Name],0)-1,0,1,1),"")</f>
        <v>MMR012CMP016</v>
      </c>
      <c r="E8" s="314" t="s">
        <v>1110</v>
      </c>
      <c r="F8" s="156">
        <v>199</v>
      </c>
      <c r="G8" s="309" t="s">
        <v>623</v>
      </c>
      <c r="H8" s="861">
        <v>42886</v>
      </c>
      <c r="J8" s="927"/>
      <c r="K8" s="927"/>
      <c r="O8"/>
      <c r="P8"/>
      <c r="Q8"/>
      <c r="R8"/>
      <c r="S8"/>
      <c r="T8"/>
      <c r="U8"/>
      <c r="V8"/>
      <c r="W8"/>
      <c r="X8"/>
      <c r="Y8"/>
      <c r="Z8"/>
      <c r="AA8"/>
      <c r="AB8"/>
      <c r="AC8"/>
      <c r="AD8"/>
      <c r="AE8"/>
      <c r="AF8"/>
      <c r="AG8"/>
      <c r="AH8"/>
    </row>
    <row r="9" spans="1:34" ht="15" x14ac:dyDescent="0.25">
      <c r="A9" s="312" t="s">
        <v>7</v>
      </c>
      <c r="B9" s="328" t="s">
        <v>14</v>
      </c>
      <c r="C9" s="313" t="s">
        <v>40</v>
      </c>
      <c r="D9" s="313" t="str">
        <f ca="1">IFERROR(OFFSET(Camp_List[P_Code],MATCH(Data_Vulnerability_t[[#This Row],[Camp Name]],Camp_List[Camp Name],0)-1,0,1,1),"")</f>
        <v>MMR012CMP016</v>
      </c>
      <c r="E9" s="314" t="s">
        <v>1111</v>
      </c>
      <c r="F9" s="156">
        <v>71</v>
      </c>
      <c r="G9" s="309" t="s">
        <v>623</v>
      </c>
      <c r="H9" s="861">
        <v>42886</v>
      </c>
      <c r="J9" s="927"/>
      <c r="K9" s="927"/>
      <c r="O9"/>
      <c r="P9"/>
      <c r="Q9"/>
      <c r="R9"/>
      <c r="S9"/>
      <c r="T9"/>
      <c r="U9"/>
      <c r="V9"/>
      <c r="W9"/>
      <c r="X9"/>
      <c r="Y9"/>
      <c r="Z9"/>
      <c r="AA9"/>
      <c r="AB9"/>
      <c r="AC9"/>
      <c r="AD9"/>
      <c r="AE9"/>
      <c r="AF9"/>
      <c r="AG9"/>
      <c r="AH9"/>
    </row>
    <row r="10" spans="1:34" ht="15.75" customHeight="1" x14ac:dyDescent="0.25">
      <c r="A10" s="312" t="s">
        <v>7</v>
      </c>
      <c r="B10" s="328" t="s">
        <v>14</v>
      </c>
      <c r="C10" s="313" t="s">
        <v>40</v>
      </c>
      <c r="D10" s="366" t="str">
        <f ca="1">IFERROR(OFFSET(Camp_List[P_Code],MATCH(Data_Vulnerability_t[[#This Row],[Camp Name]],Camp_List[Camp Name],0)-1,0,1,1),"")</f>
        <v>MMR012CMP016</v>
      </c>
      <c r="E10" s="314" t="s">
        <v>826</v>
      </c>
      <c r="F10" s="156">
        <v>339</v>
      </c>
      <c r="G10" s="309" t="s">
        <v>623</v>
      </c>
      <c r="H10" s="861">
        <v>42886</v>
      </c>
      <c r="J10" s="927"/>
      <c r="K10" s="927"/>
      <c r="O10" s="789"/>
      <c r="P10" s="789"/>
      <c r="Q10" s="789"/>
      <c r="R10" s="789"/>
      <c r="S10" s="789"/>
      <c r="T10" s="789"/>
      <c r="U10" s="789"/>
      <c r="V10" s="789"/>
      <c r="W10" s="789"/>
      <c r="X10" s="789"/>
      <c r="Y10" s="789"/>
      <c r="Z10" s="789"/>
      <c r="AA10" s="789"/>
      <c r="AB10" s="789"/>
      <c r="AC10" s="789"/>
      <c r="AD10" s="789"/>
      <c r="AE10" s="789"/>
      <c r="AF10" s="789"/>
      <c r="AG10" s="789"/>
      <c r="AH10" s="789"/>
    </row>
    <row r="11" spans="1:34" ht="15" customHeight="1" x14ac:dyDescent="0.25">
      <c r="A11" s="312" t="s">
        <v>7</v>
      </c>
      <c r="B11" s="328" t="s">
        <v>19</v>
      </c>
      <c r="C11" s="313" t="s">
        <v>61</v>
      </c>
      <c r="D11" s="313" t="str">
        <f ca="1">IFERROR(OFFSET(Camp_List[P_Code],MATCH(Data_Vulnerability_t[[#This Row],[Camp Name]],Camp_List[Camp Name],0)-1,0,1,1),"")</f>
        <v>MMR012CMP039</v>
      </c>
      <c r="E11" s="314" t="s">
        <v>1104</v>
      </c>
      <c r="F11" s="156">
        <v>46</v>
      </c>
      <c r="G11" s="309" t="s">
        <v>623</v>
      </c>
      <c r="H11" s="861">
        <v>42886</v>
      </c>
      <c r="J11" s="927"/>
      <c r="K11" s="927"/>
      <c r="L11"/>
      <c r="M11"/>
    </row>
    <row r="12" spans="1:34" ht="12.75" customHeight="1" x14ac:dyDescent="0.25">
      <c r="A12" s="312" t="s">
        <v>7</v>
      </c>
      <c r="B12" s="319" t="s">
        <v>19</v>
      </c>
      <c r="C12" s="313" t="s">
        <v>61</v>
      </c>
      <c r="D12" s="313" t="str">
        <f ca="1">IFERROR(OFFSET(Camp_List[P_Code],MATCH(Data_Vulnerability_t[[#This Row],[Camp Name]],Camp_List[Camp Name],0)-1,0,1,1),"")</f>
        <v>MMR012CMP039</v>
      </c>
      <c r="E12" s="314" t="s">
        <v>1105</v>
      </c>
      <c r="F12" s="308">
        <v>7</v>
      </c>
      <c r="G12" s="309" t="s">
        <v>623</v>
      </c>
      <c r="H12" s="861">
        <v>42886</v>
      </c>
      <c r="J12" s="927"/>
      <c r="K12" s="927"/>
      <c r="L12"/>
      <c r="M12"/>
    </row>
    <row r="13" spans="1:34" ht="12.75" customHeight="1" x14ac:dyDescent="0.25">
      <c r="A13" s="312" t="s">
        <v>7</v>
      </c>
      <c r="B13" s="319" t="s">
        <v>19</v>
      </c>
      <c r="C13" s="313" t="s">
        <v>61</v>
      </c>
      <c r="D13" s="313" t="str">
        <f ca="1">IFERROR(OFFSET(Camp_List[P_Code],MATCH(Data_Vulnerability_t[[#This Row],[Camp Name]],Camp_List[Camp Name],0)-1,0,1,1),"")</f>
        <v>MMR012CMP039</v>
      </c>
      <c r="E13" s="314" t="s">
        <v>1106</v>
      </c>
      <c r="F13" s="1000">
        <v>0</v>
      </c>
      <c r="G13" s="309" t="s">
        <v>623</v>
      </c>
      <c r="H13" s="861">
        <v>42886</v>
      </c>
      <c r="J13" s="927"/>
      <c r="K13" s="927"/>
      <c r="L13"/>
    </row>
    <row r="14" spans="1:34" ht="12.75" customHeight="1" x14ac:dyDescent="0.25">
      <c r="A14" s="312" t="s">
        <v>7</v>
      </c>
      <c r="B14" s="328" t="s">
        <v>19</v>
      </c>
      <c r="C14" s="313" t="s">
        <v>61</v>
      </c>
      <c r="D14" s="313" t="str">
        <f ca="1">IFERROR(OFFSET(Camp_List[P_Code],MATCH(Data_Vulnerability_t[[#This Row],[Camp Name]],Camp_List[Camp Name],0)-1,0,1,1),"")</f>
        <v>MMR012CMP039</v>
      </c>
      <c r="E14" s="314" t="s">
        <v>1107</v>
      </c>
      <c r="F14" s="156">
        <v>0</v>
      </c>
      <c r="G14" s="309" t="s">
        <v>623</v>
      </c>
      <c r="H14" s="861">
        <v>42886</v>
      </c>
      <c r="J14" s="927"/>
      <c r="K14" s="927"/>
      <c r="L14"/>
    </row>
    <row r="15" spans="1:34" ht="12.75" customHeight="1" x14ac:dyDescent="0.25">
      <c r="A15" s="312" t="s">
        <v>7</v>
      </c>
      <c r="B15" s="328" t="s">
        <v>19</v>
      </c>
      <c r="C15" s="313" t="s">
        <v>61</v>
      </c>
      <c r="D15" s="313" t="str">
        <f ca="1">IFERROR(OFFSET(Camp_List[P_Code],MATCH(Data_Vulnerability_t[[#This Row],[Camp Name]],Camp_List[Camp Name],0)-1,0,1,1),"")</f>
        <v>MMR012CMP039</v>
      </c>
      <c r="E15" s="314" t="s">
        <v>1108</v>
      </c>
      <c r="F15" s="156">
        <v>0</v>
      </c>
      <c r="G15" s="309" t="s">
        <v>623</v>
      </c>
      <c r="H15" s="861">
        <v>42886</v>
      </c>
      <c r="J15" s="927"/>
      <c r="K15" s="927"/>
      <c r="L15"/>
    </row>
    <row r="16" spans="1:34" ht="12.75" customHeight="1" x14ac:dyDescent="0.25">
      <c r="A16" s="312" t="s">
        <v>7</v>
      </c>
      <c r="B16" s="328" t="s">
        <v>19</v>
      </c>
      <c r="C16" s="313" t="s">
        <v>61</v>
      </c>
      <c r="D16" s="363" t="str">
        <f ca="1">IFERROR(OFFSET(Camp_List[P_Code],MATCH(Data_Vulnerability_t[[#This Row],[Camp Name]],Camp_List[Camp Name],0)-1,0,1,1),"")</f>
        <v>MMR012CMP039</v>
      </c>
      <c r="E16" s="314" t="s">
        <v>1109</v>
      </c>
      <c r="F16" s="365">
        <v>66</v>
      </c>
      <c r="G16" s="309" t="s">
        <v>623</v>
      </c>
      <c r="H16" s="861">
        <v>42886</v>
      </c>
      <c r="J16" s="927"/>
      <c r="K16" s="927"/>
      <c r="L16"/>
    </row>
    <row r="17" spans="1:12" ht="12.75" customHeight="1" x14ac:dyDescent="0.25">
      <c r="A17" s="312" t="s">
        <v>7</v>
      </c>
      <c r="B17" s="328" t="s">
        <v>19</v>
      </c>
      <c r="C17" s="313" t="s">
        <v>61</v>
      </c>
      <c r="D17" s="363" t="str">
        <f ca="1">IFERROR(OFFSET(Camp_List[P_Code],MATCH(Data_Vulnerability_t[[#This Row],[Camp Name]],Camp_List[Camp Name],0)-1,0,1,1),"")</f>
        <v>MMR012CMP039</v>
      </c>
      <c r="E17" s="314" t="s">
        <v>1110</v>
      </c>
      <c r="F17" s="365">
        <v>46</v>
      </c>
      <c r="G17" s="309" t="s">
        <v>623</v>
      </c>
      <c r="H17" s="861">
        <v>42886</v>
      </c>
      <c r="J17"/>
      <c r="K17"/>
      <c r="L17"/>
    </row>
    <row r="18" spans="1:12" ht="12.75" customHeight="1" x14ac:dyDescent="0.25">
      <c r="A18" s="312" t="s">
        <v>7</v>
      </c>
      <c r="B18" s="328" t="s">
        <v>19</v>
      </c>
      <c r="C18" s="313" t="s">
        <v>61</v>
      </c>
      <c r="D18" s="313" t="str">
        <f ca="1">IFERROR(OFFSET(Camp_List[P_Code],MATCH(Data_Vulnerability_t[[#This Row],[Camp Name]],Camp_List[Camp Name],0)-1,0,1,1),"")</f>
        <v>MMR012CMP039</v>
      </c>
      <c r="E18" s="314" t="s">
        <v>1111</v>
      </c>
      <c r="F18" s="156">
        <v>15</v>
      </c>
      <c r="G18" s="309" t="s">
        <v>623</v>
      </c>
      <c r="H18" s="861">
        <v>42886</v>
      </c>
      <c r="J18"/>
      <c r="K18"/>
      <c r="L18"/>
    </row>
    <row r="19" spans="1:12" ht="12.75" customHeight="1" x14ac:dyDescent="0.25">
      <c r="A19" s="312" t="s">
        <v>7</v>
      </c>
      <c r="B19" s="328" t="s">
        <v>19</v>
      </c>
      <c r="C19" s="313" t="s">
        <v>61</v>
      </c>
      <c r="D19" s="366" t="str">
        <f ca="1">IFERROR(OFFSET(Camp_List[P_Code],MATCH(Data_Vulnerability_t[[#This Row],[Camp Name]],Camp_List[Camp Name],0)-1,0,1,1),"")</f>
        <v>MMR012CMP039</v>
      </c>
      <c r="E19" s="314" t="s">
        <v>826</v>
      </c>
      <c r="F19" s="156">
        <v>39</v>
      </c>
      <c r="G19" s="309" t="s">
        <v>623</v>
      </c>
      <c r="H19" s="861">
        <v>42886</v>
      </c>
      <c r="J19" s="789"/>
      <c r="K19" s="789"/>
      <c r="L19" s="789"/>
    </row>
    <row r="20" spans="1:12" ht="12.75" customHeight="1" x14ac:dyDescent="0.25">
      <c r="A20" s="312" t="s">
        <v>7</v>
      </c>
      <c r="B20" s="328" t="s">
        <v>19</v>
      </c>
      <c r="C20" s="313" t="s">
        <v>629</v>
      </c>
      <c r="D20" s="313" t="str">
        <f ca="1">IFERROR(OFFSET(Camp_List[P_Code],MATCH(Data_Vulnerability_t[[#This Row],[Camp Name]],Camp_List[Camp Name],0)-1,0,1,1),"")</f>
        <v>MMR012CMP113</v>
      </c>
      <c r="E20" s="314" t="s">
        <v>1104</v>
      </c>
      <c r="F20" s="156">
        <v>28</v>
      </c>
      <c r="G20" s="309" t="s">
        <v>288</v>
      </c>
      <c r="H20" s="861">
        <v>42886</v>
      </c>
      <c r="J20"/>
      <c r="K20"/>
      <c r="L20"/>
    </row>
    <row r="21" spans="1:12" ht="12.75" customHeight="1" x14ac:dyDescent="0.25">
      <c r="A21" s="312" t="s">
        <v>7</v>
      </c>
      <c r="B21" s="328" t="s">
        <v>19</v>
      </c>
      <c r="C21" s="313" t="s">
        <v>629</v>
      </c>
      <c r="D21" s="313" t="str">
        <f ca="1">IFERROR(OFFSET(Camp_List[P_Code],MATCH(Data_Vulnerability_t[[#This Row],[Camp Name]],Camp_List[Camp Name],0)-1,0,1,1),"")</f>
        <v>MMR012CMP113</v>
      </c>
      <c r="E21" s="314" t="s">
        <v>1105</v>
      </c>
      <c r="F21" s="156">
        <v>0</v>
      </c>
      <c r="G21" s="309" t="s">
        <v>288</v>
      </c>
      <c r="H21" s="861">
        <v>42886</v>
      </c>
      <c r="J21"/>
      <c r="K21"/>
      <c r="L21"/>
    </row>
    <row r="22" spans="1:12" ht="12.75" customHeight="1" x14ac:dyDescent="0.25">
      <c r="A22" s="312" t="s">
        <v>7</v>
      </c>
      <c r="B22" s="328" t="s">
        <v>19</v>
      </c>
      <c r="C22" s="313" t="s">
        <v>629</v>
      </c>
      <c r="D22" s="313" t="str">
        <f ca="1">IFERROR(OFFSET(Camp_List[P_Code],MATCH(Data_Vulnerability_t[[#This Row],[Camp Name]],Camp_List[Camp Name],0)-1,0,1,1),"")</f>
        <v>MMR012CMP113</v>
      </c>
      <c r="E22" s="314" t="s">
        <v>1106</v>
      </c>
      <c r="F22" s="156">
        <v>40</v>
      </c>
      <c r="G22" s="309" t="s">
        <v>288</v>
      </c>
      <c r="H22" s="861">
        <v>42886</v>
      </c>
      <c r="J22"/>
      <c r="K22"/>
      <c r="L22"/>
    </row>
    <row r="23" spans="1:12" ht="15" x14ac:dyDescent="0.25">
      <c r="A23" s="312" t="s">
        <v>7</v>
      </c>
      <c r="B23" s="328" t="s">
        <v>19</v>
      </c>
      <c r="C23" s="313" t="s">
        <v>629</v>
      </c>
      <c r="D23" s="313" t="str">
        <f ca="1">IFERROR(OFFSET(Camp_List[P_Code],MATCH(Data_Vulnerability_t[[#This Row],[Camp Name]],Camp_List[Camp Name],0)-1,0,1,1),"")</f>
        <v>MMR012CMP113</v>
      </c>
      <c r="E23" s="314" t="s">
        <v>1107</v>
      </c>
      <c r="F23" s="156">
        <v>12</v>
      </c>
      <c r="G23" s="309" t="s">
        <v>288</v>
      </c>
      <c r="H23" s="861">
        <v>42886</v>
      </c>
      <c r="K23"/>
      <c r="L23"/>
    </row>
    <row r="24" spans="1:12" ht="15" x14ac:dyDescent="0.25">
      <c r="A24" s="312" t="s">
        <v>7</v>
      </c>
      <c r="B24" s="328" t="s">
        <v>19</v>
      </c>
      <c r="C24" s="313" t="s">
        <v>629</v>
      </c>
      <c r="D24" s="313" t="str">
        <f ca="1">IFERROR(OFFSET(Camp_List[P_Code],MATCH(Data_Vulnerability_t[[#This Row],[Camp Name]],Camp_List[Camp Name],0)-1,0,1,1),"")</f>
        <v>MMR012CMP113</v>
      </c>
      <c r="E24" s="314" t="s">
        <v>1108</v>
      </c>
      <c r="F24" s="156">
        <v>14</v>
      </c>
      <c r="G24" s="309" t="s">
        <v>288</v>
      </c>
      <c r="H24" s="861">
        <v>42886</v>
      </c>
      <c r="K24"/>
      <c r="L24"/>
    </row>
    <row r="25" spans="1:12" ht="15" x14ac:dyDescent="0.25">
      <c r="A25" s="312" t="s">
        <v>7</v>
      </c>
      <c r="B25" s="328" t="s">
        <v>19</v>
      </c>
      <c r="C25" s="313" t="s">
        <v>629</v>
      </c>
      <c r="D25" s="313" t="str">
        <f ca="1">IFERROR(OFFSET(Camp_List[P_Code],MATCH(Data_Vulnerability_t[[#This Row],[Camp Name]],Camp_List[Camp Name],0)-1,0,1,1),"")</f>
        <v>MMR012CMP113</v>
      </c>
      <c r="E25" s="314" t="s">
        <v>1109</v>
      </c>
      <c r="F25" s="156">
        <v>15</v>
      </c>
      <c r="G25" s="309" t="s">
        <v>288</v>
      </c>
      <c r="H25" s="861">
        <v>42886</v>
      </c>
      <c r="K25"/>
      <c r="L25"/>
    </row>
    <row r="26" spans="1:12" ht="15" x14ac:dyDescent="0.25">
      <c r="A26" s="312" t="s">
        <v>7</v>
      </c>
      <c r="B26" s="328" t="s">
        <v>19</v>
      </c>
      <c r="C26" s="313" t="s">
        <v>629</v>
      </c>
      <c r="D26" s="313" t="str">
        <f ca="1">IFERROR(OFFSET(Camp_List[P_Code],MATCH(Data_Vulnerability_t[[#This Row],[Camp Name]],Camp_List[Camp Name],0)-1,0,1,1),"")</f>
        <v>MMR012CMP113</v>
      </c>
      <c r="E26" s="314" t="s">
        <v>1110</v>
      </c>
      <c r="F26" s="156">
        <v>125</v>
      </c>
      <c r="G26" s="309" t="s">
        <v>288</v>
      </c>
      <c r="H26" s="861">
        <v>42886</v>
      </c>
      <c r="K26"/>
      <c r="L26"/>
    </row>
    <row r="27" spans="1:12" ht="15" x14ac:dyDescent="0.25">
      <c r="A27" s="312" t="s">
        <v>7</v>
      </c>
      <c r="B27" s="328" t="s">
        <v>19</v>
      </c>
      <c r="C27" s="313" t="s">
        <v>629</v>
      </c>
      <c r="D27" s="313" t="str">
        <f ca="1">IFERROR(OFFSET(Camp_List[P_Code],MATCH(Data_Vulnerability_t[[#This Row],[Camp Name]],Camp_List[Camp Name],0)-1,0,1,1),"")</f>
        <v>MMR012CMP113</v>
      </c>
      <c r="E27" s="314" t="s">
        <v>1111</v>
      </c>
      <c r="F27" s="156">
        <v>0</v>
      </c>
      <c r="G27" s="309" t="s">
        <v>288</v>
      </c>
      <c r="H27" s="861">
        <v>42886</v>
      </c>
      <c r="K27"/>
      <c r="L27"/>
    </row>
    <row r="28" spans="1:12" ht="15" x14ac:dyDescent="0.25">
      <c r="A28" s="312" t="s">
        <v>7</v>
      </c>
      <c r="B28" s="328" t="s">
        <v>19</v>
      </c>
      <c r="C28" s="313" t="s">
        <v>629</v>
      </c>
      <c r="D28" s="366" t="str">
        <f ca="1">IFERROR(OFFSET(Camp_List[P_Code],MATCH(Data_Vulnerability_t[[#This Row],[Camp Name]],Camp_List[Camp Name],0)-1,0,1,1),"")</f>
        <v>MMR012CMP113</v>
      </c>
      <c r="E28" s="314" t="s">
        <v>826</v>
      </c>
      <c r="F28" s="156">
        <v>0</v>
      </c>
      <c r="G28" s="309" t="s">
        <v>288</v>
      </c>
      <c r="H28" s="861">
        <v>42886</v>
      </c>
      <c r="K28" s="789"/>
      <c r="L28" s="789"/>
    </row>
    <row r="29" spans="1:12" ht="15" x14ac:dyDescent="0.25">
      <c r="A29" s="312" t="s">
        <v>7</v>
      </c>
      <c r="B29" s="328" t="s">
        <v>19</v>
      </c>
      <c r="C29" s="353" t="s">
        <v>630</v>
      </c>
      <c r="D29" s="313" t="str">
        <f ca="1">IFERROR(OFFSET(Camp_List[P_Code],MATCH(Data_Vulnerability_t[[#This Row],[Camp Name]],Camp_List[Camp Name],0)-1,0,1,1),"")</f>
        <v>MMR012CMP114</v>
      </c>
      <c r="E29" s="314" t="s">
        <v>1104</v>
      </c>
      <c r="F29" s="156">
        <v>43</v>
      </c>
      <c r="G29" s="309" t="s">
        <v>288</v>
      </c>
      <c r="H29" s="861">
        <v>42886</v>
      </c>
      <c r="K29"/>
      <c r="L29"/>
    </row>
    <row r="30" spans="1:12" ht="15" x14ac:dyDescent="0.25">
      <c r="A30" s="312" t="s">
        <v>7</v>
      </c>
      <c r="B30" s="328" t="s">
        <v>19</v>
      </c>
      <c r="C30" s="353" t="s">
        <v>630</v>
      </c>
      <c r="D30" s="313" t="str">
        <f ca="1">IFERROR(OFFSET(Camp_List[P_Code],MATCH(Data_Vulnerability_t[[#This Row],[Camp Name]],Camp_List[Camp Name],0)-1,0,1,1),"")</f>
        <v>MMR012CMP114</v>
      </c>
      <c r="E30" s="314" t="s">
        <v>1105</v>
      </c>
      <c r="F30" s="156">
        <v>0</v>
      </c>
      <c r="G30" s="309" t="s">
        <v>288</v>
      </c>
      <c r="H30" s="861">
        <v>42886</v>
      </c>
      <c r="K30"/>
      <c r="L30"/>
    </row>
    <row r="31" spans="1:12" ht="15" x14ac:dyDescent="0.25">
      <c r="A31" s="312" t="s">
        <v>7</v>
      </c>
      <c r="B31" s="328" t="s">
        <v>19</v>
      </c>
      <c r="C31" s="353" t="s">
        <v>630</v>
      </c>
      <c r="D31" s="313" t="str">
        <f ca="1">IFERROR(OFFSET(Camp_List[P_Code],MATCH(Data_Vulnerability_t[[#This Row],[Camp Name]],Camp_List[Camp Name],0)-1,0,1,1),"")</f>
        <v>MMR012CMP114</v>
      </c>
      <c r="E31" s="314" t="s">
        <v>1106</v>
      </c>
      <c r="F31" s="156">
        <v>55</v>
      </c>
      <c r="G31" s="309" t="s">
        <v>288</v>
      </c>
      <c r="H31" s="861">
        <v>42886</v>
      </c>
      <c r="K31"/>
      <c r="L31"/>
    </row>
    <row r="32" spans="1:12" ht="15" x14ac:dyDescent="0.25">
      <c r="A32" s="312" t="s">
        <v>7</v>
      </c>
      <c r="B32" s="328" t="s">
        <v>19</v>
      </c>
      <c r="C32" s="353" t="s">
        <v>630</v>
      </c>
      <c r="D32" s="313" t="str">
        <f ca="1">IFERROR(OFFSET(Camp_List[P_Code],MATCH(Data_Vulnerability_t[[#This Row],[Camp Name]],Camp_List[Camp Name],0)-1,0,1,1),"")</f>
        <v>MMR012CMP114</v>
      </c>
      <c r="E32" s="314" t="s">
        <v>1107</v>
      </c>
      <c r="F32" s="156">
        <v>34</v>
      </c>
      <c r="G32" s="309" t="s">
        <v>288</v>
      </c>
      <c r="H32" s="861">
        <v>42886</v>
      </c>
      <c r="K32"/>
      <c r="L32"/>
    </row>
    <row r="33" spans="1:14" ht="15" x14ac:dyDescent="0.25">
      <c r="A33" s="312" t="s">
        <v>7</v>
      </c>
      <c r="B33" s="328" t="s">
        <v>19</v>
      </c>
      <c r="C33" s="353" t="s">
        <v>630</v>
      </c>
      <c r="D33" s="313" t="str">
        <f ca="1">IFERROR(OFFSET(Camp_List[P_Code],MATCH(Data_Vulnerability_t[[#This Row],[Camp Name]],Camp_List[Camp Name],0)-1,0,1,1),"")</f>
        <v>MMR012CMP114</v>
      </c>
      <c r="E33" s="314" t="s">
        <v>1108</v>
      </c>
      <c r="F33" s="156">
        <v>13</v>
      </c>
      <c r="G33" s="309" t="s">
        <v>288</v>
      </c>
      <c r="H33" s="861">
        <v>42886</v>
      </c>
      <c r="K33"/>
      <c r="L33"/>
    </row>
    <row r="34" spans="1:14" ht="15" x14ac:dyDescent="0.25">
      <c r="A34" s="312" t="s">
        <v>7</v>
      </c>
      <c r="B34" s="328" t="s">
        <v>19</v>
      </c>
      <c r="C34" s="353" t="s">
        <v>630</v>
      </c>
      <c r="D34" s="313" t="str">
        <f ca="1">IFERROR(OFFSET(Camp_List[P_Code],MATCH(Data_Vulnerability_t[[#This Row],[Camp Name]],Camp_List[Camp Name],0)-1,0,1,1),"")</f>
        <v>MMR012CMP114</v>
      </c>
      <c r="E34" s="314" t="s">
        <v>1109</v>
      </c>
      <c r="F34" s="156">
        <v>26</v>
      </c>
      <c r="G34" s="309" t="s">
        <v>288</v>
      </c>
      <c r="H34" s="861">
        <v>42886</v>
      </c>
      <c r="K34"/>
      <c r="L34"/>
    </row>
    <row r="35" spans="1:14" ht="15" x14ac:dyDescent="0.25">
      <c r="A35" s="312" t="s">
        <v>7</v>
      </c>
      <c r="B35" s="328" t="s">
        <v>19</v>
      </c>
      <c r="C35" s="353" t="s">
        <v>630</v>
      </c>
      <c r="D35" s="313" t="str">
        <f ca="1">IFERROR(OFFSET(Camp_List[P_Code],MATCH(Data_Vulnerability_t[[#This Row],[Camp Name]],Camp_List[Camp Name],0)-1,0,1,1),"")</f>
        <v>MMR012CMP114</v>
      </c>
      <c r="E35" s="314" t="s">
        <v>1110</v>
      </c>
      <c r="F35" s="156">
        <v>185</v>
      </c>
      <c r="G35" s="309" t="s">
        <v>288</v>
      </c>
      <c r="H35" s="861">
        <v>42886</v>
      </c>
      <c r="K35"/>
      <c r="L35"/>
    </row>
    <row r="36" spans="1:14" ht="15" x14ac:dyDescent="0.25">
      <c r="A36" s="312" t="s">
        <v>7</v>
      </c>
      <c r="B36" s="328" t="s">
        <v>19</v>
      </c>
      <c r="C36" s="353" t="s">
        <v>630</v>
      </c>
      <c r="D36" s="313" t="str">
        <f ca="1">IFERROR(OFFSET(Camp_List[P_Code],MATCH(Data_Vulnerability_t[[#This Row],[Camp Name]],Camp_List[Camp Name],0)-1,0,1,1),"")</f>
        <v>MMR012CMP114</v>
      </c>
      <c r="E36" s="314" t="s">
        <v>1111</v>
      </c>
      <c r="F36" s="156">
        <v>0</v>
      </c>
      <c r="G36" s="309" t="s">
        <v>288</v>
      </c>
      <c r="H36" s="861">
        <v>42886</v>
      </c>
      <c r="K36" s="90"/>
      <c r="L36" s="90"/>
    </row>
    <row r="37" spans="1:14" ht="15" x14ac:dyDescent="0.25">
      <c r="A37" s="312" t="s">
        <v>7</v>
      </c>
      <c r="B37" s="328" t="s">
        <v>19</v>
      </c>
      <c r="C37" s="353" t="s">
        <v>630</v>
      </c>
      <c r="D37" s="366" t="str">
        <f ca="1">IFERROR(OFFSET(Camp_List[P_Code],MATCH(Data_Vulnerability_t[[#This Row],[Camp Name]],Camp_List[Camp Name],0)-1,0,1,1),"")</f>
        <v>MMR012CMP114</v>
      </c>
      <c r="E37" s="314" t="s">
        <v>826</v>
      </c>
      <c r="F37" s="156">
        <v>0</v>
      </c>
      <c r="G37" s="309" t="s">
        <v>288</v>
      </c>
      <c r="H37" s="861">
        <v>42886</v>
      </c>
      <c r="K37" s="789"/>
      <c r="L37" s="789"/>
    </row>
    <row r="38" spans="1:14" ht="15" x14ac:dyDescent="0.25">
      <c r="A38" s="312" t="s">
        <v>7</v>
      </c>
      <c r="B38" s="328" t="s">
        <v>19</v>
      </c>
      <c r="C38" s="313" t="s">
        <v>63</v>
      </c>
      <c r="D38" s="313" t="str">
        <f ca="1">IFERROR(OFFSET(Camp_List[P_Code],MATCH(Data_Vulnerability_t[[#This Row],[Camp Name]],Camp_List[Camp Name],0)-1,0,1,1),"")</f>
        <v>MMR012CMP041</v>
      </c>
      <c r="E38" s="314" t="s">
        <v>1104</v>
      </c>
      <c r="F38" s="156">
        <v>94</v>
      </c>
      <c r="G38" s="309" t="s">
        <v>288</v>
      </c>
      <c r="H38" s="861">
        <v>42886</v>
      </c>
      <c r="K38" s="90"/>
      <c r="L38" s="90"/>
    </row>
    <row r="39" spans="1:14" ht="15" x14ac:dyDescent="0.25">
      <c r="A39" s="312" t="s">
        <v>7</v>
      </c>
      <c r="B39" s="328" t="s">
        <v>19</v>
      </c>
      <c r="C39" s="313" t="s">
        <v>63</v>
      </c>
      <c r="D39" s="313" t="str">
        <f ca="1">IFERROR(OFFSET(Camp_List[P_Code],MATCH(Data_Vulnerability_t[[#This Row],[Camp Name]],Camp_List[Camp Name],0)-1,0,1,1),"")</f>
        <v>MMR012CMP041</v>
      </c>
      <c r="E39" s="314" t="s">
        <v>1105</v>
      </c>
      <c r="F39" s="156">
        <v>0</v>
      </c>
      <c r="G39" s="309" t="s">
        <v>288</v>
      </c>
      <c r="H39" s="861">
        <v>42886</v>
      </c>
      <c r="J39" s="199" t="s">
        <v>534</v>
      </c>
      <c r="K39" s="199" t="s">
        <v>664</v>
      </c>
      <c r="L39"/>
      <c r="M39"/>
      <c r="N39"/>
    </row>
    <row r="40" spans="1:14" ht="15" x14ac:dyDescent="0.25">
      <c r="A40" s="312" t="s">
        <v>7</v>
      </c>
      <c r="B40" s="328" t="s">
        <v>19</v>
      </c>
      <c r="C40" s="313" t="s">
        <v>63</v>
      </c>
      <c r="D40" s="313" t="str">
        <f ca="1">IFERROR(OFFSET(Camp_List[P_Code],MATCH(Data_Vulnerability_t[[#This Row],[Camp Name]],Camp_List[Camp Name],0)-1,0,1,1),"")</f>
        <v>MMR012CMP041</v>
      </c>
      <c r="E40" s="314" t="s">
        <v>1106</v>
      </c>
      <c r="F40" s="156">
        <v>69</v>
      </c>
      <c r="G40" s="309" t="s">
        <v>288</v>
      </c>
      <c r="H40" s="861">
        <v>42886</v>
      </c>
      <c r="J40" s="199" t="s">
        <v>212</v>
      </c>
      <c r="K40" s="201" t="s">
        <v>19</v>
      </c>
      <c r="L40" s="201" t="s">
        <v>14</v>
      </c>
      <c r="M40" s="202" t="s">
        <v>866</v>
      </c>
      <c r="N40" s="202" t="s">
        <v>213</v>
      </c>
    </row>
    <row r="41" spans="1:14" ht="15" x14ac:dyDescent="0.25">
      <c r="A41" s="312" t="s">
        <v>7</v>
      </c>
      <c r="B41" s="328" t="s">
        <v>19</v>
      </c>
      <c r="C41" s="313" t="s">
        <v>63</v>
      </c>
      <c r="D41" s="313" t="str">
        <f ca="1">IFERROR(OFFSET(Camp_List[P_Code],MATCH(Data_Vulnerability_t[[#This Row],[Camp Name]],Camp_List[Camp Name],0)-1,0,1,1),"")</f>
        <v>MMR012CMP041</v>
      </c>
      <c r="E41" s="314" t="s">
        <v>1107</v>
      </c>
      <c r="F41" s="156">
        <v>32</v>
      </c>
      <c r="G41" s="309" t="s">
        <v>288</v>
      </c>
      <c r="H41" s="861">
        <v>42886</v>
      </c>
      <c r="J41" s="655" t="s">
        <v>1111</v>
      </c>
      <c r="K41" s="652">
        <v>472</v>
      </c>
      <c r="L41" s="652">
        <v>139</v>
      </c>
      <c r="M41" s="652">
        <v>38</v>
      </c>
      <c r="N41" s="653">
        <v>649</v>
      </c>
    </row>
    <row r="42" spans="1:14" ht="15" x14ac:dyDescent="0.25">
      <c r="A42" s="312" t="s">
        <v>7</v>
      </c>
      <c r="B42" s="328" t="s">
        <v>19</v>
      </c>
      <c r="C42" s="313" t="s">
        <v>63</v>
      </c>
      <c r="D42" s="313" t="str">
        <f ca="1">IFERROR(OFFSET(Camp_List[P_Code],MATCH(Data_Vulnerability_t[[#This Row],[Camp Name]],Camp_List[Camp Name],0)-1,0,1,1),"")</f>
        <v>MMR012CMP041</v>
      </c>
      <c r="E42" s="314" t="s">
        <v>1108</v>
      </c>
      <c r="F42" s="156">
        <v>40</v>
      </c>
      <c r="G42" s="309" t="s">
        <v>288</v>
      </c>
      <c r="H42" s="861">
        <v>42886</v>
      </c>
      <c r="J42" s="654" t="s">
        <v>826</v>
      </c>
      <c r="K42" s="614">
        <v>1403</v>
      </c>
      <c r="L42" s="614">
        <v>573</v>
      </c>
      <c r="M42" s="614">
        <v>62</v>
      </c>
      <c r="N42" s="651">
        <v>2038</v>
      </c>
    </row>
    <row r="43" spans="1:14" ht="15" x14ac:dyDescent="0.25">
      <c r="A43" s="312" t="s">
        <v>7</v>
      </c>
      <c r="B43" s="328" t="s">
        <v>19</v>
      </c>
      <c r="C43" s="313" t="s">
        <v>63</v>
      </c>
      <c r="D43" s="313" t="str">
        <f ca="1">IFERROR(OFFSET(Camp_List[P_Code],MATCH(Data_Vulnerability_t[[#This Row],[Camp Name]],Camp_List[Camp Name],0)-1,0,1,1),"")</f>
        <v>MMR012CMP041</v>
      </c>
      <c r="E43" s="314" t="s">
        <v>1109</v>
      </c>
      <c r="F43" s="156">
        <v>32</v>
      </c>
      <c r="G43" s="309" t="s">
        <v>288</v>
      </c>
      <c r="H43" s="861">
        <v>42886</v>
      </c>
      <c r="J43" s="654" t="s">
        <v>1104</v>
      </c>
      <c r="K43" s="614">
        <v>752</v>
      </c>
      <c r="L43" s="614">
        <v>120</v>
      </c>
      <c r="M43" s="614">
        <v>35</v>
      </c>
      <c r="N43" s="651">
        <v>907</v>
      </c>
    </row>
    <row r="44" spans="1:14" ht="15" x14ac:dyDescent="0.25">
      <c r="A44" s="312" t="s">
        <v>7</v>
      </c>
      <c r="B44" s="328" t="s">
        <v>19</v>
      </c>
      <c r="C44" s="313" t="s">
        <v>63</v>
      </c>
      <c r="D44" s="313" t="str">
        <f ca="1">IFERROR(OFFSET(Camp_List[P_Code],MATCH(Data_Vulnerability_t[[#This Row],[Camp Name]],Camp_List[Camp Name],0)-1,0,1,1),"")</f>
        <v>MMR012CMP041</v>
      </c>
      <c r="E44" s="314" t="s">
        <v>1110</v>
      </c>
      <c r="F44" s="156">
        <v>229</v>
      </c>
      <c r="G44" s="309" t="s">
        <v>288</v>
      </c>
      <c r="H44" s="861">
        <v>42886</v>
      </c>
      <c r="J44" s="654" t="s">
        <v>1105</v>
      </c>
      <c r="K44" s="614">
        <v>115</v>
      </c>
      <c r="L44" s="614">
        <v>18</v>
      </c>
      <c r="M44" s="614">
        <v>14</v>
      </c>
      <c r="N44" s="651">
        <v>147</v>
      </c>
    </row>
    <row r="45" spans="1:14" ht="15" x14ac:dyDescent="0.25">
      <c r="A45" s="312" t="s">
        <v>7</v>
      </c>
      <c r="B45" s="328" t="s">
        <v>19</v>
      </c>
      <c r="C45" s="313" t="s">
        <v>63</v>
      </c>
      <c r="D45" s="313" t="str">
        <f ca="1">IFERROR(OFFSET(Camp_List[P_Code],MATCH(Data_Vulnerability_t[[#This Row],[Camp Name]],Camp_List[Camp Name],0)-1,0,1,1),"")</f>
        <v>MMR012CMP041</v>
      </c>
      <c r="E45" s="314" t="s">
        <v>1111</v>
      </c>
      <c r="F45" s="156">
        <v>0</v>
      </c>
      <c r="G45" s="309" t="s">
        <v>288</v>
      </c>
      <c r="H45" s="861">
        <v>42886</v>
      </c>
      <c r="J45" s="654" t="s">
        <v>1106</v>
      </c>
      <c r="K45" s="614">
        <v>624</v>
      </c>
      <c r="L45" s="614">
        <v>142</v>
      </c>
      <c r="M45" s="614">
        <v>158</v>
      </c>
      <c r="N45" s="651">
        <v>924</v>
      </c>
    </row>
    <row r="46" spans="1:14" ht="15" x14ac:dyDescent="0.25">
      <c r="A46" s="312" t="s">
        <v>7</v>
      </c>
      <c r="B46" s="328" t="s">
        <v>19</v>
      </c>
      <c r="C46" s="313" t="s">
        <v>63</v>
      </c>
      <c r="D46" s="366" t="str">
        <f ca="1">IFERROR(OFFSET(Camp_List[P_Code],MATCH(Data_Vulnerability_t[[#This Row],[Camp Name]],Camp_List[Camp Name],0)-1,0,1,1),"")</f>
        <v>MMR012CMP041</v>
      </c>
      <c r="E46" s="314" t="s">
        <v>826</v>
      </c>
      <c r="F46" s="156">
        <v>0</v>
      </c>
      <c r="G46" s="309" t="s">
        <v>288</v>
      </c>
      <c r="H46" s="861">
        <v>42886</v>
      </c>
      <c r="J46" s="654" t="s">
        <v>1107</v>
      </c>
      <c r="K46" s="614">
        <v>350</v>
      </c>
      <c r="L46" s="614">
        <v>18</v>
      </c>
      <c r="M46" s="614">
        <v>3</v>
      </c>
      <c r="N46" s="651">
        <v>371</v>
      </c>
    </row>
    <row r="47" spans="1:14" ht="15" x14ac:dyDescent="0.25">
      <c r="A47" s="312" t="s">
        <v>7</v>
      </c>
      <c r="B47" s="328" t="s">
        <v>19</v>
      </c>
      <c r="C47" s="313" t="s">
        <v>64</v>
      </c>
      <c r="D47" s="313" t="str">
        <f ca="1">IFERROR(OFFSET(Camp_List[P_Code],MATCH(Data_Vulnerability_t[[#This Row],[Camp Name]],Camp_List[Camp Name],0)-1,0,1,1),"")</f>
        <v>MMR012CMP042</v>
      </c>
      <c r="E47" s="314" t="s">
        <v>1104</v>
      </c>
      <c r="F47" s="156">
        <v>71</v>
      </c>
      <c r="G47" s="309" t="s">
        <v>623</v>
      </c>
      <c r="H47" s="861">
        <v>42886</v>
      </c>
      <c r="J47" s="654" t="s">
        <v>1108</v>
      </c>
      <c r="K47" s="614">
        <v>232</v>
      </c>
      <c r="L47" s="614">
        <v>64</v>
      </c>
      <c r="M47" s="614">
        <v>5</v>
      </c>
      <c r="N47" s="651">
        <v>301</v>
      </c>
    </row>
    <row r="48" spans="1:14" ht="15" x14ac:dyDescent="0.25">
      <c r="A48" s="312" t="s">
        <v>7</v>
      </c>
      <c r="B48" s="328" t="s">
        <v>19</v>
      </c>
      <c r="C48" s="313" t="s">
        <v>64</v>
      </c>
      <c r="D48" s="313" t="str">
        <f ca="1">IFERROR(OFFSET(Camp_List[P_Code],MATCH(Data_Vulnerability_t[[#This Row],[Camp Name]],Camp_List[Camp Name],0)-1,0,1,1),"")</f>
        <v>MMR012CMP042</v>
      </c>
      <c r="E48" s="314" t="s">
        <v>1105</v>
      </c>
      <c r="F48" s="156">
        <v>15</v>
      </c>
      <c r="G48" s="309" t="s">
        <v>623</v>
      </c>
      <c r="H48" s="861">
        <v>42886</v>
      </c>
      <c r="J48" s="654" t="s">
        <v>1109</v>
      </c>
      <c r="K48" s="614">
        <v>988</v>
      </c>
      <c r="L48" s="614">
        <v>479</v>
      </c>
      <c r="M48" s="614">
        <v>5</v>
      </c>
      <c r="N48" s="651">
        <v>1472</v>
      </c>
    </row>
    <row r="49" spans="1:14" ht="15" x14ac:dyDescent="0.25">
      <c r="A49" s="312" t="s">
        <v>7</v>
      </c>
      <c r="B49" s="328" t="s">
        <v>19</v>
      </c>
      <c r="C49" s="313" t="s">
        <v>64</v>
      </c>
      <c r="D49" s="313" t="str">
        <f ca="1">IFERROR(OFFSET(Camp_List[P_Code],MATCH(Data_Vulnerability_t[[#This Row],[Camp Name]],Camp_List[Camp Name],0)-1,0,1,1),"")</f>
        <v>MMR012CMP042</v>
      </c>
      <c r="E49" s="314" t="s">
        <v>1106</v>
      </c>
      <c r="F49" s="156">
        <v>0</v>
      </c>
      <c r="G49" s="309" t="s">
        <v>623</v>
      </c>
      <c r="H49" s="861">
        <v>42886</v>
      </c>
      <c r="J49" s="570" t="s">
        <v>1110</v>
      </c>
      <c r="K49" s="505">
        <v>2332</v>
      </c>
      <c r="L49" s="505">
        <v>354</v>
      </c>
      <c r="M49" s="505">
        <v>210</v>
      </c>
      <c r="N49" s="282">
        <v>2896</v>
      </c>
    </row>
    <row r="50" spans="1:14" ht="15" x14ac:dyDescent="0.25">
      <c r="A50" s="312" t="s">
        <v>7</v>
      </c>
      <c r="B50" s="328" t="s">
        <v>19</v>
      </c>
      <c r="C50" s="313" t="s">
        <v>64</v>
      </c>
      <c r="D50" s="313" t="str">
        <f ca="1">IFERROR(OFFSET(Camp_List[P_Code],MATCH(Data_Vulnerability_t[[#This Row],[Camp Name]],Camp_List[Camp Name],0)-1,0,1,1),"")</f>
        <v>MMR012CMP042</v>
      </c>
      <c r="E50" s="314" t="s">
        <v>1107</v>
      </c>
      <c r="F50" s="156">
        <v>0</v>
      </c>
      <c r="G50" s="309" t="s">
        <v>623</v>
      </c>
      <c r="H50" s="861">
        <v>42886</v>
      </c>
      <c r="J50" s="570" t="s">
        <v>213</v>
      </c>
      <c r="K50" s="571">
        <v>7268</v>
      </c>
      <c r="L50" s="505">
        <v>1907</v>
      </c>
      <c r="M50" s="505">
        <v>530</v>
      </c>
      <c r="N50" s="282">
        <v>9705</v>
      </c>
    </row>
    <row r="51" spans="1:14" x14ac:dyDescent="0.2">
      <c r="A51" s="312" t="s">
        <v>7</v>
      </c>
      <c r="B51" s="328" t="s">
        <v>19</v>
      </c>
      <c r="C51" s="313" t="s">
        <v>64</v>
      </c>
      <c r="D51" s="313" t="str">
        <f ca="1">IFERROR(OFFSET(Camp_List[P_Code],MATCH(Data_Vulnerability_t[[#This Row],[Camp Name]],Camp_List[Camp Name],0)-1,0,1,1),"")</f>
        <v>MMR012CMP042</v>
      </c>
      <c r="E51" s="314" t="s">
        <v>1108</v>
      </c>
      <c r="F51" s="156">
        <v>0</v>
      </c>
      <c r="G51" s="309" t="s">
        <v>623</v>
      </c>
      <c r="H51" s="861">
        <v>42886</v>
      </c>
    </row>
    <row r="52" spans="1:14" x14ac:dyDescent="0.2">
      <c r="A52" s="312" t="s">
        <v>7</v>
      </c>
      <c r="B52" s="328" t="s">
        <v>19</v>
      </c>
      <c r="C52" s="313" t="s">
        <v>64</v>
      </c>
      <c r="D52" s="313" t="str">
        <f ca="1">IFERROR(OFFSET(Camp_List[P_Code],MATCH(Data_Vulnerability_t[[#This Row],[Camp Name]],Camp_List[Camp Name],0)-1,0,1,1),"")</f>
        <v>MMR012CMP042</v>
      </c>
      <c r="E52" s="314" t="s">
        <v>1109</v>
      </c>
      <c r="F52" s="156">
        <v>83</v>
      </c>
      <c r="G52" s="309" t="s">
        <v>623</v>
      </c>
      <c r="H52" s="861">
        <v>42886</v>
      </c>
    </row>
    <row r="53" spans="1:14" x14ac:dyDescent="0.2">
      <c r="A53" s="312" t="s">
        <v>7</v>
      </c>
      <c r="B53" s="328" t="s">
        <v>19</v>
      </c>
      <c r="C53" s="313" t="s">
        <v>64</v>
      </c>
      <c r="D53" s="313" t="str">
        <f ca="1">IFERROR(OFFSET(Camp_List[P_Code],MATCH(Data_Vulnerability_t[[#This Row],[Camp Name]],Camp_List[Camp Name],0)-1,0,1,1),"")</f>
        <v>MMR012CMP042</v>
      </c>
      <c r="E53" s="314" t="s">
        <v>1110</v>
      </c>
      <c r="F53" s="156">
        <v>128</v>
      </c>
      <c r="G53" s="309" t="s">
        <v>623</v>
      </c>
      <c r="H53" s="861">
        <v>42886</v>
      </c>
    </row>
    <row r="54" spans="1:14" x14ac:dyDescent="0.2">
      <c r="A54" s="312" t="s">
        <v>7</v>
      </c>
      <c r="B54" s="328" t="s">
        <v>19</v>
      </c>
      <c r="C54" s="313" t="s">
        <v>64</v>
      </c>
      <c r="D54" s="313" t="str">
        <f ca="1">IFERROR(OFFSET(Camp_List[P_Code],MATCH(Data_Vulnerability_t[[#This Row],[Camp Name]],Camp_List[Camp Name],0)-1,0,1,1),"")</f>
        <v>MMR012CMP042</v>
      </c>
      <c r="E54" s="314" t="s">
        <v>1111</v>
      </c>
      <c r="F54" s="156">
        <v>45</v>
      </c>
      <c r="G54" s="309" t="s">
        <v>623</v>
      </c>
      <c r="H54" s="861">
        <v>42886</v>
      </c>
    </row>
    <row r="55" spans="1:14" x14ac:dyDescent="0.2">
      <c r="A55" s="312" t="s">
        <v>7</v>
      </c>
      <c r="B55" s="328" t="s">
        <v>19</v>
      </c>
      <c r="C55" s="313" t="s">
        <v>64</v>
      </c>
      <c r="D55" s="366" t="str">
        <f ca="1">IFERROR(OFFSET(Camp_List[P_Code],MATCH(Data_Vulnerability_t[[#This Row],[Camp Name]],Camp_List[Camp Name],0)-1,0,1,1),"")</f>
        <v>MMR012CMP042</v>
      </c>
      <c r="E55" s="314" t="s">
        <v>826</v>
      </c>
      <c r="F55" s="156">
        <v>209</v>
      </c>
      <c r="G55" s="309" t="s">
        <v>623</v>
      </c>
      <c r="H55" s="861">
        <v>42886</v>
      </c>
    </row>
    <row r="56" spans="1:14" x14ac:dyDescent="0.2">
      <c r="A56" s="312" t="s">
        <v>7</v>
      </c>
      <c r="B56" s="328" t="s">
        <v>14</v>
      </c>
      <c r="C56" s="313" t="s">
        <v>42</v>
      </c>
      <c r="D56" s="313" t="str">
        <f ca="1">IFERROR(OFFSET(Camp_List[P_Code],MATCH(Data_Vulnerability_t[[#This Row],[Camp Name]],Camp_List[Camp Name],0)-1,0,1,1),"")</f>
        <v>MMR012CMP018</v>
      </c>
      <c r="E56" s="314" t="s">
        <v>1104</v>
      </c>
      <c r="F56" s="156">
        <v>33</v>
      </c>
      <c r="G56" s="309" t="s">
        <v>288</v>
      </c>
      <c r="H56" s="861">
        <v>42886</v>
      </c>
    </row>
    <row r="57" spans="1:14" x14ac:dyDescent="0.2">
      <c r="A57" s="312" t="s">
        <v>7</v>
      </c>
      <c r="B57" s="328" t="s">
        <v>14</v>
      </c>
      <c r="C57" s="313" t="s">
        <v>42</v>
      </c>
      <c r="D57" s="313" t="str">
        <f ca="1">IFERROR(OFFSET(Camp_List[P_Code],MATCH(Data_Vulnerability_t[[#This Row],[Camp Name]],Camp_List[Camp Name],0)-1,0,1,1),"")</f>
        <v>MMR012CMP018</v>
      </c>
      <c r="E57" s="314" t="s">
        <v>1105</v>
      </c>
      <c r="F57" s="156">
        <v>0</v>
      </c>
      <c r="G57" s="309" t="s">
        <v>288</v>
      </c>
      <c r="H57" s="861">
        <v>42886</v>
      </c>
    </row>
    <row r="58" spans="1:14" x14ac:dyDescent="0.2">
      <c r="A58" s="312" t="s">
        <v>7</v>
      </c>
      <c r="B58" s="328" t="s">
        <v>14</v>
      </c>
      <c r="C58" s="313" t="s">
        <v>42</v>
      </c>
      <c r="D58" s="313" t="str">
        <f ca="1">IFERROR(OFFSET(Camp_List[P_Code],MATCH(Data_Vulnerability_t[[#This Row],[Camp Name]],Camp_List[Camp Name],0)-1,0,1,1),"")</f>
        <v>MMR012CMP018</v>
      </c>
      <c r="E58" s="314" t="s">
        <v>1106</v>
      </c>
      <c r="F58" s="156">
        <v>83</v>
      </c>
      <c r="G58" s="309" t="s">
        <v>288</v>
      </c>
      <c r="H58" s="861">
        <v>42886</v>
      </c>
    </row>
    <row r="59" spans="1:14" x14ac:dyDescent="0.2">
      <c r="A59" s="312" t="s">
        <v>7</v>
      </c>
      <c r="B59" s="328" t="s">
        <v>14</v>
      </c>
      <c r="C59" s="313" t="s">
        <v>42</v>
      </c>
      <c r="D59" s="313" t="str">
        <f ca="1">IFERROR(OFFSET(Camp_List[P_Code],MATCH(Data_Vulnerability_t[[#This Row],[Camp Name]],Camp_List[Camp Name],0)-1,0,1,1),"")</f>
        <v>MMR012CMP018</v>
      </c>
      <c r="E59" s="314" t="s">
        <v>1107</v>
      </c>
      <c r="F59" s="156">
        <v>2</v>
      </c>
      <c r="G59" s="309" t="s">
        <v>288</v>
      </c>
      <c r="H59" s="861">
        <v>42886</v>
      </c>
    </row>
    <row r="60" spans="1:14" x14ac:dyDescent="0.2">
      <c r="A60" s="312" t="s">
        <v>7</v>
      </c>
      <c r="B60" s="328" t="s">
        <v>14</v>
      </c>
      <c r="C60" s="313" t="s">
        <v>42</v>
      </c>
      <c r="D60" s="313" t="str">
        <f ca="1">IFERROR(OFFSET(Camp_List[P_Code],MATCH(Data_Vulnerability_t[[#This Row],[Camp Name]],Camp_List[Camp Name],0)-1,0,1,1),"")</f>
        <v>MMR012CMP018</v>
      </c>
      <c r="E60" s="314" t="s">
        <v>1108</v>
      </c>
      <c r="F60" s="156">
        <v>4</v>
      </c>
      <c r="G60" s="309" t="s">
        <v>288</v>
      </c>
      <c r="H60" s="861">
        <v>42886</v>
      </c>
    </row>
    <row r="61" spans="1:14" x14ac:dyDescent="0.2">
      <c r="A61" s="312" t="s">
        <v>7</v>
      </c>
      <c r="B61" s="328" t="s">
        <v>14</v>
      </c>
      <c r="C61" s="313" t="s">
        <v>42</v>
      </c>
      <c r="D61" s="313" t="str">
        <f ca="1">IFERROR(OFFSET(Camp_List[P_Code],MATCH(Data_Vulnerability_t[[#This Row],[Camp Name]],Camp_List[Camp Name],0)-1,0,1,1),"")</f>
        <v>MMR012CMP018</v>
      </c>
      <c r="E61" s="314" t="s">
        <v>1109</v>
      </c>
      <c r="F61" s="156">
        <v>200</v>
      </c>
      <c r="G61" s="309" t="s">
        <v>288</v>
      </c>
      <c r="H61" s="861">
        <v>42886</v>
      </c>
    </row>
    <row r="62" spans="1:14" x14ac:dyDescent="0.2">
      <c r="A62" s="312" t="s">
        <v>7</v>
      </c>
      <c r="B62" s="328" t="s">
        <v>14</v>
      </c>
      <c r="C62" s="313" t="s">
        <v>42</v>
      </c>
      <c r="D62" s="313" t="str">
        <f ca="1">IFERROR(OFFSET(Camp_List[P_Code],MATCH(Data_Vulnerability_t[[#This Row],[Camp Name]],Camp_List[Camp Name],0)-1,0,1,1),"")</f>
        <v>MMR012CMP018</v>
      </c>
      <c r="E62" s="314" t="s">
        <v>1110</v>
      </c>
      <c r="F62" s="156">
        <v>38</v>
      </c>
      <c r="G62" s="309" t="s">
        <v>288</v>
      </c>
      <c r="H62" s="861">
        <v>42886</v>
      </c>
    </row>
    <row r="63" spans="1:14" x14ac:dyDescent="0.2">
      <c r="A63" s="312" t="s">
        <v>7</v>
      </c>
      <c r="B63" s="328" t="s">
        <v>14</v>
      </c>
      <c r="C63" s="313" t="s">
        <v>42</v>
      </c>
      <c r="D63" s="313" t="str">
        <f ca="1">IFERROR(OFFSET(Camp_List[P_Code],MATCH(Data_Vulnerability_t[[#This Row],[Camp Name]],Camp_List[Camp Name],0)-1,0,1,1),"")</f>
        <v>MMR012CMP018</v>
      </c>
      <c r="E63" s="314" t="s">
        <v>1111</v>
      </c>
      <c r="F63" s="156">
        <v>0</v>
      </c>
      <c r="G63" s="309" t="s">
        <v>288</v>
      </c>
      <c r="H63" s="861">
        <v>42886</v>
      </c>
    </row>
    <row r="64" spans="1:14" ht="15" x14ac:dyDescent="0.25">
      <c r="A64" s="312" t="s">
        <v>7</v>
      </c>
      <c r="B64" s="328" t="s">
        <v>14</v>
      </c>
      <c r="C64" s="313" t="s">
        <v>42</v>
      </c>
      <c r="D64" s="366" t="str">
        <f ca="1">IFERROR(OFFSET(Camp_List[P_Code],MATCH(Data_Vulnerability_t[[#This Row],[Camp Name]],Camp_List[Camp Name],0)-1,0,1,1),"")</f>
        <v>MMR012CMP018</v>
      </c>
      <c r="E64" s="314" t="s">
        <v>826</v>
      </c>
      <c r="F64" s="156">
        <v>0</v>
      </c>
      <c r="G64" s="309" t="s">
        <v>288</v>
      </c>
      <c r="H64" s="861">
        <v>42886</v>
      </c>
      <c r="K64" s="789"/>
      <c r="L64" s="789"/>
    </row>
    <row r="65" spans="1:12" ht="15" x14ac:dyDescent="0.25">
      <c r="A65" s="312" t="s">
        <v>7</v>
      </c>
      <c r="B65" s="328" t="s">
        <v>19</v>
      </c>
      <c r="C65" s="313" t="s">
        <v>628</v>
      </c>
      <c r="D65" s="313" t="str">
        <f ca="1">IFERROR(OFFSET(Camp_List[P_Code],MATCH(Data_Vulnerability_t[[#This Row],[Camp Name]],Camp_List[Camp Name],0)-1,0,1,1),"")</f>
        <v>MMR012CMP092</v>
      </c>
      <c r="E65" s="314" t="s">
        <v>1104</v>
      </c>
      <c r="F65" s="156">
        <v>29</v>
      </c>
      <c r="G65" s="309" t="s">
        <v>970</v>
      </c>
      <c r="H65" s="861">
        <v>42886</v>
      </c>
      <c r="K65"/>
      <c r="L65"/>
    </row>
    <row r="66" spans="1:12" ht="15" x14ac:dyDescent="0.25">
      <c r="A66" s="312" t="s">
        <v>7</v>
      </c>
      <c r="B66" s="328" t="s">
        <v>19</v>
      </c>
      <c r="C66" s="309" t="s">
        <v>628</v>
      </c>
      <c r="D66" s="313" t="str">
        <f ca="1">IFERROR(OFFSET(Camp_List[P_Code],MATCH(Data_Vulnerability_t[[#This Row],[Camp Name]],Camp_List[Camp Name],0)-1,0,1,1),"")</f>
        <v>MMR012CMP092</v>
      </c>
      <c r="E66" s="314" t="s">
        <v>1105</v>
      </c>
      <c r="F66" s="156">
        <v>14</v>
      </c>
      <c r="G66" s="309" t="s">
        <v>970</v>
      </c>
      <c r="H66" s="861">
        <v>42886</v>
      </c>
      <c r="K66"/>
      <c r="L66"/>
    </row>
    <row r="67" spans="1:12" ht="15" x14ac:dyDescent="0.25">
      <c r="A67" s="312" t="s">
        <v>7</v>
      </c>
      <c r="B67" s="328" t="s">
        <v>19</v>
      </c>
      <c r="C67" s="309" t="s">
        <v>628</v>
      </c>
      <c r="D67" s="313" t="str">
        <f ca="1">IFERROR(OFFSET(Camp_List[P_Code],MATCH(Data_Vulnerability_t[[#This Row],[Camp Name]],Camp_List[Camp Name],0)-1,0,1,1),"")</f>
        <v>MMR012CMP092</v>
      </c>
      <c r="E67" s="314" t="s">
        <v>1106</v>
      </c>
      <c r="F67" s="156">
        <v>52</v>
      </c>
      <c r="G67" s="309" t="s">
        <v>970</v>
      </c>
      <c r="H67" s="861">
        <v>42886</v>
      </c>
      <c r="K67"/>
      <c r="L67"/>
    </row>
    <row r="68" spans="1:12" ht="15" x14ac:dyDescent="0.25">
      <c r="A68" s="312" t="s">
        <v>7</v>
      </c>
      <c r="B68" s="328" t="s">
        <v>19</v>
      </c>
      <c r="C68" s="309" t="s">
        <v>628</v>
      </c>
      <c r="D68" s="313" t="str">
        <f ca="1">IFERROR(OFFSET(Camp_List[P_Code],MATCH(Data_Vulnerability_t[[#This Row],[Camp Name]],Camp_List[Camp Name],0)-1,0,1,1),"")</f>
        <v>MMR012CMP092</v>
      </c>
      <c r="E68" s="314" t="s">
        <v>1107</v>
      </c>
      <c r="F68" s="156">
        <v>6</v>
      </c>
      <c r="G68" s="309" t="s">
        <v>970</v>
      </c>
      <c r="H68" s="861">
        <v>42886</v>
      </c>
      <c r="K68"/>
      <c r="L68"/>
    </row>
    <row r="69" spans="1:12" ht="15" x14ac:dyDescent="0.25">
      <c r="A69" s="312" t="s">
        <v>7</v>
      </c>
      <c r="B69" s="328" t="s">
        <v>19</v>
      </c>
      <c r="C69" s="309" t="s">
        <v>628</v>
      </c>
      <c r="D69" s="313" t="str">
        <f ca="1">IFERROR(OFFSET(Camp_List[P_Code],MATCH(Data_Vulnerability_t[[#This Row],[Camp Name]],Camp_List[Camp Name],0)-1,0,1,1),"")</f>
        <v>MMR012CMP092</v>
      </c>
      <c r="E69" s="314" t="s">
        <v>1108</v>
      </c>
      <c r="F69" s="156">
        <v>0</v>
      </c>
      <c r="G69" s="309" t="s">
        <v>970</v>
      </c>
      <c r="H69" s="861">
        <v>42886</v>
      </c>
      <c r="K69"/>
      <c r="L69"/>
    </row>
    <row r="70" spans="1:12" ht="15" x14ac:dyDescent="0.25">
      <c r="A70" s="312" t="s">
        <v>7</v>
      </c>
      <c r="B70" s="328" t="s">
        <v>19</v>
      </c>
      <c r="C70" s="309" t="s">
        <v>628</v>
      </c>
      <c r="D70" s="313" t="str">
        <f ca="1">IFERROR(OFFSET(Camp_List[P_Code],MATCH(Data_Vulnerability_t[[#This Row],[Camp Name]],Camp_List[Camp Name],0)-1,0,1,1),"")</f>
        <v>MMR012CMP092</v>
      </c>
      <c r="E70" s="314" t="s">
        <v>1109</v>
      </c>
      <c r="F70" s="156">
        <v>125</v>
      </c>
      <c r="G70" s="309" t="s">
        <v>970</v>
      </c>
      <c r="H70" s="861">
        <v>42886</v>
      </c>
      <c r="K70"/>
      <c r="L70"/>
    </row>
    <row r="71" spans="1:12" ht="15" x14ac:dyDescent="0.25">
      <c r="A71" s="312" t="s">
        <v>7</v>
      </c>
      <c r="B71" s="328" t="s">
        <v>19</v>
      </c>
      <c r="C71" s="309" t="s">
        <v>628</v>
      </c>
      <c r="D71" s="313" t="str">
        <f ca="1">IFERROR(OFFSET(Camp_List[P_Code],MATCH(Data_Vulnerability_t[[#This Row],[Camp Name]],Camp_List[Camp Name],0)-1,0,1,1),"")</f>
        <v>MMR012CMP092</v>
      </c>
      <c r="E71" s="314" t="s">
        <v>1110</v>
      </c>
      <c r="F71" s="156">
        <v>112</v>
      </c>
      <c r="G71" s="309" t="s">
        <v>970</v>
      </c>
      <c r="H71" s="861">
        <v>42886</v>
      </c>
      <c r="K71"/>
      <c r="L71"/>
    </row>
    <row r="72" spans="1:12" ht="15" x14ac:dyDescent="0.25">
      <c r="A72" s="312" t="s">
        <v>7</v>
      </c>
      <c r="B72" s="328" t="s">
        <v>19</v>
      </c>
      <c r="C72" s="309" t="s">
        <v>628</v>
      </c>
      <c r="D72" s="313" t="str">
        <f ca="1">IFERROR(OFFSET(Camp_List[P_Code],MATCH(Data_Vulnerability_t[[#This Row],[Camp Name]],Camp_List[Camp Name],0)-1,0,1,1),"")</f>
        <v>MMR012CMP092</v>
      </c>
      <c r="E72" s="314" t="s">
        <v>1111</v>
      </c>
      <c r="F72" s="156">
        <v>41</v>
      </c>
      <c r="G72" s="309" t="s">
        <v>970</v>
      </c>
      <c r="H72" s="861">
        <v>42886</v>
      </c>
      <c r="K72"/>
      <c r="L72"/>
    </row>
    <row r="73" spans="1:12" ht="15" x14ac:dyDescent="0.25">
      <c r="A73" s="312" t="s">
        <v>7</v>
      </c>
      <c r="B73" s="328" t="s">
        <v>19</v>
      </c>
      <c r="C73" s="313" t="s">
        <v>628</v>
      </c>
      <c r="D73" s="366" t="str">
        <f ca="1">IFERROR(OFFSET(Camp_List[P_Code],MATCH(Data_Vulnerability_t[[#This Row],[Camp Name]],Camp_List[Camp Name],0)-1,0,1,1),"")</f>
        <v>MMR012CMP092</v>
      </c>
      <c r="E73" s="314" t="s">
        <v>826</v>
      </c>
      <c r="F73" s="156">
        <v>153</v>
      </c>
      <c r="G73" s="309" t="s">
        <v>970</v>
      </c>
      <c r="H73" s="861">
        <v>42886</v>
      </c>
      <c r="K73" s="789"/>
      <c r="L73" s="789"/>
    </row>
    <row r="74" spans="1:12" ht="15" x14ac:dyDescent="0.25">
      <c r="A74" s="312" t="s">
        <v>7</v>
      </c>
      <c r="B74" s="328" t="s">
        <v>14</v>
      </c>
      <c r="C74" s="309" t="s">
        <v>1067</v>
      </c>
      <c r="D74" s="313" t="str">
        <f ca="1">IFERROR(OFFSET(Camp_List[P_Code],MATCH(Data_Vulnerability_t[[#This Row],[Camp Name]],Camp_List[Camp Name],0)-1,0,1,1),"")</f>
        <v>MMR012CMP017</v>
      </c>
      <c r="E74" s="314" t="s">
        <v>1104</v>
      </c>
      <c r="F74" s="156">
        <v>38</v>
      </c>
      <c r="G74" s="309" t="s">
        <v>623</v>
      </c>
      <c r="H74" s="861">
        <v>42886</v>
      </c>
      <c r="K74"/>
      <c r="L74"/>
    </row>
    <row r="75" spans="1:12" ht="15" x14ac:dyDescent="0.25">
      <c r="A75" s="312" t="s">
        <v>7</v>
      </c>
      <c r="B75" s="328" t="s">
        <v>14</v>
      </c>
      <c r="C75" s="309" t="s">
        <v>1067</v>
      </c>
      <c r="D75" s="313" t="str">
        <f ca="1">IFERROR(OFFSET(Camp_List[P_Code],MATCH(Data_Vulnerability_t[[#This Row],[Camp Name]],Camp_List[Camp Name],0)-1,0,1,1),"")</f>
        <v>MMR012CMP017</v>
      </c>
      <c r="E75" s="314" t="s">
        <v>1105</v>
      </c>
      <c r="F75" s="156">
        <v>7</v>
      </c>
      <c r="G75" s="309" t="s">
        <v>623</v>
      </c>
      <c r="H75" s="861">
        <v>42886</v>
      </c>
      <c r="K75"/>
      <c r="L75"/>
    </row>
    <row r="76" spans="1:12" ht="15" x14ac:dyDescent="0.25">
      <c r="A76" s="312" t="s">
        <v>7</v>
      </c>
      <c r="B76" s="328" t="s">
        <v>14</v>
      </c>
      <c r="C76" s="309" t="s">
        <v>1067</v>
      </c>
      <c r="D76" s="313" t="str">
        <f ca="1">IFERROR(OFFSET(Camp_List[P_Code],MATCH(Data_Vulnerability_t[[#This Row],[Camp Name]],Camp_List[Camp Name],0)-1,0,1,1),"")</f>
        <v>MMR012CMP017</v>
      </c>
      <c r="E76" s="314" t="s">
        <v>1106</v>
      </c>
      <c r="F76" s="156">
        <v>8</v>
      </c>
      <c r="G76" s="309" t="s">
        <v>623</v>
      </c>
      <c r="H76" s="861">
        <v>42886</v>
      </c>
      <c r="K76"/>
      <c r="L76"/>
    </row>
    <row r="77" spans="1:12" ht="15" x14ac:dyDescent="0.25">
      <c r="A77" s="312" t="s">
        <v>7</v>
      </c>
      <c r="B77" s="328" t="s">
        <v>14</v>
      </c>
      <c r="C77" s="309" t="s">
        <v>1067</v>
      </c>
      <c r="D77" s="313" t="str">
        <f ca="1">IFERROR(OFFSET(Camp_List[P_Code],MATCH(Data_Vulnerability_t[[#This Row],[Camp Name]],Camp_List[Camp Name],0)-1,0,1,1),"")</f>
        <v>MMR012CMP017</v>
      </c>
      <c r="E77" s="314" t="s">
        <v>1107</v>
      </c>
      <c r="F77" s="156">
        <v>14</v>
      </c>
      <c r="G77" s="309" t="s">
        <v>623</v>
      </c>
      <c r="H77" s="861">
        <v>42886</v>
      </c>
      <c r="K77"/>
      <c r="L77"/>
    </row>
    <row r="78" spans="1:12" ht="15" x14ac:dyDescent="0.25">
      <c r="A78" s="312" t="s">
        <v>7</v>
      </c>
      <c r="B78" s="328" t="s">
        <v>14</v>
      </c>
      <c r="C78" s="309" t="s">
        <v>1067</v>
      </c>
      <c r="D78" s="313" t="str">
        <f ca="1">IFERROR(OFFSET(Camp_List[P_Code],MATCH(Data_Vulnerability_t[[#This Row],[Camp Name]],Camp_List[Camp Name],0)-1,0,1,1),"")</f>
        <v>MMR012CMP017</v>
      </c>
      <c r="E78" s="314" t="s">
        <v>1108</v>
      </c>
      <c r="F78" s="156">
        <v>57</v>
      </c>
      <c r="G78" s="309" t="s">
        <v>623</v>
      </c>
      <c r="H78" s="861">
        <v>42886</v>
      </c>
      <c r="K78"/>
      <c r="L78"/>
    </row>
    <row r="79" spans="1:12" ht="15" x14ac:dyDescent="0.25">
      <c r="A79" s="312" t="s">
        <v>7</v>
      </c>
      <c r="B79" s="328" t="s">
        <v>14</v>
      </c>
      <c r="C79" s="309" t="s">
        <v>1067</v>
      </c>
      <c r="D79" s="313" t="str">
        <f ca="1">IFERROR(OFFSET(Camp_List[P_Code],MATCH(Data_Vulnerability_t[[#This Row],[Camp Name]],Camp_List[Camp Name],0)-1,0,1,1),"")</f>
        <v>MMR012CMP017</v>
      </c>
      <c r="E79" s="314" t="s">
        <v>1109</v>
      </c>
      <c r="F79" s="156">
        <v>85</v>
      </c>
      <c r="G79" s="309" t="s">
        <v>623</v>
      </c>
      <c r="H79" s="861">
        <v>42886</v>
      </c>
      <c r="K79"/>
      <c r="L79"/>
    </row>
    <row r="80" spans="1:12" ht="15" x14ac:dyDescent="0.25">
      <c r="A80" s="312" t="s">
        <v>7</v>
      </c>
      <c r="B80" s="328" t="s">
        <v>14</v>
      </c>
      <c r="C80" s="309" t="s">
        <v>1067</v>
      </c>
      <c r="D80" s="313" t="str">
        <f ca="1">IFERROR(OFFSET(Camp_List[P_Code],MATCH(Data_Vulnerability_t[[#This Row],[Camp Name]],Camp_List[Camp Name],0)-1,0,1,1),"")</f>
        <v>MMR012CMP017</v>
      </c>
      <c r="E80" s="314" t="s">
        <v>1110</v>
      </c>
      <c r="F80" s="156">
        <v>116</v>
      </c>
      <c r="G80" s="309" t="s">
        <v>623</v>
      </c>
      <c r="H80" s="861">
        <v>42886</v>
      </c>
      <c r="K80"/>
      <c r="L80"/>
    </row>
    <row r="81" spans="1:12" ht="15" x14ac:dyDescent="0.25">
      <c r="A81" s="312" t="s">
        <v>7</v>
      </c>
      <c r="B81" s="328" t="s">
        <v>14</v>
      </c>
      <c r="C81" s="309" t="s">
        <v>1067</v>
      </c>
      <c r="D81" s="313" t="str">
        <f ca="1">IFERROR(OFFSET(Camp_List[P_Code],MATCH(Data_Vulnerability_t[[#This Row],[Camp Name]],Camp_List[Camp Name],0)-1,0,1,1),"")</f>
        <v>MMR012CMP017</v>
      </c>
      <c r="E81" s="314" t="s">
        <v>1111</v>
      </c>
      <c r="F81" s="156">
        <v>68</v>
      </c>
      <c r="G81" s="309" t="s">
        <v>623</v>
      </c>
      <c r="H81" s="861">
        <v>42886</v>
      </c>
      <c r="K81"/>
      <c r="L81"/>
    </row>
    <row r="82" spans="1:12" ht="15" x14ac:dyDescent="0.25">
      <c r="A82" s="312" t="s">
        <v>7</v>
      </c>
      <c r="B82" s="328" t="s">
        <v>14</v>
      </c>
      <c r="C82" s="309" t="s">
        <v>1067</v>
      </c>
      <c r="D82" s="366" t="str">
        <f ca="1">IFERROR(OFFSET(Camp_List[P_Code],MATCH(Data_Vulnerability_t[[#This Row],[Camp Name]],Camp_List[Camp Name],0)-1,0,1,1),"")</f>
        <v>MMR012CMP017</v>
      </c>
      <c r="E82" s="314" t="s">
        <v>826</v>
      </c>
      <c r="F82" s="156">
        <v>234</v>
      </c>
      <c r="G82" s="309" t="s">
        <v>623</v>
      </c>
      <c r="H82" s="861">
        <v>42886</v>
      </c>
      <c r="K82" s="789"/>
      <c r="L82" s="789"/>
    </row>
    <row r="83" spans="1:12" ht="15" x14ac:dyDescent="0.25">
      <c r="A83" s="312" t="s">
        <v>7</v>
      </c>
      <c r="B83" s="328" t="s">
        <v>19</v>
      </c>
      <c r="C83" s="309" t="s">
        <v>633</v>
      </c>
      <c r="D83" s="313" t="str">
        <f ca="1">IFERROR(OFFSET(Camp_List[P_Code],MATCH(Data_Vulnerability_t[[#This Row],[Camp Name]],Camp_List[Camp Name],0)-1,0,1,1),"")</f>
        <v>MMR012CMP098</v>
      </c>
      <c r="E83" s="314" t="s">
        <v>1104</v>
      </c>
      <c r="F83" s="156">
        <v>32</v>
      </c>
      <c r="G83" s="309" t="s">
        <v>288</v>
      </c>
      <c r="H83" s="861">
        <v>42886</v>
      </c>
      <c r="K83"/>
      <c r="L83"/>
    </row>
    <row r="84" spans="1:12" ht="15" x14ac:dyDescent="0.25">
      <c r="A84" s="312" t="s">
        <v>7</v>
      </c>
      <c r="B84" s="328" t="s">
        <v>19</v>
      </c>
      <c r="C84" s="309" t="s">
        <v>633</v>
      </c>
      <c r="D84" s="313" t="str">
        <f ca="1">IFERROR(OFFSET(Camp_List[P_Code],MATCH(Data_Vulnerability_t[[#This Row],[Camp Name]],Camp_List[Camp Name],0)-1,0,1,1),"")</f>
        <v>MMR012CMP098</v>
      </c>
      <c r="E84" s="314" t="s">
        <v>1105</v>
      </c>
      <c r="F84" s="156">
        <v>0</v>
      </c>
      <c r="G84" s="309" t="s">
        <v>288</v>
      </c>
      <c r="H84" s="861">
        <v>42886</v>
      </c>
      <c r="K84"/>
      <c r="L84"/>
    </row>
    <row r="85" spans="1:12" ht="15" x14ac:dyDescent="0.25">
      <c r="A85" s="312" t="s">
        <v>7</v>
      </c>
      <c r="B85" s="328" t="s">
        <v>19</v>
      </c>
      <c r="C85" s="309" t="s">
        <v>633</v>
      </c>
      <c r="D85" s="313" t="str">
        <f ca="1">IFERROR(OFFSET(Camp_List[P_Code],MATCH(Data_Vulnerability_t[[#This Row],[Camp Name]],Camp_List[Camp Name],0)-1,0,1,1),"")</f>
        <v>MMR012CMP098</v>
      </c>
      <c r="E85" s="314" t="s">
        <v>1106</v>
      </c>
      <c r="F85" s="156">
        <v>49</v>
      </c>
      <c r="G85" s="309" t="s">
        <v>288</v>
      </c>
      <c r="H85" s="861">
        <v>42886</v>
      </c>
      <c r="K85"/>
      <c r="L85"/>
    </row>
    <row r="86" spans="1:12" ht="15" x14ac:dyDescent="0.25">
      <c r="A86" s="312" t="s">
        <v>7</v>
      </c>
      <c r="B86" s="328" t="s">
        <v>19</v>
      </c>
      <c r="C86" s="342" t="s">
        <v>633</v>
      </c>
      <c r="D86" s="313" t="str">
        <f ca="1">IFERROR(OFFSET(Camp_List[P_Code],MATCH(Data_Vulnerability_t[[#This Row],[Camp Name]],Camp_List[Camp Name],0)-1,0,1,1),"")</f>
        <v>MMR012CMP098</v>
      </c>
      <c r="E86" s="314" t="s">
        <v>1107</v>
      </c>
      <c r="F86" s="156">
        <v>1</v>
      </c>
      <c r="G86" s="309" t="s">
        <v>288</v>
      </c>
      <c r="H86" s="861">
        <v>42886</v>
      </c>
      <c r="K86"/>
      <c r="L86"/>
    </row>
    <row r="87" spans="1:12" ht="15" x14ac:dyDescent="0.25">
      <c r="A87" s="312" t="s">
        <v>7</v>
      </c>
      <c r="B87" s="328" t="s">
        <v>19</v>
      </c>
      <c r="C87" s="342" t="s">
        <v>633</v>
      </c>
      <c r="D87" s="313" t="str">
        <f ca="1">IFERROR(OFFSET(Camp_List[P_Code],MATCH(Data_Vulnerability_t[[#This Row],[Camp Name]],Camp_List[Camp Name],0)-1,0,1,1),"")</f>
        <v>MMR012CMP098</v>
      </c>
      <c r="E87" s="314" t="s">
        <v>1108</v>
      </c>
      <c r="F87" s="156">
        <v>20</v>
      </c>
      <c r="G87" s="309" t="s">
        <v>288</v>
      </c>
      <c r="H87" s="861">
        <v>42886</v>
      </c>
      <c r="K87"/>
      <c r="L87"/>
    </row>
    <row r="88" spans="1:12" ht="15" x14ac:dyDescent="0.25">
      <c r="A88" s="312" t="s">
        <v>7</v>
      </c>
      <c r="B88" s="328" t="s">
        <v>19</v>
      </c>
      <c r="C88" s="342" t="s">
        <v>633</v>
      </c>
      <c r="D88" s="313" t="str">
        <f ca="1">IFERROR(OFFSET(Camp_List[P_Code],MATCH(Data_Vulnerability_t[[#This Row],[Camp Name]],Camp_List[Camp Name],0)-1,0,1,1),"")</f>
        <v>MMR012CMP098</v>
      </c>
      <c r="E88" s="314" t="s">
        <v>1109</v>
      </c>
      <c r="F88" s="156">
        <v>12</v>
      </c>
      <c r="G88" s="309" t="s">
        <v>288</v>
      </c>
      <c r="H88" s="861">
        <v>42886</v>
      </c>
      <c r="K88"/>
      <c r="L88"/>
    </row>
    <row r="89" spans="1:12" ht="17.25" customHeight="1" x14ac:dyDescent="0.25">
      <c r="A89" s="312" t="s">
        <v>7</v>
      </c>
      <c r="B89" s="328" t="s">
        <v>19</v>
      </c>
      <c r="C89" s="342" t="s">
        <v>633</v>
      </c>
      <c r="D89" s="313" t="str">
        <f ca="1">IFERROR(OFFSET(Camp_List[P_Code],MATCH(Data_Vulnerability_t[[#This Row],[Camp Name]],Camp_List[Camp Name],0)-1,0,1,1),"")</f>
        <v>MMR012CMP098</v>
      </c>
      <c r="E89" s="314" t="s">
        <v>1110</v>
      </c>
      <c r="F89" s="156">
        <v>82</v>
      </c>
      <c r="G89" s="309" t="s">
        <v>288</v>
      </c>
      <c r="H89" s="861">
        <v>42886</v>
      </c>
      <c r="K89"/>
      <c r="L89"/>
    </row>
    <row r="90" spans="1:12" ht="15" x14ac:dyDescent="0.25">
      <c r="A90" s="312" t="s">
        <v>7</v>
      </c>
      <c r="B90" s="328" t="s">
        <v>19</v>
      </c>
      <c r="C90" s="342" t="s">
        <v>633</v>
      </c>
      <c r="D90" s="313" t="str">
        <f ca="1">IFERROR(OFFSET(Camp_List[P_Code],MATCH(Data_Vulnerability_t[[#This Row],[Camp Name]],Camp_List[Camp Name],0)-1,0,1,1),"")</f>
        <v>MMR012CMP098</v>
      </c>
      <c r="E90" s="314" t="s">
        <v>1111</v>
      </c>
      <c r="F90" s="156">
        <v>0</v>
      </c>
      <c r="G90" s="309" t="s">
        <v>288</v>
      </c>
      <c r="H90" s="861">
        <v>42886</v>
      </c>
      <c r="K90"/>
      <c r="L90"/>
    </row>
    <row r="91" spans="1:12" ht="15" x14ac:dyDescent="0.25">
      <c r="A91" s="312" t="s">
        <v>7</v>
      </c>
      <c r="B91" s="328" t="s">
        <v>19</v>
      </c>
      <c r="C91" s="353" t="s">
        <v>633</v>
      </c>
      <c r="D91" s="366" t="str">
        <f ca="1">IFERROR(OFFSET(Camp_List[P_Code],MATCH(Data_Vulnerability_t[[#This Row],[Camp Name]],Camp_List[Camp Name],0)-1,0,1,1),"")</f>
        <v>MMR012CMP098</v>
      </c>
      <c r="E91" s="314" t="s">
        <v>826</v>
      </c>
      <c r="F91" s="156">
        <v>0</v>
      </c>
      <c r="G91" s="309" t="s">
        <v>288</v>
      </c>
      <c r="H91" s="861">
        <v>42886</v>
      </c>
      <c r="K91" s="789"/>
      <c r="L91" s="789"/>
    </row>
    <row r="92" spans="1:12" ht="15" x14ac:dyDescent="0.25">
      <c r="A92" s="312" t="s">
        <v>7</v>
      </c>
      <c r="B92" s="328" t="s">
        <v>19</v>
      </c>
      <c r="C92" s="342" t="s">
        <v>634</v>
      </c>
      <c r="D92" s="313" t="str">
        <f ca="1">IFERROR(OFFSET(Camp_List[P_Code],MATCH(Data_Vulnerability_t[[#This Row],[Camp Name]],Camp_List[Camp Name],0)-1,0,1,1),"")</f>
        <v>MMR012CMP115</v>
      </c>
      <c r="E92" s="314" t="s">
        <v>1104</v>
      </c>
      <c r="F92" s="156">
        <v>146</v>
      </c>
      <c r="G92" s="309" t="s">
        <v>288</v>
      </c>
      <c r="H92" s="861">
        <v>42886</v>
      </c>
      <c r="K92"/>
      <c r="L92"/>
    </row>
    <row r="93" spans="1:12" ht="15" x14ac:dyDescent="0.25">
      <c r="A93" s="312" t="s">
        <v>7</v>
      </c>
      <c r="B93" s="328" t="s">
        <v>19</v>
      </c>
      <c r="C93" s="342" t="s">
        <v>634</v>
      </c>
      <c r="D93" s="313" t="str">
        <f ca="1">IFERROR(OFFSET(Camp_List[P_Code],MATCH(Data_Vulnerability_t[[#This Row],[Camp Name]],Camp_List[Camp Name],0)-1,0,1,1),"")</f>
        <v>MMR012CMP115</v>
      </c>
      <c r="E93" s="314" t="s">
        <v>1105</v>
      </c>
      <c r="F93" s="156">
        <v>0</v>
      </c>
      <c r="G93" s="309" t="s">
        <v>288</v>
      </c>
      <c r="H93" s="861">
        <v>42886</v>
      </c>
      <c r="K93"/>
      <c r="L93"/>
    </row>
    <row r="94" spans="1:12" ht="15" x14ac:dyDescent="0.25">
      <c r="A94" s="312" t="s">
        <v>7</v>
      </c>
      <c r="B94" s="328" t="s">
        <v>19</v>
      </c>
      <c r="C94" s="342" t="s">
        <v>634</v>
      </c>
      <c r="D94" s="313" t="str">
        <f ca="1">IFERROR(OFFSET(Camp_List[P_Code],MATCH(Data_Vulnerability_t[[#This Row],[Camp Name]],Camp_List[Camp Name],0)-1,0,1,1),"")</f>
        <v>MMR012CMP115</v>
      </c>
      <c r="E94" s="314" t="s">
        <v>1106</v>
      </c>
      <c r="F94" s="156">
        <v>161</v>
      </c>
      <c r="G94" s="309" t="s">
        <v>288</v>
      </c>
      <c r="H94" s="861">
        <v>42886</v>
      </c>
      <c r="K94"/>
      <c r="L94"/>
    </row>
    <row r="95" spans="1:12" ht="15" x14ac:dyDescent="0.25">
      <c r="A95" s="312" t="s">
        <v>7</v>
      </c>
      <c r="B95" s="328" t="s">
        <v>19</v>
      </c>
      <c r="C95" s="313" t="s">
        <v>634</v>
      </c>
      <c r="D95" s="313" t="str">
        <f ca="1">IFERROR(OFFSET(Camp_List[P_Code],MATCH(Data_Vulnerability_t[[#This Row],[Camp Name]],Camp_List[Camp Name],0)-1,0,1,1),"")</f>
        <v>MMR012CMP115</v>
      </c>
      <c r="E95" s="314" t="s">
        <v>1107</v>
      </c>
      <c r="F95" s="156">
        <v>133</v>
      </c>
      <c r="G95" s="309" t="s">
        <v>288</v>
      </c>
      <c r="H95" s="861">
        <v>42886</v>
      </c>
      <c r="K95"/>
      <c r="L95"/>
    </row>
    <row r="96" spans="1:12" ht="15" x14ac:dyDescent="0.25">
      <c r="A96" s="312" t="s">
        <v>7</v>
      </c>
      <c r="B96" s="328" t="s">
        <v>19</v>
      </c>
      <c r="C96" s="313" t="s">
        <v>634</v>
      </c>
      <c r="D96" s="313" t="str">
        <f ca="1">IFERROR(OFFSET(Camp_List[P_Code],MATCH(Data_Vulnerability_t[[#This Row],[Camp Name]],Camp_List[Camp Name],0)-1,0,1,1),"")</f>
        <v>MMR012CMP115</v>
      </c>
      <c r="E96" s="314" t="s">
        <v>1108</v>
      </c>
      <c r="F96" s="156">
        <v>72</v>
      </c>
      <c r="G96" s="309" t="s">
        <v>288</v>
      </c>
      <c r="H96" s="861">
        <v>42886</v>
      </c>
      <c r="K96"/>
      <c r="L96"/>
    </row>
    <row r="97" spans="1:12" ht="15" x14ac:dyDescent="0.25">
      <c r="A97" s="312" t="s">
        <v>7</v>
      </c>
      <c r="B97" s="328" t="s">
        <v>19</v>
      </c>
      <c r="C97" s="313" t="s">
        <v>634</v>
      </c>
      <c r="D97" s="313" t="str">
        <f ca="1">IFERROR(OFFSET(Camp_List[P_Code],MATCH(Data_Vulnerability_t[[#This Row],[Camp Name]],Camp_List[Camp Name],0)-1,0,1,1),"")</f>
        <v>MMR012CMP115</v>
      </c>
      <c r="E97" s="314" t="s">
        <v>1109</v>
      </c>
      <c r="F97" s="156">
        <v>94</v>
      </c>
      <c r="G97" s="309" t="s">
        <v>288</v>
      </c>
      <c r="H97" s="861">
        <v>42886</v>
      </c>
      <c r="K97"/>
      <c r="L97"/>
    </row>
    <row r="98" spans="1:12" ht="15" x14ac:dyDescent="0.25">
      <c r="A98" s="312" t="s">
        <v>7</v>
      </c>
      <c r="B98" s="328" t="s">
        <v>19</v>
      </c>
      <c r="C98" s="313" t="s">
        <v>634</v>
      </c>
      <c r="D98" s="313" t="str">
        <f ca="1">IFERROR(OFFSET(Camp_List[P_Code],MATCH(Data_Vulnerability_t[[#This Row],[Camp Name]],Camp_List[Camp Name],0)-1,0,1,1),"")</f>
        <v>MMR012CMP115</v>
      </c>
      <c r="E98" s="314" t="s">
        <v>1110</v>
      </c>
      <c r="F98" s="156">
        <v>587</v>
      </c>
      <c r="G98" s="309" t="s">
        <v>288</v>
      </c>
      <c r="H98" s="861">
        <v>42886</v>
      </c>
      <c r="K98"/>
      <c r="L98"/>
    </row>
    <row r="99" spans="1:12" ht="15" x14ac:dyDescent="0.25">
      <c r="A99" s="312" t="s">
        <v>7</v>
      </c>
      <c r="B99" s="328" t="s">
        <v>19</v>
      </c>
      <c r="C99" s="313" t="s">
        <v>634</v>
      </c>
      <c r="D99" s="313" t="str">
        <f ca="1">IFERROR(OFFSET(Camp_List[P_Code],MATCH(Data_Vulnerability_t[[#This Row],[Camp Name]],Camp_List[Camp Name],0)-1,0,1,1),"")</f>
        <v>MMR012CMP115</v>
      </c>
      <c r="E99" s="314" t="s">
        <v>1111</v>
      </c>
      <c r="F99" s="156">
        <v>0</v>
      </c>
      <c r="G99" s="309" t="s">
        <v>288</v>
      </c>
      <c r="H99" s="861">
        <v>42886</v>
      </c>
      <c r="K99"/>
      <c r="L99"/>
    </row>
    <row r="100" spans="1:12" ht="15" x14ac:dyDescent="0.25">
      <c r="A100" s="312" t="s">
        <v>7</v>
      </c>
      <c r="B100" s="328" t="s">
        <v>19</v>
      </c>
      <c r="C100" s="313" t="s">
        <v>634</v>
      </c>
      <c r="D100" s="366" t="str">
        <f ca="1">IFERROR(OFFSET(Camp_List[P_Code],MATCH(Data_Vulnerability_t[[#This Row],[Camp Name]],Camp_List[Camp Name],0)-1,0,1,1),"")</f>
        <v>MMR012CMP115</v>
      </c>
      <c r="E100" s="314" t="s">
        <v>826</v>
      </c>
      <c r="F100" s="156">
        <v>0</v>
      </c>
      <c r="G100" s="309" t="s">
        <v>288</v>
      </c>
      <c r="H100" s="861">
        <v>42886</v>
      </c>
      <c r="K100" s="789"/>
      <c r="L100" s="789"/>
    </row>
    <row r="101" spans="1:12" ht="15" x14ac:dyDescent="0.25">
      <c r="A101" s="312" t="s">
        <v>7</v>
      </c>
      <c r="B101" s="328" t="s">
        <v>19</v>
      </c>
      <c r="C101" s="313" t="s">
        <v>635</v>
      </c>
      <c r="D101" s="313" t="str">
        <f ca="1">IFERROR(OFFSET(Camp_List[P_Code],MATCH(Data_Vulnerability_t[[#This Row],[Camp Name]],Camp_List[Camp Name],0)-1,0,1,1),"")</f>
        <v>MMR012CMP116</v>
      </c>
      <c r="E101" s="314" t="s">
        <v>1104</v>
      </c>
      <c r="F101" s="156">
        <v>60</v>
      </c>
      <c r="G101" s="309" t="s">
        <v>623</v>
      </c>
      <c r="H101" s="861">
        <v>42886</v>
      </c>
      <c r="K101"/>
      <c r="L101"/>
    </row>
    <row r="102" spans="1:12" ht="15" x14ac:dyDescent="0.25">
      <c r="A102" s="312" t="s">
        <v>7</v>
      </c>
      <c r="B102" s="328" t="s">
        <v>19</v>
      </c>
      <c r="C102" s="313" t="s">
        <v>635</v>
      </c>
      <c r="D102" s="313" t="str">
        <f ca="1">IFERROR(OFFSET(Camp_List[P_Code],MATCH(Data_Vulnerability_t[[#This Row],[Camp Name]],Camp_List[Camp Name],0)-1,0,1,1),"")</f>
        <v>MMR012CMP116</v>
      </c>
      <c r="E102" s="314" t="s">
        <v>1105</v>
      </c>
      <c r="F102" s="156">
        <v>28</v>
      </c>
      <c r="G102" s="309" t="s">
        <v>623</v>
      </c>
      <c r="H102" s="861">
        <v>42886</v>
      </c>
      <c r="K102"/>
      <c r="L102"/>
    </row>
    <row r="103" spans="1:12" ht="15" x14ac:dyDescent="0.25">
      <c r="A103" s="312" t="s">
        <v>7</v>
      </c>
      <c r="B103" s="328" t="s">
        <v>19</v>
      </c>
      <c r="C103" s="313" t="s">
        <v>635</v>
      </c>
      <c r="D103" s="313" t="str">
        <f ca="1">IFERROR(OFFSET(Camp_List[P_Code],MATCH(Data_Vulnerability_t[[#This Row],[Camp Name]],Camp_List[Camp Name],0)-1,0,1,1),"")</f>
        <v>MMR012CMP116</v>
      </c>
      <c r="E103" s="314" t="s">
        <v>1106</v>
      </c>
      <c r="F103" s="156">
        <v>0</v>
      </c>
      <c r="G103" s="309" t="s">
        <v>623</v>
      </c>
      <c r="H103" s="861">
        <v>42886</v>
      </c>
      <c r="K103"/>
      <c r="L103"/>
    </row>
    <row r="104" spans="1:12" ht="15" x14ac:dyDescent="0.25">
      <c r="A104" s="312" t="s">
        <v>7</v>
      </c>
      <c r="B104" s="328" t="s">
        <v>19</v>
      </c>
      <c r="C104" s="313" t="s">
        <v>635</v>
      </c>
      <c r="D104" s="313" t="str">
        <f ca="1">IFERROR(OFFSET(Camp_List[P_Code],MATCH(Data_Vulnerability_t[[#This Row],[Camp Name]],Camp_List[Camp Name],0)-1,0,1,1),"")</f>
        <v>MMR012CMP116</v>
      </c>
      <c r="E104" s="314" t="s">
        <v>1107</v>
      </c>
      <c r="F104" s="156">
        <v>12</v>
      </c>
      <c r="G104" s="309" t="s">
        <v>623</v>
      </c>
      <c r="H104" s="861">
        <v>42886</v>
      </c>
      <c r="K104"/>
      <c r="L104"/>
    </row>
    <row r="105" spans="1:12" ht="15" x14ac:dyDescent="0.25">
      <c r="A105" s="312" t="s">
        <v>7</v>
      </c>
      <c r="B105" s="328" t="s">
        <v>19</v>
      </c>
      <c r="C105" s="309" t="s">
        <v>635</v>
      </c>
      <c r="D105" s="313" t="str">
        <f ca="1">IFERROR(OFFSET(Camp_List[P_Code],MATCH(Data_Vulnerability_t[[#This Row],[Camp Name]],Camp_List[Camp Name],0)-1,0,1,1),"")</f>
        <v>MMR012CMP116</v>
      </c>
      <c r="E105" s="314" t="s">
        <v>1108</v>
      </c>
      <c r="F105" s="157">
        <v>40</v>
      </c>
      <c r="G105" s="309" t="s">
        <v>623</v>
      </c>
      <c r="H105" s="861">
        <v>42886</v>
      </c>
      <c r="K105"/>
      <c r="L105"/>
    </row>
    <row r="106" spans="1:12" ht="15" x14ac:dyDescent="0.25">
      <c r="A106" s="312" t="s">
        <v>7</v>
      </c>
      <c r="B106" s="328" t="s">
        <v>19</v>
      </c>
      <c r="C106" s="309" t="s">
        <v>635</v>
      </c>
      <c r="D106" s="313" t="str">
        <f ca="1">IFERROR(OFFSET(Camp_List[P_Code],MATCH(Data_Vulnerability_t[[#This Row],[Camp Name]],Camp_List[Camp Name],0)-1,0,1,1),"")</f>
        <v>MMR012CMP116</v>
      </c>
      <c r="E106" s="314" t="s">
        <v>1109</v>
      </c>
      <c r="F106" s="157">
        <v>146</v>
      </c>
      <c r="G106" s="309" t="s">
        <v>623</v>
      </c>
      <c r="H106" s="861">
        <v>42886</v>
      </c>
      <c r="K106"/>
      <c r="L106"/>
    </row>
    <row r="107" spans="1:12" ht="15" x14ac:dyDescent="0.25">
      <c r="A107" s="312" t="s">
        <v>7</v>
      </c>
      <c r="B107" s="328" t="s">
        <v>19</v>
      </c>
      <c r="C107" s="309" t="s">
        <v>635</v>
      </c>
      <c r="D107" s="313" t="str">
        <f ca="1">IFERROR(OFFSET(Camp_List[P_Code],MATCH(Data_Vulnerability_t[[#This Row],[Camp Name]],Camp_List[Camp Name],0)-1,0,1,1),"")</f>
        <v>MMR012CMP116</v>
      </c>
      <c r="E107" s="314" t="s">
        <v>1110</v>
      </c>
      <c r="F107" s="157">
        <v>169</v>
      </c>
      <c r="G107" s="309" t="s">
        <v>623</v>
      </c>
      <c r="H107" s="861">
        <v>42886</v>
      </c>
      <c r="K107"/>
      <c r="L107"/>
    </row>
    <row r="108" spans="1:12" ht="15" x14ac:dyDescent="0.25">
      <c r="A108" s="312" t="s">
        <v>7</v>
      </c>
      <c r="B108" s="328" t="s">
        <v>19</v>
      </c>
      <c r="C108" s="309" t="s">
        <v>635</v>
      </c>
      <c r="D108" s="313" t="str">
        <f ca="1">IFERROR(OFFSET(Camp_List[P_Code],MATCH(Data_Vulnerability_t[[#This Row],[Camp Name]],Camp_List[Camp Name],0)-1,0,1,1),"")</f>
        <v>MMR012CMP116</v>
      </c>
      <c r="E108" s="314" t="s">
        <v>1111</v>
      </c>
      <c r="F108" s="157">
        <v>182</v>
      </c>
      <c r="G108" s="309" t="s">
        <v>623</v>
      </c>
      <c r="H108" s="861">
        <v>42886</v>
      </c>
      <c r="K108"/>
      <c r="L108"/>
    </row>
    <row r="109" spans="1:12" ht="15" x14ac:dyDescent="0.25">
      <c r="A109" s="312" t="s">
        <v>7</v>
      </c>
      <c r="B109" s="328" t="s">
        <v>19</v>
      </c>
      <c r="C109" s="313" t="s">
        <v>635</v>
      </c>
      <c r="D109" s="366" t="str">
        <f ca="1">IFERROR(OFFSET(Camp_List[P_Code],MATCH(Data_Vulnerability_t[[#This Row],[Camp Name]],Camp_List[Camp Name],0)-1,0,1,1),"")</f>
        <v>MMR012CMP116</v>
      </c>
      <c r="E109" s="314" t="s">
        <v>826</v>
      </c>
      <c r="F109" s="157">
        <v>366</v>
      </c>
      <c r="G109" s="309" t="s">
        <v>623</v>
      </c>
      <c r="H109" s="861">
        <v>42886</v>
      </c>
      <c r="K109" s="789"/>
      <c r="L109" s="789"/>
    </row>
    <row r="110" spans="1:12" ht="15" x14ac:dyDescent="0.25">
      <c r="A110" s="312" t="s">
        <v>7</v>
      </c>
      <c r="B110" s="328" t="s">
        <v>19</v>
      </c>
      <c r="C110" s="309" t="s">
        <v>67</v>
      </c>
      <c r="D110" s="313" t="str">
        <f ca="1">IFERROR(OFFSET(Camp_List[P_Code],MATCH(Data_Vulnerability_t[[#This Row],[Camp Name]],Camp_List[Camp Name],0)-1,0,1,1),"")</f>
        <v>MMR012CMP045</v>
      </c>
      <c r="E110" s="314" t="s">
        <v>1104</v>
      </c>
      <c r="F110" s="156">
        <v>104</v>
      </c>
      <c r="G110" s="309" t="s">
        <v>288</v>
      </c>
      <c r="H110" s="861">
        <v>42886</v>
      </c>
      <c r="K110"/>
      <c r="L110"/>
    </row>
    <row r="111" spans="1:12" ht="15" x14ac:dyDescent="0.25">
      <c r="A111" s="312" t="s">
        <v>7</v>
      </c>
      <c r="B111" s="328" t="s">
        <v>19</v>
      </c>
      <c r="C111" s="309" t="s">
        <v>67</v>
      </c>
      <c r="D111" s="313" t="str">
        <f ca="1">IFERROR(OFFSET(Camp_List[P_Code],MATCH(Data_Vulnerability_t[[#This Row],[Camp Name]],Camp_List[Camp Name],0)-1,0,1,1),"")</f>
        <v>MMR012CMP045</v>
      </c>
      <c r="E111" s="314" t="s">
        <v>1105</v>
      </c>
      <c r="F111" s="156">
        <v>0</v>
      </c>
      <c r="G111" s="309" t="s">
        <v>288</v>
      </c>
      <c r="H111" s="861">
        <v>42886</v>
      </c>
      <c r="K111"/>
      <c r="L111"/>
    </row>
    <row r="112" spans="1:12" ht="15" x14ac:dyDescent="0.25">
      <c r="A112" s="312" t="s">
        <v>7</v>
      </c>
      <c r="B112" s="328" t="s">
        <v>19</v>
      </c>
      <c r="C112" s="309" t="s">
        <v>67</v>
      </c>
      <c r="D112" s="313" t="str">
        <f ca="1">IFERROR(OFFSET(Camp_List[P_Code],MATCH(Data_Vulnerability_t[[#This Row],[Camp Name]],Camp_List[Camp Name],0)-1,0,1,1),"")</f>
        <v>MMR012CMP045</v>
      </c>
      <c r="E112" s="314" t="s">
        <v>1106</v>
      </c>
      <c r="F112" s="156">
        <v>144</v>
      </c>
      <c r="G112" s="309" t="s">
        <v>288</v>
      </c>
      <c r="H112" s="861">
        <v>42886</v>
      </c>
      <c r="K112"/>
      <c r="L112"/>
    </row>
    <row r="113" spans="1:12" ht="15" x14ac:dyDescent="0.25">
      <c r="A113" s="312" t="s">
        <v>7</v>
      </c>
      <c r="B113" s="328" t="s">
        <v>19</v>
      </c>
      <c r="C113" s="309" t="s">
        <v>67</v>
      </c>
      <c r="D113" s="313" t="str">
        <f ca="1">IFERROR(OFFSET(Camp_List[P_Code],MATCH(Data_Vulnerability_t[[#This Row],[Camp Name]],Camp_List[Camp Name],0)-1,0,1,1),"")</f>
        <v>MMR012CMP045</v>
      </c>
      <c r="E113" s="314" t="s">
        <v>1107</v>
      </c>
      <c r="F113" s="156">
        <v>78</v>
      </c>
      <c r="G113" s="309" t="s">
        <v>288</v>
      </c>
      <c r="H113" s="861">
        <v>42886</v>
      </c>
      <c r="K113"/>
      <c r="L113"/>
    </row>
    <row r="114" spans="1:12" x14ac:dyDescent="0.2">
      <c r="A114" s="312" t="s">
        <v>7</v>
      </c>
      <c r="B114" s="328" t="s">
        <v>19</v>
      </c>
      <c r="C114" s="309" t="s">
        <v>67</v>
      </c>
      <c r="D114" s="313" t="str">
        <f ca="1">IFERROR(OFFSET(Camp_List[P_Code],MATCH(Data_Vulnerability_t[[#This Row],[Camp Name]],Camp_List[Camp Name],0)-1,0,1,1),"")</f>
        <v>MMR012CMP045</v>
      </c>
      <c r="E114" s="314" t="s">
        <v>1108</v>
      </c>
      <c r="F114" s="156">
        <v>18</v>
      </c>
      <c r="G114" s="309" t="s">
        <v>288</v>
      </c>
      <c r="H114" s="861">
        <v>42886</v>
      </c>
    </row>
    <row r="115" spans="1:12" x14ac:dyDescent="0.2">
      <c r="A115" s="312" t="s">
        <v>7</v>
      </c>
      <c r="B115" s="328" t="s">
        <v>19</v>
      </c>
      <c r="C115" s="309" t="s">
        <v>67</v>
      </c>
      <c r="D115" s="313" t="str">
        <f ca="1">IFERROR(OFFSET(Camp_List[P_Code],MATCH(Data_Vulnerability_t[[#This Row],[Camp Name]],Camp_List[Camp Name],0)-1,0,1,1),"")</f>
        <v>MMR012CMP045</v>
      </c>
      <c r="E115" s="314" t="s">
        <v>1109</v>
      </c>
      <c r="F115" s="156">
        <v>26</v>
      </c>
      <c r="G115" s="309" t="s">
        <v>288</v>
      </c>
      <c r="H115" s="861">
        <v>42886</v>
      </c>
    </row>
    <row r="116" spans="1:12" x14ac:dyDescent="0.2">
      <c r="A116" s="312" t="s">
        <v>7</v>
      </c>
      <c r="B116" s="328" t="s">
        <v>19</v>
      </c>
      <c r="C116" s="313" t="s">
        <v>67</v>
      </c>
      <c r="D116" s="313" t="str">
        <f ca="1">IFERROR(OFFSET(Camp_List[P_Code],MATCH(Data_Vulnerability_t[[#This Row],[Camp Name]],Camp_List[Camp Name],0)-1,0,1,1),"")</f>
        <v>MMR012CMP045</v>
      </c>
      <c r="E116" s="314" t="s">
        <v>1110</v>
      </c>
      <c r="F116" s="156">
        <v>467</v>
      </c>
      <c r="G116" s="309" t="s">
        <v>288</v>
      </c>
      <c r="H116" s="861">
        <v>42886</v>
      </c>
    </row>
    <row r="117" spans="1:12" x14ac:dyDescent="0.2">
      <c r="A117" s="312" t="s">
        <v>7</v>
      </c>
      <c r="B117" s="328" t="s">
        <v>19</v>
      </c>
      <c r="C117" s="313" t="s">
        <v>67</v>
      </c>
      <c r="D117" s="313" t="str">
        <f ca="1">IFERROR(OFFSET(Camp_List[P_Code],MATCH(Data_Vulnerability_t[[#This Row],[Camp Name]],Camp_List[Camp Name],0)-1,0,1,1),"")</f>
        <v>MMR012CMP045</v>
      </c>
      <c r="E117" s="314" t="s">
        <v>1111</v>
      </c>
      <c r="F117" s="156">
        <v>0</v>
      </c>
      <c r="G117" s="309" t="s">
        <v>288</v>
      </c>
      <c r="H117" s="861">
        <v>42886</v>
      </c>
    </row>
    <row r="118" spans="1:12" x14ac:dyDescent="0.2">
      <c r="A118" s="312" t="s">
        <v>7</v>
      </c>
      <c r="B118" s="328" t="s">
        <v>19</v>
      </c>
      <c r="C118" s="313" t="s">
        <v>67</v>
      </c>
      <c r="D118" s="366" t="str">
        <f ca="1">IFERROR(OFFSET(Camp_List[P_Code],MATCH(Data_Vulnerability_t[[#This Row],[Camp Name]],Camp_List[Camp Name],0)-1,0,1,1),"")</f>
        <v>MMR012CMP045</v>
      </c>
      <c r="E118" s="314" t="s">
        <v>826</v>
      </c>
      <c r="F118" s="156">
        <v>0</v>
      </c>
      <c r="G118" s="309" t="s">
        <v>288</v>
      </c>
      <c r="H118" s="861">
        <v>42886</v>
      </c>
    </row>
    <row r="119" spans="1:12" x14ac:dyDescent="0.2">
      <c r="A119" s="312" t="s">
        <v>7</v>
      </c>
      <c r="B119" s="328" t="s">
        <v>14</v>
      </c>
      <c r="C119" s="313" t="s">
        <v>43</v>
      </c>
      <c r="D119" s="313" t="str">
        <f ca="1">IFERROR(OFFSET(Camp_List[P_Code],MATCH(Data_Vulnerability_t[[#This Row],[Camp Name]],Camp_List[Camp Name],0)-1,0,1,1),"")</f>
        <v>MMR012CMP019</v>
      </c>
      <c r="E119" s="314" t="s">
        <v>1104</v>
      </c>
      <c r="F119" s="156">
        <v>10</v>
      </c>
      <c r="G119" s="309" t="s">
        <v>288</v>
      </c>
      <c r="H119" s="861">
        <v>42886</v>
      </c>
    </row>
    <row r="120" spans="1:12" x14ac:dyDescent="0.2">
      <c r="A120" s="312" t="s">
        <v>7</v>
      </c>
      <c r="B120" s="328" t="s">
        <v>14</v>
      </c>
      <c r="C120" s="313" t="s">
        <v>43</v>
      </c>
      <c r="D120" s="313" t="str">
        <f ca="1">IFERROR(OFFSET(Camp_List[P_Code],MATCH(Data_Vulnerability_t[[#This Row],[Camp Name]],Camp_List[Camp Name],0)-1,0,1,1),"")</f>
        <v>MMR012CMP019</v>
      </c>
      <c r="E120" s="314" t="s">
        <v>1105</v>
      </c>
      <c r="F120" s="156">
        <v>0</v>
      </c>
      <c r="G120" s="309" t="s">
        <v>288</v>
      </c>
      <c r="H120" s="861">
        <v>42886</v>
      </c>
    </row>
    <row r="121" spans="1:12" x14ac:dyDescent="0.2">
      <c r="A121" s="312" t="s">
        <v>7</v>
      </c>
      <c r="B121" s="328" t="s">
        <v>14</v>
      </c>
      <c r="C121" s="313" t="s">
        <v>43</v>
      </c>
      <c r="D121" s="313" t="str">
        <f ca="1">IFERROR(OFFSET(Camp_List[P_Code],MATCH(Data_Vulnerability_t[[#This Row],[Camp Name]],Camp_List[Camp Name],0)-1,0,1,1),"")</f>
        <v>MMR012CMP019</v>
      </c>
      <c r="E121" s="314" t="s">
        <v>1106</v>
      </c>
      <c r="F121" s="156">
        <v>37</v>
      </c>
      <c r="G121" s="309" t="s">
        <v>288</v>
      </c>
      <c r="H121" s="861">
        <v>42886</v>
      </c>
    </row>
    <row r="122" spans="1:12" x14ac:dyDescent="0.2">
      <c r="A122" s="312" t="s">
        <v>7</v>
      </c>
      <c r="B122" s="328" t="s">
        <v>14</v>
      </c>
      <c r="C122" s="313" t="s">
        <v>43</v>
      </c>
      <c r="D122" s="313" t="str">
        <f ca="1">IFERROR(OFFSET(Camp_List[P_Code],MATCH(Data_Vulnerability_t[[#This Row],[Camp Name]],Camp_List[Camp Name],0)-1,0,1,1),"")</f>
        <v>MMR012CMP019</v>
      </c>
      <c r="E122" s="314" t="s">
        <v>1107</v>
      </c>
      <c r="F122" s="156">
        <v>2</v>
      </c>
      <c r="G122" s="309" t="s">
        <v>288</v>
      </c>
      <c r="H122" s="861">
        <v>42886</v>
      </c>
    </row>
    <row r="123" spans="1:12" x14ac:dyDescent="0.2">
      <c r="A123" s="312" t="s">
        <v>7</v>
      </c>
      <c r="B123" s="328" t="s">
        <v>14</v>
      </c>
      <c r="C123" s="313" t="s">
        <v>43</v>
      </c>
      <c r="D123" s="313" t="str">
        <f ca="1">IFERROR(OFFSET(Camp_List[P_Code],MATCH(Data_Vulnerability_t[[#This Row],[Camp Name]],Camp_List[Camp Name],0)-1,0,1,1),"")</f>
        <v>MMR012CMP019</v>
      </c>
      <c r="E123" s="314" t="s">
        <v>1108</v>
      </c>
      <c r="F123" s="156">
        <v>3</v>
      </c>
      <c r="G123" s="309" t="s">
        <v>288</v>
      </c>
      <c r="H123" s="861">
        <v>42886</v>
      </c>
    </row>
    <row r="124" spans="1:12" x14ac:dyDescent="0.2">
      <c r="A124" s="312" t="s">
        <v>7</v>
      </c>
      <c r="B124" s="328" t="s">
        <v>14</v>
      </c>
      <c r="C124" s="313" t="s">
        <v>43</v>
      </c>
      <c r="D124" s="313" t="str">
        <f ca="1">IFERROR(OFFSET(Camp_List[P_Code],MATCH(Data_Vulnerability_t[[#This Row],[Camp Name]],Camp_List[Camp Name],0)-1,0,1,1),"")</f>
        <v>MMR012CMP019</v>
      </c>
      <c r="E124" s="314" t="s">
        <v>1109</v>
      </c>
      <c r="F124" s="156">
        <v>101</v>
      </c>
      <c r="G124" s="309" t="s">
        <v>288</v>
      </c>
      <c r="H124" s="861">
        <v>42886</v>
      </c>
    </row>
    <row r="125" spans="1:12" x14ac:dyDescent="0.2">
      <c r="A125" s="312" t="s">
        <v>7</v>
      </c>
      <c r="B125" s="328" t="s">
        <v>14</v>
      </c>
      <c r="C125" s="313" t="s">
        <v>43</v>
      </c>
      <c r="D125" s="313" t="str">
        <f ca="1">IFERROR(OFFSET(Camp_List[P_Code],MATCH(Data_Vulnerability_t[[#This Row],[Camp Name]],Camp_List[Camp Name],0)-1,0,1,1),"")</f>
        <v>MMR012CMP019</v>
      </c>
      <c r="E125" s="314" t="s">
        <v>1110</v>
      </c>
      <c r="F125" s="156">
        <v>1</v>
      </c>
      <c r="G125" s="309" t="s">
        <v>288</v>
      </c>
      <c r="H125" s="861">
        <v>42886</v>
      </c>
    </row>
    <row r="126" spans="1:12" x14ac:dyDescent="0.2">
      <c r="A126" s="312" t="s">
        <v>7</v>
      </c>
      <c r="B126" s="328" t="s">
        <v>14</v>
      </c>
      <c r="C126" s="313" t="s">
        <v>43</v>
      </c>
      <c r="D126" s="313" t="str">
        <f ca="1">IFERROR(OFFSET(Camp_List[P_Code],MATCH(Data_Vulnerability_t[[#This Row],[Camp Name]],Camp_List[Camp Name],0)-1,0,1,1),"")</f>
        <v>MMR012CMP019</v>
      </c>
      <c r="E126" s="314" t="s">
        <v>1111</v>
      </c>
      <c r="F126" s="156">
        <v>0</v>
      </c>
      <c r="G126" s="309" t="s">
        <v>288</v>
      </c>
      <c r="H126" s="861">
        <v>42886</v>
      </c>
    </row>
    <row r="127" spans="1:12" x14ac:dyDescent="0.2">
      <c r="A127" s="312" t="s">
        <v>7</v>
      </c>
      <c r="B127" s="328" t="s">
        <v>14</v>
      </c>
      <c r="C127" s="313" t="s">
        <v>43</v>
      </c>
      <c r="D127" s="366" t="str">
        <f ca="1">IFERROR(OFFSET(Camp_List[P_Code],MATCH(Data_Vulnerability_t[[#This Row],[Camp Name]],Camp_List[Camp Name],0)-1,0,1,1),"")</f>
        <v>MMR012CMP019</v>
      </c>
      <c r="E127" s="314" t="s">
        <v>826</v>
      </c>
      <c r="F127" s="156">
        <v>0</v>
      </c>
      <c r="G127" s="309" t="s">
        <v>288</v>
      </c>
      <c r="H127" s="861">
        <v>42886</v>
      </c>
    </row>
    <row r="128" spans="1:12" x14ac:dyDescent="0.2">
      <c r="A128" s="312" t="s">
        <v>7</v>
      </c>
      <c r="B128" s="328" t="s">
        <v>866</v>
      </c>
      <c r="C128" s="313" t="s">
        <v>38</v>
      </c>
      <c r="D128" s="366" t="s">
        <v>124</v>
      </c>
      <c r="E128" s="314" t="s">
        <v>1104</v>
      </c>
      <c r="F128" s="156">
        <v>35</v>
      </c>
      <c r="G128" s="309" t="s">
        <v>706</v>
      </c>
      <c r="H128" s="861">
        <v>42886</v>
      </c>
    </row>
    <row r="129" spans="1:8" x14ac:dyDescent="0.2">
      <c r="A129" s="312" t="s">
        <v>7</v>
      </c>
      <c r="B129" s="328" t="s">
        <v>866</v>
      </c>
      <c r="C129" s="313" t="s">
        <v>38</v>
      </c>
      <c r="D129" s="366" t="s">
        <v>124</v>
      </c>
      <c r="E129" s="314" t="s">
        <v>1105</v>
      </c>
      <c r="F129" s="156">
        <v>14</v>
      </c>
      <c r="G129" s="309" t="s">
        <v>706</v>
      </c>
      <c r="H129" s="861">
        <v>42886</v>
      </c>
    </row>
    <row r="130" spans="1:8" x14ac:dyDescent="0.2">
      <c r="A130" s="312" t="s">
        <v>7</v>
      </c>
      <c r="B130" s="328" t="s">
        <v>866</v>
      </c>
      <c r="C130" s="313" t="s">
        <v>38</v>
      </c>
      <c r="D130" s="366" t="s">
        <v>124</v>
      </c>
      <c r="E130" s="314" t="s">
        <v>1110</v>
      </c>
      <c r="F130" s="156">
        <v>210</v>
      </c>
      <c r="G130" s="309" t="s">
        <v>706</v>
      </c>
      <c r="H130" s="861">
        <v>42886</v>
      </c>
    </row>
    <row r="131" spans="1:8" x14ac:dyDescent="0.2">
      <c r="A131" s="312" t="s">
        <v>7</v>
      </c>
      <c r="B131" s="328" t="s">
        <v>866</v>
      </c>
      <c r="C131" s="313" t="s">
        <v>38</v>
      </c>
      <c r="D131" s="366" t="s">
        <v>124</v>
      </c>
      <c r="E131" s="314" t="s">
        <v>1111</v>
      </c>
      <c r="F131" s="156">
        <v>38</v>
      </c>
      <c r="G131" s="309" t="s">
        <v>706</v>
      </c>
      <c r="H131" s="861">
        <v>42886</v>
      </c>
    </row>
    <row r="132" spans="1:8" x14ac:dyDescent="0.2">
      <c r="A132" s="312" t="s">
        <v>7</v>
      </c>
      <c r="B132" s="328" t="s">
        <v>866</v>
      </c>
      <c r="C132" s="313" t="s">
        <v>38</v>
      </c>
      <c r="D132" s="366" t="s">
        <v>124</v>
      </c>
      <c r="E132" s="314" t="s">
        <v>826</v>
      </c>
      <c r="F132" s="156">
        <v>62</v>
      </c>
      <c r="G132" s="309" t="s">
        <v>706</v>
      </c>
      <c r="H132" s="861">
        <v>42886</v>
      </c>
    </row>
    <row r="133" spans="1:8" x14ac:dyDescent="0.2">
      <c r="A133" s="312" t="s">
        <v>7</v>
      </c>
      <c r="B133" s="328" t="s">
        <v>866</v>
      </c>
      <c r="C133" s="313" t="s">
        <v>38</v>
      </c>
      <c r="D133" s="313" t="str">
        <f ca="1">IFERROR(OFFSET(Camp_List[P_Code],MATCH(Data_Vulnerability_t[[#This Row],[Camp Name]],Camp_List[Camp Name],0)-1,0,1,1),"")</f>
        <v>MMR012CMP014</v>
      </c>
      <c r="E133" s="314" t="s">
        <v>1108</v>
      </c>
      <c r="F133" s="156">
        <v>5</v>
      </c>
      <c r="G133" s="309" t="s">
        <v>706</v>
      </c>
      <c r="H133" s="861">
        <v>42886</v>
      </c>
    </row>
    <row r="134" spans="1:8" x14ac:dyDescent="0.2">
      <c r="A134" s="312" t="s">
        <v>7</v>
      </c>
      <c r="B134" s="328" t="s">
        <v>866</v>
      </c>
      <c r="C134" s="313" t="s">
        <v>38</v>
      </c>
      <c r="D134" s="313" t="str">
        <f ca="1">IFERROR(OFFSET(Camp_List[P_Code],MATCH(Data_Vulnerability_t[[#This Row],[Camp Name]],Camp_List[Camp Name],0)-1,0,1,1),"")</f>
        <v>MMR012CMP014</v>
      </c>
      <c r="E134" s="314" t="s">
        <v>1107</v>
      </c>
      <c r="F134" s="156">
        <v>3</v>
      </c>
      <c r="G134" s="309" t="s">
        <v>706</v>
      </c>
      <c r="H134" s="861">
        <v>42886</v>
      </c>
    </row>
    <row r="135" spans="1:8" x14ac:dyDescent="0.2">
      <c r="A135" s="312" t="s">
        <v>7</v>
      </c>
      <c r="B135" s="328" t="s">
        <v>866</v>
      </c>
      <c r="C135" s="313" t="s">
        <v>38</v>
      </c>
      <c r="D135" s="313" t="str">
        <f ca="1">IFERROR(OFFSET(Camp_List[P_Code],MATCH(Data_Vulnerability_t[[#This Row],[Camp Name]],Camp_List[Camp Name],0)-1,0,1,1),"")</f>
        <v>MMR012CMP014</v>
      </c>
      <c r="E135" s="314" t="s">
        <v>1109</v>
      </c>
      <c r="F135" s="156">
        <v>5</v>
      </c>
      <c r="G135" s="309" t="s">
        <v>706</v>
      </c>
      <c r="H135" s="861">
        <v>42886</v>
      </c>
    </row>
    <row r="136" spans="1:8" x14ac:dyDescent="0.2">
      <c r="A136" s="312" t="s">
        <v>7</v>
      </c>
      <c r="B136" s="328" t="s">
        <v>866</v>
      </c>
      <c r="C136" s="313" t="s">
        <v>38</v>
      </c>
      <c r="D136" s="313" t="str">
        <f ca="1">IFERROR(OFFSET(Camp_List[P_Code],MATCH(Data_Vulnerability_t[[#This Row],[Camp Name]],Camp_List[Camp Name],0)-1,0,1,1),"")</f>
        <v>MMR012CMP014</v>
      </c>
      <c r="E136" s="314" t="s">
        <v>1106</v>
      </c>
      <c r="F136" s="156">
        <v>158</v>
      </c>
      <c r="G136" s="309" t="s">
        <v>706</v>
      </c>
      <c r="H136" s="861">
        <v>42886</v>
      </c>
    </row>
    <row r="137" spans="1:8" x14ac:dyDescent="0.2">
      <c r="A137" s="312" t="s">
        <v>7</v>
      </c>
      <c r="B137" s="328" t="s">
        <v>19</v>
      </c>
      <c r="C137" s="313" t="s">
        <v>68</v>
      </c>
      <c r="D137" s="313" t="str">
        <f ca="1">IFERROR(OFFSET(Camp_List[P_Code],MATCH(Data_Vulnerability_t[[#This Row],[Camp Name]],Camp_List[Camp Name],0)-1,0,1,1),"")</f>
        <v>MMR012CMP046</v>
      </c>
      <c r="E137" s="314" t="s">
        <v>1104</v>
      </c>
      <c r="F137" s="156">
        <v>68</v>
      </c>
      <c r="G137" s="309" t="s">
        <v>623</v>
      </c>
      <c r="H137" s="861">
        <v>42886</v>
      </c>
    </row>
    <row r="138" spans="1:8" x14ac:dyDescent="0.2">
      <c r="A138" s="312" t="s">
        <v>7</v>
      </c>
      <c r="B138" s="328" t="s">
        <v>19</v>
      </c>
      <c r="C138" s="313" t="s">
        <v>68</v>
      </c>
      <c r="D138" s="313" t="str">
        <f ca="1">IFERROR(OFFSET(Camp_List[P_Code],MATCH(Data_Vulnerability_t[[#This Row],[Camp Name]],Camp_List[Camp Name],0)-1,0,1,1),"")</f>
        <v>MMR012CMP046</v>
      </c>
      <c r="E138" s="314" t="s">
        <v>1105</v>
      </c>
      <c r="F138" s="156">
        <v>41</v>
      </c>
      <c r="G138" s="309" t="s">
        <v>623</v>
      </c>
      <c r="H138" s="861">
        <v>42886</v>
      </c>
    </row>
    <row r="139" spans="1:8" x14ac:dyDescent="0.2">
      <c r="A139" s="312" t="s">
        <v>7</v>
      </c>
      <c r="B139" s="328" t="s">
        <v>19</v>
      </c>
      <c r="C139" s="313" t="s">
        <v>68</v>
      </c>
      <c r="D139" s="313" t="str">
        <f ca="1">IFERROR(OFFSET(Camp_List[P_Code],MATCH(Data_Vulnerability_t[[#This Row],[Camp Name]],Camp_List[Camp Name],0)-1,0,1,1),"")</f>
        <v>MMR012CMP046</v>
      </c>
      <c r="E139" s="314" t="s">
        <v>1106</v>
      </c>
      <c r="F139" s="156">
        <v>0</v>
      </c>
      <c r="G139" s="309" t="s">
        <v>623</v>
      </c>
      <c r="H139" s="861">
        <v>42886</v>
      </c>
    </row>
    <row r="140" spans="1:8" x14ac:dyDescent="0.2">
      <c r="A140" s="312" t="s">
        <v>7</v>
      </c>
      <c r="B140" s="328" t="s">
        <v>19</v>
      </c>
      <c r="C140" s="313" t="s">
        <v>68</v>
      </c>
      <c r="D140" s="313" t="str">
        <f ca="1">IFERROR(OFFSET(Camp_List[P_Code],MATCH(Data_Vulnerability_t[[#This Row],[Camp Name]],Camp_List[Camp Name],0)-1,0,1,1),"")</f>
        <v>MMR012CMP046</v>
      </c>
      <c r="E140" s="314" t="s">
        <v>1107</v>
      </c>
      <c r="F140" s="156">
        <v>10</v>
      </c>
      <c r="G140" s="309" t="s">
        <v>623</v>
      </c>
      <c r="H140" s="861">
        <v>42886</v>
      </c>
    </row>
    <row r="141" spans="1:8" x14ac:dyDescent="0.2">
      <c r="A141" s="312" t="s">
        <v>7</v>
      </c>
      <c r="B141" s="328" t="s">
        <v>19</v>
      </c>
      <c r="C141" s="313" t="s">
        <v>68</v>
      </c>
      <c r="D141" s="313" t="str">
        <f ca="1">IFERROR(OFFSET(Camp_List[P_Code],MATCH(Data_Vulnerability_t[[#This Row],[Camp Name]],Camp_List[Camp Name],0)-1,0,1,1),"")</f>
        <v>MMR012CMP046</v>
      </c>
      <c r="E141" s="314" t="s">
        <v>1108</v>
      </c>
      <c r="F141" s="156">
        <v>15</v>
      </c>
      <c r="G141" s="309" t="s">
        <v>623</v>
      </c>
      <c r="H141" s="861">
        <v>42886</v>
      </c>
    </row>
    <row r="142" spans="1:8" x14ac:dyDescent="0.2">
      <c r="A142" s="312" t="s">
        <v>7</v>
      </c>
      <c r="B142" s="328" t="s">
        <v>19</v>
      </c>
      <c r="C142" s="313" t="s">
        <v>68</v>
      </c>
      <c r="D142" s="313" t="str">
        <f ca="1">IFERROR(OFFSET(Camp_List[P_Code],MATCH(Data_Vulnerability_t[[#This Row],[Camp Name]],Camp_List[Camp Name],0)-1,0,1,1),"")</f>
        <v>MMR012CMP046</v>
      </c>
      <c r="E142" s="314" t="s">
        <v>1109</v>
      </c>
      <c r="F142" s="156">
        <v>315</v>
      </c>
      <c r="G142" s="309" t="s">
        <v>623</v>
      </c>
      <c r="H142" s="861">
        <v>42886</v>
      </c>
    </row>
    <row r="143" spans="1:8" x14ac:dyDescent="0.2">
      <c r="A143" s="481" t="s">
        <v>7</v>
      </c>
      <c r="B143" s="485" t="s">
        <v>19</v>
      </c>
      <c r="C143" s="156" t="s">
        <v>68</v>
      </c>
      <c r="D143" s="366" t="str">
        <f ca="1">IFERROR(OFFSET(Camp_List[P_Code],MATCH(Data_Vulnerability_t[[#This Row],[Camp Name]],Camp_List[Camp Name],0)-1,0,1,1),"")</f>
        <v>MMR012CMP046</v>
      </c>
      <c r="E143" s="483" t="s">
        <v>1110</v>
      </c>
      <c r="F143" s="156">
        <v>41</v>
      </c>
      <c r="G143" s="482" t="s">
        <v>623</v>
      </c>
      <c r="H143" s="861">
        <v>42886</v>
      </c>
    </row>
    <row r="144" spans="1:8" x14ac:dyDescent="0.2">
      <c r="A144" s="481" t="s">
        <v>7</v>
      </c>
      <c r="B144" s="485" t="s">
        <v>19</v>
      </c>
      <c r="C144" s="156" t="s">
        <v>68</v>
      </c>
      <c r="D144" s="366" t="str">
        <f ca="1">IFERROR(OFFSET(Camp_List[P_Code],MATCH(Data_Vulnerability_t[[#This Row],[Camp Name]],Camp_List[Camp Name],0)-1,0,1,1),"")</f>
        <v>MMR012CMP046</v>
      </c>
      <c r="E144" s="483" t="s">
        <v>1111</v>
      </c>
      <c r="F144" s="156">
        <v>149</v>
      </c>
      <c r="G144" s="482" t="s">
        <v>623</v>
      </c>
      <c r="H144" s="861">
        <v>42886</v>
      </c>
    </row>
    <row r="145" spans="1:8" x14ac:dyDescent="0.2">
      <c r="A145" s="481" t="s">
        <v>7</v>
      </c>
      <c r="B145" s="485" t="s">
        <v>19</v>
      </c>
      <c r="C145" s="156" t="s">
        <v>68</v>
      </c>
      <c r="D145" s="366" t="str">
        <f ca="1">IFERROR(OFFSET(Camp_List[P_Code],MATCH(Data_Vulnerability_t[[#This Row],[Camp Name]],Camp_List[Camp Name],0)-1,0,1,1),"")</f>
        <v>MMR012CMP046</v>
      </c>
      <c r="E145" s="483" t="s">
        <v>826</v>
      </c>
      <c r="F145" s="156">
        <v>406</v>
      </c>
      <c r="G145" s="482" t="s">
        <v>623</v>
      </c>
      <c r="H145" s="861">
        <v>42886</v>
      </c>
    </row>
    <row r="146" spans="1:8" x14ac:dyDescent="0.2">
      <c r="A146" s="481" t="s">
        <v>7</v>
      </c>
      <c r="B146" s="485" t="s">
        <v>19</v>
      </c>
      <c r="C146" s="156" t="s">
        <v>70</v>
      </c>
      <c r="D146" s="366" t="str">
        <f ca="1">IFERROR(OFFSET(Camp_List[P_Code],MATCH(Data_Vulnerability_t[[#This Row],[Camp Name]],Camp_List[Camp Name],0)-1,0,1,1),"")</f>
        <v>MMR012CMP048</v>
      </c>
      <c r="E146" s="483" t="s">
        <v>1104</v>
      </c>
      <c r="F146" s="156">
        <v>31</v>
      </c>
      <c r="G146" s="482" t="s">
        <v>970</v>
      </c>
      <c r="H146" s="861">
        <v>42886</v>
      </c>
    </row>
    <row r="147" spans="1:8" ht="12" customHeight="1" x14ac:dyDescent="0.2">
      <c r="A147" s="481" t="s">
        <v>7</v>
      </c>
      <c r="B147" s="485" t="s">
        <v>19</v>
      </c>
      <c r="C147" s="156" t="s">
        <v>70</v>
      </c>
      <c r="D147" s="366" t="str">
        <f ca="1">IFERROR(OFFSET(Camp_List[P_Code],MATCH(Data_Vulnerability_t[[#This Row],[Camp Name]],Camp_List[Camp Name],0)-1,0,1,1),"")</f>
        <v>MMR012CMP048</v>
      </c>
      <c r="E147" s="483" t="s">
        <v>1105</v>
      </c>
      <c r="F147" s="156">
        <v>10</v>
      </c>
      <c r="G147" s="482" t="s">
        <v>970</v>
      </c>
      <c r="H147" s="861">
        <v>42886</v>
      </c>
    </row>
    <row r="148" spans="1:8" x14ac:dyDescent="0.2">
      <c r="A148" s="481" t="s">
        <v>7</v>
      </c>
      <c r="B148" s="485" t="s">
        <v>19</v>
      </c>
      <c r="C148" s="156" t="s">
        <v>70</v>
      </c>
      <c r="D148" s="366" t="str">
        <f ca="1">IFERROR(OFFSET(Camp_List[P_Code],MATCH(Data_Vulnerability_t[[#This Row],[Camp Name]],Camp_List[Camp Name],0)-1,0,1,1),"")</f>
        <v>MMR012CMP048</v>
      </c>
      <c r="E148" s="483" t="s">
        <v>1106</v>
      </c>
      <c r="F148" s="156">
        <v>54</v>
      </c>
      <c r="G148" s="482" t="s">
        <v>970</v>
      </c>
      <c r="H148" s="861">
        <v>42886</v>
      </c>
    </row>
    <row r="149" spans="1:8" x14ac:dyDescent="0.2">
      <c r="A149" s="481" t="s">
        <v>7</v>
      </c>
      <c r="B149" s="485" t="s">
        <v>19</v>
      </c>
      <c r="C149" s="156" t="s">
        <v>70</v>
      </c>
      <c r="D149" s="366" t="str">
        <f ca="1">IFERROR(OFFSET(Camp_List[P_Code],MATCH(Data_Vulnerability_t[[#This Row],[Camp Name]],Camp_List[Camp Name],0)-1,0,1,1),"")</f>
        <v>MMR012CMP048</v>
      </c>
      <c r="E149" s="483" t="s">
        <v>1107</v>
      </c>
      <c r="F149" s="156">
        <v>32</v>
      </c>
      <c r="G149" s="482" t="s">
        <v>970</v>
      </c>
      <c r="H149" s="861">
        <v>42886</v>
      </c>
    </row>
    <row r="150" spans="1:8" x14ac:dyDescent="0.2">
      <c r="A150" s="481" t="s">
        <v>7</v>
      </c>
      <c r="B150" s="485" t="s">
        <v>19</v>
      </c>
      <c r="C150" s="156" t="s">
        <v>70</v>
      </c>
      <c r="D150" s="366" t="str">
        <f ca="1">IFERROR(OFFSET(Camp_List[P_Code],MATCH(Data_Vulnerability_t[[#This Row],[Camp Name]],Camp_List[Camp Name],0)-1,0,1,1),"")</f>
        <v>MMR012CMP048</v>
      </c>
      <c r="E150" s="483" t="s">
        <v>1108</v>
      </c>
      <c r="F150" s="156">
        <v>0</v>
      </c>
      <c r="G150" s="482" t="s">
        <v>970</v>
      </c>
      <c r="H150" s="861">
        <v>42886</v>
      </c>
    </row>
    <row r="151" spans="1:8" x14ac:dyDescent="0.2">
      <c r="A151" s="481" t="s">
        <v>7</v>
      </c>
      <c r="B151" s="485" t="s">
        <v>19</v>
      </c>
      <c r="C151" s="156" t="s">
        <v>70</v>
      </c>
      <c r="D151" s="366" t="str">
        <f ca="1">IFERROR(OFFSET(Camp_List[P_Code],MATCH(Data_Vulnerability_t[[#This Row],[Camp Name]],Camp_List[Camp Name],0)-1,0,1,1),"")</f>
        <v>MMR012CMP048</v>
      </c>
      <c r="E151" s="483" t="s">
        <v>1109</v>
      </c>
      <c r="F151" s="156">
        <v>48</v>
      </c>
      <c r="G151" s="482" t="s">
        <v>970</v>
      </c>
      <c r="H151" s="861">
        <v>42886</v>
      </c>
    </row>
    <row r="152" spans="1:8" x14ac:dyDescent="0.2">
      <c r="A152" s="481" t="s">
        <v>7</v>
      </c>
      <c r="B152" s="485" t="s">
        <v>19</v>
      </c>
      <c r="C152" s="156" t="s">
        <v>70</v>
      </c>
      <c r="D152" s="366" t="str">
        <f ca="1">IFERROR(OFFSET(Camp_List[P_Code],MATCH(Data_Vulnerability_t[[#This Row],[Camp Name]],Camp_List[Camp Name],0)-1,0,1,1),"")</f>
        <v>MMR012CMP048</v>
      </c>
      <c r="E152" s="483" t="s">
        <v>1110</v>
      </c>
      <c r="F152" s="156">
        <v>161</v>
      </c>
      <c r="G152" s="482" t="s">
        <v>970</v>
      </c>
      <c r="H152" s="861">
        <v>42886</v>
      </c>
    </row>
    <row r="153" spans="1:8" x14ac:dyDescent="0.2">
      <c r="A153" s="596" t="s">
        <v>7</v>
      </c>
      <c r="B153" s="597" t="s">
        <v>19</v>
      </c>
      <c r="C153" s="306" t="s">
        <v>70</v>
      </c>
      <c r="D153" s="486" t="str">
        <f ca="1">IFERROR(OFFSET(Camp_List[P_Code],MATCH(Data_Vulnerability_t[[#This Row],[Camp Name]],Camp_List[Camp Name],0)-1,0,1,1),"")</f>
        <v>MMR012CMP048</v>
      </c>
      <c r="E153" s="487" t="s">
        <v>1111</v>
      </c>
      <c r="F153" s="306">
        <v>40</v>
      </c>
      <c r="G153" s="598" t="s">
        <v>970</v>
      </c>
      <c r="H153" s="861">
        <v>42886</v>
      </c>
    </row>
    <row r="154" spans="1:8" x14ac:dyDescent="0.2">
      <c r="A154" s="596" t="s">
        <v>7</v>
      </c>
      <c r="B154" s="597" t="s">
        <v>19</v>
      </c>
      <c r="C154" s="306" t="s">
        <v>70</v>
      </c>
      <c r="D154" s="486" t="str">
        <f ca="1">IFERROR(OFFSET(Camp_List[P_Code],MATCH(Data_Vulnerability_t[[#This Row],[Camp Name]],Camp_List[Camp Name],0)-1,0,1,1),"")</f>
        <v>MMR012CMP048</v>
      </c>
      <c r="E154" s="487" t="s">
        <v>826</v>
      </c>
      <c r="F154" s="306">
        <v>230</v>
      </c>
      <c r="G154" s="598" t="s">
        <v>970</v>
      </c>
      <c r="H154" s="861">
        <v>42886</v>
      </c>
    </row>
    <row r="158" spans="1:8" x14ac:dyDescent="0.2">
      <c r="E158" s="860"/>
      <c r="F158" s="860"/>
    </row>
    <row r="159" spans="1:8" x14ac:dyDescent="0.2">
      <c r="E159" s="860"/>
      <c r="F159" s="860"/>
    </row>
    <row r="160" spans="1:8" ht="16.5" customHeight="1" x14ac:dyDescent="0.2">
      <c r="C160" s="284"/>
      <c r="D160" s="927"/>
      <c r="E160" s="860"/>
      <c r="F160" s="860"/>
      <c r="H160" s="155"/>
    </row>
    <row r="161" spans="3:6" ht="28.5" customHeight="1" x14ac:dyDescent="0.2">
      <c r="C161" s="284"/>
      <c r="D161" s="927"/>
      <c r="E161" s="860"/>
      <c r="F161" s="860"/>
    </row>
    <row r="162" spans="3:6" ht="16.5" customHeight="1" x14ac:dyDescent="0.2">
      <c r="C162" s="284"/>
      <c r="D162" s="927"/>
      <c r="E162" s="860"/>
      <c r="F162" s="860"/>
    </row>
    <row r="163" spans="3:6" ht="16.5" customHeight="1" x14ac:dyDescent="0.2">
      <c r="C163" s="284"/>
      <c r="D163" s="927"/>
      <c r="E163" s="860"/>
      <c r="F163" s="860"/>
    </row>
    <row r="164" spans="3:6" ht="16.5" customHeight="1" x14ac:dyDescent="0.2">
      <c r="C164" s="284"/>
      <c r="D164" s="927"/>
      <c r="E164" s="860"/>
      <c r="F164" s="860"/>
    </row>
    <row r="165" spans="3:6" ht="16.5" customHeight="1" x14ac:dyDescent="0.2">
      <c r="C165" s="284"/>
      <c r="D165" s="927"/>
      <c r="E165" s="860"/>
      <c r="F165" s="860"/>
    </row>
    <row r="166" spans="3:6" ht="16.5" customHeight="1" x14ac:dyDescent="0.2">
      <c r="C166" s="284"/>
      <c r="D166" s="927"/>
      <c r="E166" s="860"/>
      <c r="F166" s="860"/>
    </row>
    <row r="167" spans="3:6" ht="16.5" customHeight="1" x14ac:dyDescent="0.2">
      <c r="C167" s="284"/>
      <c r="D167" s="927"/>
    </row>
    <row r="168" spans="3:6" ht="16.5" customHeight="1" x14ac:dyDescent="0.2">
      <c r="C168" s="284"/>
      <c r="D168" s="927"/>
    </row>
    <row r="169" spans="3:6" ht="16.5" customHeight="1" x14ac:dyDescent="0.2">
      <c r="C169" s="284"/>
      <c r="D169" s="927"/>
    </row>
    <row r="170" spans="3:6" ht="16.5" customHeight="1" x14ac:dyDescent="0.2">
      <c r="C170" s="284"/>
      <c r="D170" s="927"/>
    </row>
    <row r="171" spans="3:6" ht="16.5" customHeight="1" x14ac:dyDescent="0.2">
      <c r="C171" s="284"/>
      <c r="D171" s="927"/>
    </row>
    <row r="172" spans="3:6" ht="16.5" customHeight="1" x14ac:dyDescent="0.2">
      <c r="C172" s="284"/>
      <c r="D172" s="927"/>
    </row>
    <row r="173" spans="3:6" ht="16.5" customHeight="1" x14ac:dyDescent="0.2">
      <c r="C173" s="284"/>
      <c r="D173" s="927"/>
    </row>
    <row r="174" spans="3:6" ht="16.5" customHeight="1" x14ac:dyDescent="0.2">
      <c r="C174" s="284"/>
      <c r="D174" s="927"/>
    </row>
    <row r="175" spans="3:6" ht="16.5" customHeight="1" x14ac:dyDescent="0.2">
      <c r="C175" s="284"/>
      <c r="D175" s="927"/>
    </row>
    <row r="176" spans="3:6" ht="15" x14ac:dyDescent="0.2">
      <c r="C176" s="284"/>
      <c r="D176" s="927"/>
    </row>
    <row r="177" spans="3:4" ht="15" x14ac:dyDescent="0.2">
      <c r="C177" s="284"/>
      <c r="D177" s="927"/>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x14ac:dyDescent="0.25"/>
  <cols>
    <col min="1" max="1" width="1.7109375" style="90" customWidth="1"/>
  </cols>
  <sheetData>
    <row r="1" spans="2:62" s="90" customFormat="1" ht="8.25" customHeight="1" thickBot="1" x14ac:dyDescent="0.3"/>
    <row r="2" spans="2:62" s="1" customFormat="1" ht="36.75" customHeight="1" x14ac:dyDescent="0.25">
      <c r="B2" s="408"/>
      <c r="C2" s="409"/>
      <c r="D2" s="409"/>
      <c r="E2" s="409"/>
      <c r="F2" s="409"/>
      <c r="G2" s="409"/>
      <c r="H2" s="409"/>
      <c r="I2" s="409"/>
      <c r="J2" s="409"/>
      <c r="K2" s="409"/>
      <c r="L2" s="409"/>
      <c r="M2" s="409"/>
      <c r="N2" s="409"/>
      <c r="O2" s="409"/>
      <c r="P2" s="416"/>
      <c r="Q2" s="90"/>
      <c r="R2" s="90"/>
      <c r="S2" s="90"/>
      <c r="T2" s="90"/>
      <c r="U2" s="90"/>
      <c r="V2" s="90"/>
      <c r="W2" s="90"/>
      <c r="X2" s="90"/>
      <c r="Y2" s="90"/>
      <c r="Z2" s="90"/>
      <c r="BI2" s="68"/>
      <c r="BJ2" s="68"/>
    </row>
    <row r="3" spans="2:62" s="1" customFormat="1" ht="29.25" customHeight="1" x14ac:dyDescent="0.25">
      <c r="B3" s="410" t="s">
        <v>784</v>
      </c>
      <c r="C3" s="171"/>
      <c r="D3" s="171"/>
      <c r="E3" s="67"/>
      <c r="F3" s="67"/>
      <c r="G3" s="67"/>
      <c r="H3" s="67"/>
      <c r="I3" s="67"/>
      <c r="J3" s="67"/>
      <c r="K3" s="67"/>
      <c r="L3" s="67"/>
      <c r="M3" s="67"/>
      <c r="N3" s="67"/>
      <c r="O3" s="67"/>
      <c r="P3" s="417"/>
      <c r="Q3" s="90"/>
      <c r="R3" s="90"/>
      <c r="S3" s="90"/>
      <c r="T3" s="90"/>
      <c r="U3" s="90"/>
      <c r="V3" s="90"/>
      <c r="W3" s="90"/>
      <c r="X3" s="90"/>
      <c r="Y3" s="90"/>
      <c r="Z3" s="90"/>
      <c r="BG3" s="68"/>
      <c r="BH3" s="68"/>
    </row>
    <row r="4" spans="2:62" s="19" customFormat="1" ht="21.75" customHeight="1" x14ac:dyDescent="0.25">
      <c r="B4" s="1045">
        <f>Report_Date</f>
        <v>42856</v>
      </c>
      <c r="C4" s="1014"/>
      <c r="D4" s="1014"/>
      <c r="E4" s="191"/>
      <c r="F4" s="191"/>
      <c r="G4" s="191"/>
      <c r="H4" s="191"/>
      <c r="I4" s="191"/>
      <c r="J4" s="191"/>
      <c r="K4" s="191"/>
      <c r="L4" s="192"/>
      <c r="M4" s="191"/>
      <c r="N4" s="191"/>
      <c r="O4" s="191"/>
      <c r="P4" s="418"/>
      <c r="Q4" s="90"/>
      <c r="R4" s="90"/>
      <c r="S4" s="90"/>
      <c r="T4" s="90"/>
      <c r="U4" s="90"/>
      <c r="V4" s="90"/>
      <c r="W4" s="90"/>
      <c r="X4" s="90"/>
      <c r="Y4" s="90"/>
      <c r="Z4" s="90"/>
      <c r="BG4" s="69"/>
      <c r="BH4" s="69"/>
    </row>
    <row r="5" spans="2:62" x14ac:dyDescent="0.25">
      <c r="B5" s="411"/>
      <c r="C5" s="183"/>
      <c r="D5" s="183"/>
      <c r="E5" s="183"/>
      <c r="F5" s="183"/>
      <c r="G5" s="183"/>
      <c r="H5" s="183"/>
      <c r="I5" s="183"/>
      <c r="J5" s="183"/>
      <c r="K5" s="183"/>
      <c r="L5" s="183"/>
      <c r="M5" s="183"/>
      <c r="N5" s="183"/>
      <c r="O5" s="183"/>
      <c r="P5" s="412"/>
      <c r="Q5" s="90"/>
      <c r="R5" s="90"/>
      <c r="S5" s="90"/>
      <c r="T5" s="90"/>
      <c r="U5" s="90"/>
      <c r="V5" s="90"/>
      <c r="W5" s="90"/>
      <c r="X5" s="90"/>
      <c r="Y5" s="90"/>
      <c r="Z5" s="90"/>
    </row>
    <row r="6" spans="2:62" x14ac:dyDescent="0.25">
      <c r="B6" s="411"/>
      <c r="C6" s="183"/>
      <c r="D6" s="183"/>
      <c r="E6" s="183"/>
      <c r="F6" s="183"/>
      <c r="G6" s="183"/>
      <c r="H6" s="183"/>
      <c r="I6" s="183"/>
      <c r="J6" s="183"/>
      <c r="K6" s="183"/>
      <c r="L6" s="183"/>
      <c r="M6" s="183"/>
      <c r="N6" s="183"/>
      <c r="O6" s="183"/>
      <c r="P6" s="412"/>
    </row>
    <row r="7" spans="2:62" x14ac:dyDescent="0.25">
      <c r="B7" s="411"/>
      <c r="C7" s="183"/>
      <c r="D7" s="183"/>
      <c r="E7" s="183"/>
      <c r="F7" s="183"/>
      <c r="G7" s="183"/>
      <c r="H7" s="183"/>
      <c r="I7" s="183"/>
      <c r="J7" s="183"/>
      <c r="K7" s="183"/>
      <c r="L7" s="183"/>
      <c r="M7" s="183"/>
      <c r="N7" s="183"/>
      <c r="O7" s="183"/>
      <c r="P7" s="412"/>
    </row>
    <row r="8" spans="2:62" x14ac:dyDescent="0.25">
      <c r="B8" s="411"/>
      <c r="C8" s="183"/>
      <c r="D8" s="183"/>
      <c r="E8" s="183"/>
      <c r="F8" s="183"/>
      <c r="G8" s="183"/>
      <c r="H8" s="183"/>
      <c r="I8" s="183"/>
      <c r="J8" s="183"/>
      <c r="K8" s="183"/>
      <c r="L8" s="183"/>
      <c r="M8" s="183"/>
      <c r="N8" s="183"/>
      <c r="O8" s="183"/>
      <c r="P8" s="412"/>
    </row>
    <row r="9" spans="2:62" x14ac:dyDescent="0.25">
      <c r="B9" s="411"/>
      <c r="C9" s="183"/>
      <c r="D9" s="183"/>
      <c r="E9" s="183"/>
      <c r="F9" s="183"/>
      <c r="G9" s="183"/>
      <c r="H9" s="183"/>
      <c r="I9" s="183"/>
      <c r="J9" s="183"/>
      <c r="K9" s="183"/>
      <c r="L9" s="183"/>
      <c r="M9" s="183"/>
      <c r="N9" s="183"/>
      <c r="O9" s="183"/>
      <c r="P9" s="412"/>
    </row>
    <row r="10" spans="2:62" x14ac:dyDescent="0.25">
      <c r="B10" s="411"/>
      <c r="C10" s="183"/>
      <c r="D10" s="183"/>
      <c r="E10" s="183"/>
      <c r="F10" s="183"/>
      <c r="G10" s="183"/>
      <c r="H10" s="183"/>
      <c r="I10" s="183"/>
      <c r="J10" s="183"/>
      <c r="K10" s="183"/>
      <c r="L10" s="183"/>
      <c r="M10" s="183"/>
      <c r="N10" s="183"/>
      <c r="O10" s="183"/>
      <c r="P10" s="412"/>
    </row>
    <row r="11" spans="2:62" x14ac:dyDescent="0.25">
      <c r="B11" s="411"/>
      <c r="C11" s="183"/>
      <c r="D11" s="183"/>
      <c r="E11" s="183"/>
      <c r="F11" s="183"/>
      <c r="G11" s="183"/>
      <c r="H11" s="183"/>
      <c r="I11" s="183"/>
      <c r="J11" s="183"/>
      <c r="K11" s="183"/>
      <c r="L11" s="183"/>
      <c r="M11" s="183"/>
      <c r="N11" s="183"/>
      <c r="O11" s="183"/>
      <c r="P11" s="412"/>
    </row>
    <row r="12" spans="2:62" x14ac:dyDescent="0.25">
      <c r="B12" s="411"/>
      <c r="C12" s="183"/>
      <c r="D12" s="183"/>
      <c r="E12" s="183"/>
      <c r="F12" s="183"/>
      <c r="G12" s="183"/>
      <c r="H12" s="183"/>
      <c r="I12" s="183"/>
      <c r="J12" s="183"/>
      <c r="K12" s="183"/>
      <c r="L12" s="183"/>
      <c r="M12" s="183"/>
      <c r="N12" s="183"/>
      <c r="O12" s="183"/>
      <c r="P12" s="412"/>
    </row>
    <row r="13" spans="2:62" x14ac:dyDescent="0.25">
      <c r="B13" s="411"/>
      <c r="C13" s="183"/>
      <c r="D13" s="183"/>
      <c r="E13" s="183"/>
      <c r="F13" s="183"/>
      <c r="G13" s="183"/>
      <c r="H13" s="183"/>
      <c r="I13" s="183"/>
      <c r="J13" s="183"/>
      <c r="K13" s="183"/>
      <c r="L13" s="183"/>
      <c r="M13" s="183"/>
      <c r="N13" s="183"/>
      <c r="O13" s="183"/>
      <c r="P13" s="412"/>
    </row>
    <row r="14" spans="2:62" x14ac:dyDescent="0.25">
      <c r="B14" s="411"/>
      <c r="C14" s="183"/>
      <c r="D14" s="183"/>
      <c r="E14" s="183"/>
      <c r="F14" s="183"/>
      <c r="G14" s="183"/>
      <c r="H14" s="183"/>
      <c r="I14" s="183"/>
      <c r="J14" s="183"/>
      <c r="K14" s="183"/>
      <c r="L14" s="183"/>
      <c r="M14" s="183"/>
      <c r="N14" s="183"/>
      <c r="O14" s="183"/>
      <c r="P14" s="412"/>
    </row>
    <row r="15" spans="2:62" x14ac:dyDescent="0.25">
      <c r="B15" s="411"/>
      <c r="C15" s="183"/>
      <c r="D15" s="183"/>
      <c r="E15" s="183"/>
      <c r="F15" s="183"/>
      <c r="G15" s="183"/>
      <c r="H15" s="183"/>
      <c r="I15" s="183"/>
      <c r="J15" s="183"/>
      <c r="K15" s="183"/>
      <c r="L15" s="183"/>
      <c r="M15" s="183"/>
      <c r="N15" s="183"/>
      <c r="O15" s="183"/>
      <c r="P15" s="412"/>
    </row>
    <row r="16" spans="2:62" x14ac:dyDescent="0.25">
      <c r="B16" s="411"/>
      <c r="C16" s="183"/>
      <c r="D16" s="183"/>
      <c r="E16" s="183"/>
      <c r="F16" s="183"/>
      <c r="G16" s="183"/>
      <c r="H16" s="183"/>
      <c r="I16" s="183"/>
      <c r="J16" s="183"/>
      <c r="K16" s="183"/>
      <c r="L16" s="183"/>
      <c r="M16" s="183"/>
      <c r="N16" s="183"/>
      <c r="O16" s="183"/>
      <c r="P16" s="412"/>
    </row>
    <row r="17" spans="2:16" x14ac:dyDescent="0.25">
      <c r="B17" s="411"/>
      <c r="C17" s="183"/>
      <c r="D17" s="183"/>
      <c r="E17" s="183"/>
      <c r="F17" s="183"/>
      <c r="G17" s="183"/>
      <c r="H17" s="183"/>
      <c r="I17" s="183"/>
      <c r="J17" s="183"/>
      <c r="K17" s="183"/>
      <c r="L17" s="183"/>
      <c r="M17" s="183"/>
      <c r="N17" s="183"/>
      <c r="O17" s="183"/>
      <c r="P17" s="412"/>
    </row>
    <row r="18" spans="2:16" x14ac:dyDescent="0.25">
      <c r="B18" s="411"/>
      <c r="C18" s="183"/>
      <c r="D18" s="183"/>
      <c r="E18" s="183"/>
      <c r="F18" s="183"/>
      <c r="G18" s="183"/>
      <c r="H18" s="183"/>
      <c r="I18" s="183"/>
      <c r="J18" s="183"/>
      <c r="K18" s="183"/>
      <c r="L18" s="183"/>
      <c r="M18" s="183"/>
      <c r="N18" s="183"/>
      <c r="O18" s="183"/>
      <c r="P18" s="412"/>
    </row>
    <row r="19" spans="2:16" x14ac:dyDescent="0.25">
      <c r="B19" s="411"/>
      <c r="C19" s="183"/>
      <c r="D19" s="183"/>
      <c r="E19" s="183"/>
      <c r="F19" s="183"/>
      <c r="G19" s="183"/>
      <c r="H19" s="183"/>
      <c r="I19" s="183"/>
      <c r="J19" s="183"/>
      <c r="K19" s="183"/>
      <c r="L19" s="183"/>
      <c r="M19" s="183"/>
      <c r="N19" s="183"/>
      <c r="O19" s="183"/>
      <c r="P19" s="412"/>
    </row>
    <row r="20" spans="2:16" x14ac:dyDescent="0.25">
      <c r="B20" s="411"/>
      <c r="C20" s="183"/>
      <c r="D20" s="183"/>
      <c r="E20" s="183"/>
      <c r="F20" s="183"/>
      <c r="G20" s="183"/>
      <c r="H20" s="183"/>
      <c r="I20" s="183"/>
      <c r="J20" s="183"/>
      <c r="K20" s="183"/>
      <c r="L20" s="183"/>
      <c r="M20" s="183"/>
      <c r="N20" s="183"/>
      <c r="O20" s="183"/>
      <c r="P20" s="412"/>
    </row>
    <row r="21" spans="2:16" x14ac:dyDescent="0.25">
      <c r="B21" s="411"/>
      <c r="C21" s="183"/>
      <c r="D21" s="183"/>
      <c r="E21" s="183"/>
      <c r="F21" s="183"/>
      <c r="G21" s="183"/>
      <c r="H21" s="183"/>
      <c r="I21" s="183"/>
      <c r="J21" s="183"/>
      <c r="K21" s="183"/>
      <c r="L21" s="183"/>
      <c r="M21" s="183"/>
      <c r="N21" s="183"/>
      <c r="O21" s="183"/>
      <c r="P21" s="412"/>
    </row>
    <row r="22" spans="2:16" x14ac:dyDescent="0.25">
      <c r="B22" s="411"/>
      <c r="C22" s="183"/>
      <c r="D22" s="183"/>
      <c r="E22" s="183"/>
      <c r="F22" s="183"/>
      <c r="G22" s="183"/>
      <c r="H22" s="183"/>
      <c r="I22" s="183"/>
      <c r="J22" s="183"/>
      <c r="K22" s="183"/>
      <c r="L22" s="183"/>
      <c r="M22" s="183"/>
      <c r="N22" s="183"/>
      <c r="O22" s="183"/>
      <c r="P22" s="412"/>
    </row>
    <row r="23" spans="2:16" x14ac:dyDescent="0.25">
      <c r="B23" s="411"/>
      <c r="C23" s="183"/>
      <c r="D23" s="183"/>
      <c r="E23" s="183"/>
      <c r="F23" s="183"/>
      <c r="G23" s="183"/>
      <c r="H23" s="183"/>
      <c r="I23" s="183"/>
      <c r="J23" s="183"/>
      <c r="K23" s="183"/>
      <c r="L23" s="183"/>
      <c r="M23" s="183"/>
      <c r="N23" s="183"/>
      <c r="O23" s="183"/>
      <c r="P23" s="412"/>
    </row>
    <row r="24" spans="2:16" x14ac:dyDescent="0.25">
      <c r="B24" s="411"/>
      <c r="C24" s="183"/>
      <c r="D24" s="183"/>
      <c r="E24" s="183"/>
      <c r="F24" s="183"/>
      <c r="G24" s="183"/>
      <c r="H24" s="183"/>
      <c r="I24" s="183"/>
      <c r="J24" s="183"/>
      <c r="K24" s="183"/>
      <c r="L24" s="183"/>
      <c r="M24" s="183"/>
      <c r="N24" s="183"/>
      <c r="O24" s="183"/>
      <c r="P24" s="412"/>
    </row>
    <row r="25" spans="2:16" x14ac:dyDescent="0.25">
      <c r="B25" s="411"/>
      <c r="C25" s="183"/>
      <c r="D25" s="183"/>
      <c r="E25" s="183"/>
      <c r="F25" s="183"/>
      <c r="G25" s="183"/>
      <c r="H25" s="183"/>
      <c r="I25" s="183"/>
      <c r="J25" s="183"/>
      <c r="K25" s="183"/>
      <c r="L25" s="183"/>
      <c r="M25" s="183"/>
      <c r="N25" s="183"/>
      <c r="O25" s="183"/>
      <c r="P25" s="412"/>
    </row>
    <row r="26" spans="2:16" x14ac:dyDescent="0.25">
      <c r="B26" s="411"/>
      <c r="C26" s="183"/>
      <c r="D26" s="183"/>
      <c r="E26" s="183"/>
      <c r="F26" s="183"/>
      <c r="G26" s="183"/>
      <c r="H26" s="183"/>
      <c r="I26" s="183"/>
      <c r="J26" s="183"/>
      <c r="K26" s="183"/>
      <c r="L26" s="183"/>
      <c r="M26" s="183"/>
      <c r="N26" s="183"/>
      <c r="O26" s="183"/>
      <c r="P26" s="412"/>
    </row>
    <row r="27" spans="2:16" x14ac:dyDescent="0.25">
      <c r="B27" s="411"/>
      <c r="C27" s="183"/>
      <c r="D27" s="183"/>
      <c r="E27" s="183"/>
      <c r="F27" s="183"/>
      <c r="G27" s="183"/>
      <c r="H27" s="183"/>
      <c r="I27" s="183"/>
      <c r="J27" s="183"/>
      <c r="K27" s="183"/>
      <c r="L27" s="183"/>
      <c r="M27" s="183"/>
      <c r="N27" s="183"/>
      <c r="O27" s="183"/>
      <c r="P27" s="412"/>
    </row>
    <row r="28" spans="2:16" x14ac:dyDescent="0.25">
      <c r="B28" s="411"/>
      <c r="C28" s="183"/>
      <c r="D28" s="183"/>
      <c r="E28" s="183"/>
      <c r="F28" s="183"/>
      <c r="G28" s="183"/>
      <c r="H28" s="183"/>
      <c r="I28" s="183"/>
      <c r="J28" s="183"/>
      <c r="K28" s="183"/>
      <c r="L28" s="183"/>
      <c r="M28" s="183"/>
      <c r="N28" s="183"/>
      <c r="O28" s="183"/>
      <c r="P28" s="412"/>
    </row>
    <row r="29" spans="2:16" x14ac:dyDescent="0.25">
      <c r="B29" s="411"/>
      <c r="C29" s="183"/>
      <c r="D29" s="183"/>
      <c r="E29" s="183"/>
      <c r="F29" s="183"/>
      <c r="G29" s="183"/>
      <c r="H29" s="183"/>
      <c r="I29" s="183"/>
      <c r="J29" s="183"/>
      <c r="K29" s="183"/>
      <c r="L29" s="183"/>
      <c r="M29" s="183"/>
      <c r="N29" s="183"/>
      <c r="O29" s="183"/>
      <c r="P29" s="412"/>
    </row>
    <row r="30" spans="2:16" x14ac:dyDescent="0.25">
      <c r="B30" s="411"/>
      <c r="C30" s="183"/>
      <c r="D30" s="183"/>
      <c r="E30" s="183"/>
      <c r="F30" s="183"/>
      <c r="G30" s="183"/>
      <c r="H30" s="183"/>
      <c r="I30" s="183"/>
      <c r="J30" s="183"/>
      <c r="K30" s="183"/>
      <c r="L30" s="183"/>
      <c r="M30" s="183"/>
      <c r="N30" s="183"/>
      <c r="O30" s="183"/>
      <c r="P30" s="412"/>
    </row>
    <row r="31" spans="2:16" x14ac:dyDescent="0.25">
      <c r="B31" s="411"/>
      <c r="C31" s="183"/>
      <c r="D31" s="183"/>
      <c r="E31" s="183"/>
      <c r="F31" s="183"/>
      <c r="G31" s="183"/>
      <c r="H31" s="183"/>
      <c r="I31" s="183"/>
      <c r="J31" s="183"/>
      <c r="K31" s="183"/>
      <c r="L31" s="183"/>
      <c r="M31" s="183"/>
      <c r="N31" s="183"/>
      <c r="O31" s="183"/>
      <c r="P31" s="412"/>
    </row>
    <row r="32" spans="2:16" x14ac:dyDescent="0.25">
      <c r="B32" s="411"/>
      <c r="C32" s="183"/>
      <c r="D32" s="183"/>
      <c r="E32" s="183"/>
      <c r="F32" s="183"/>
      <c r="G32" s="183"/>
      <c r="H32" s="183"/>
      <c r="I32" s="183"/>
      <c r="J32" s="183"/>
      <c r="K32" s="183"/>
      <c r="L32" s="183"/>
      <c r="M32" s="183"/>
      <c r="N32" s="183"/>
      <c r="O32" s="183"/>
      <c r="P32" s="412"/>
    </row>
    <row r="33" spans="2:16" x14ac:dyDescent="0.25">
      <c r="B33" s="411"/>
      <c r="C33" s="183"/>
      <c r="D33" s="183"/>
      <c r="E33" s="183"/>
      <c r="F33" s="183"/>
      <c r="G33" s="183"/>
      <c r="H33" s="183"/>
      <c r="I33" s="183"/>
      <c r="J33" s="183"/>
      <c r="K33" s="183"/>
      <c r="L33" s="183"/>
      <c r="M33" s="183"/>
      <c r="N33" s="183"/>
      <c r="O33" s="183"/>
      <c r="P33" s="412"/>
    </row>
    <row r="34" spans="2:16" x14ac:dyDescent="0.25">
      <c r="B34" s="411"/>
      <c r="C34" s="183"/>
      <c r="D34" s="183"/>
      <c r="E34" s="183"/>
      <c r="F34" s="183"/>
      <c r="G34" s="183"/>
      <c r="H34" s="183"/>
      <c r="I34" s="183"/>
      <c r="J34" s="183"/>
      <c r="K34" s="183"/>
      <c r="L34" s="183"/>
      <c r="M34" s="183"/>
      <c r="N34" s="183"/>
      <c r="O34" s="183"/>
      <c r="P34" s="412"/>
    </row>
    <row r="35" spans="2:16" x14ac:dyDescent="0.25">
      <c r="B35" s="411"/>
      <c r="C35" s="183"/>
      <c r="D35" s="183"/>
      <c r="E35" s="183"/>
      <c r="F35" s="183"/>
      <c r="G35" s="183"/>
      <c r="H35" s="183"/>
      <c r="I35" s="183"/>
      <c r="J35" s="183"/>
      <c r="K35" s="183"/>
      <c r="L35" s="183"/>
      <c r="M35" s="183"/>
      <c r="N35" s="183"/>
      <c r="O35" s="183"/>
      <c r="P35" s="412"/>
    </row>
    <row r="36" spans="2:16" x14ac:dyDescent="0.25">
      <c r="B36" s="411"/>
      <c r="C36" s="183"/>
      <c r="D36" s="183"/>
      <c r="E36" s="183"/>
      <c r="F36" s="183"/>
      <c r="G36" s="183"/>
      <c r="H36" s="183"/>
      <c r="I36" s="183"/>
      <c r="J36" s="183"/>
      <c r="K36" s="183"/>
      <c r="L36" s="183"/>
      <c r="M36" s="183"/>
      <c r="N36" s="183"/>
      <c r="O36" s="183"/>
      <c r="P36" s="412"/>
    </row>
    <row r="37" spans="2:16" x14ac:dyDescent="0.25">
      <c r="B37" s="411"/>
      <c r="C37" s="183"/>
      <c r="D37" s="183"/>
      <c r="E37" s="183"/>
      <c r="F37" s="183"/>
      <c r="G37" s="183"/>
      <c r="H37" s="183"/>
      <c r="I37" s="183"/>
      <c r="J37" s="183"/>
      <c r="K37" s="183"/>
      <c r="L37" s="183"/>
      <c r="M37" s="183"/>
      <c r="N37" s="183"/>
      <c r="O37" s="183"/>
      <c r="P37" s="412"/>
    </row>
    <row r="38" spans="2:16" x14ac:dyDescent="0.25">
      <c r="B38" s="411"/>
      <c r="C38" s="183"/>
      <c r="D38" s="183"/>
      <c r="E38" s="183"/>
      <c r="F38" s="183"/>
      <c r="G38" s="183"/>
      <c r="H38" s="183"/>
      <c r="I38" s="183"/>
      <c r="J38" s="183"/>
      <c r="K38" s="183"/>
      <c r="L38" s="183"/>
      <c r="M38" s="183"/>
      <c r="N38" s="183"/>
      <c r="O38" s="183"/>
      <c r="P38" s="412"/>
    </row>
    <row r="39" spans="2:16" x14ac:dyDescent="0.25">
      <c r="B39" s="411"/>
      <c r="C39" s="183"/>
      <c r="D39" s="183"/>
      <c r="E39" s="183"/>
      <c r="F39" s="183"/>
      <c r="G39" s="183"/>
      <c r="H39" s="183"/>
      <c r="I39" s="183"/>
      <c r="J39" s="183"/>
      <c r="K39" s="183"/>
      <c r="L39" s="183"/>
      <c r="M39" s="183"/>
      <c r="N39" s="183"/>
      <c r="O39" s="183"/>
      <c r="P39" s="412"/>
    </row>
    <row r="40" spans="2:16" x14ac:dyDescent="0.25">
      <c r="B40" s="411"/>
      <c r="C40" s="183"/>
      <c r="D40" s="183"/>
      <c r="E40" s="183"/>
      <c r="F40" s="183"/>
      <c r="G40" s="183"/>
      <c r="H40" s="183"/>
      <c r="I40" s="183"/>
      <c r="J40" s="183"/>
      <c r="K40" s="183"/>
      <c r="L40" s="183"/>
      <c r="M40" s="183"/>
      <c r="N40" s="183"/>
      <c r="O40" s="183"/>
      <c r="P40" s="412"/>
    </row>
    <row r="41" spans="2:16" x14ac:dyDescent="0.25">
      <c r="B41" s="411"/>
      <c r="C41" s="183"/>
      <c r="D41" s="183"/>
      <c r="E41" s="183"/>
      <c r="F41" s="183"/>
      <c r="G41" s="183"/>
      <c r="H41" s="183"/>
      <c r="I41" s="183"/>
      <c r="J41" s="183"/>
      <c r="K41" s="183"/>
      <c r="L41" s="183"/>
      <c r="M41" s="183"/>
      <c r="N41" s="183"/>
      <c r="O41" s="183"/>
      <c r="P41" s="412"/>
    </row>
    <row r="42" spans="2:16" x14ac:dyDescent="0.25">
      <c r="B42" s="411"/>
      <c r="C42" s="183"/>
      <c r="D42" s="183"/>
      <c r="E42" s="183"/>
      <c r="F42" s="183"/>
      <c r="G42" s="183"/>
      <c r="H42" s="183"/>
      <c r="I42" s="183"/>
      <c r="J42" s="183"/>
      <c r="K42" s="183"/>
      <c r="L42" s="183"/>
      <c r="M42" s="183"/>
      <c r="N42" s="183"/>
      <c r="O42" s="183"/>
      <c r="P42" s="412"/>
    </row>
    <row r="43" spans="2:16" x14ac:dyDescent="0.25">
      <c r="B43" s="411"/>
      <c r="C43" s="183"/>
      <c r="D43" s="183"/>
      <c r="E43" s="183"/>
      <c r="F43" s="183"/>
      <c r="G43" s="183"/>
      <c r="H43" s="183"/>
      <c r="I43" s="183"/>
      <c r="J43" s="183"/>
      <c r="K43" s="183"/>
      <c r="L43" s="183"/>
      <c r="M43" s="183"/>
      <c r="N43" s="183"/>
      <c r="O43" s="183"/>
      <c r="P43" s="412"/>
    </row>
    <row r="44" spans="2:16" x14ac:dyDescent="0.25">
      <c r="B44" s="411"/>
      <c r="C44" s="183"/>
      <c r="D44" s="183"/>
      <c r="E44" s="183"/>
      <c r="F44" s="183"/>
      <c r="G44" s="183"/>
      <c r="H44" s="183"/>
      <c r="I44" s="183"/>
      <c r="J44" s="183"/>
      <c r="K44" s="183"/>
      <c r="L44" s="183"/>
      <c r="M44" s="183"/>
      <c r="N44" s="183"/>
      <c r="O44" s="183"/>
      <c r="P44" s="412"/>
    </row>
    <row r="45" spans="2:16" x14ac:dyDescent="0.25">
      <c r="B45" s="411"/>
      <c r="C45" s="183"/>
      <c r="D45" s="183"/>
      <c r="E45" s="183"/>
      <c r="F45" s="183"/>
      <c r="G45" s="183"/>
      <c r="H45" s="183"/>
      <c r="I45" s="183"/>
      <c r="J45" s="183"/>
      <c r="K45" s="183"/>
      <c r="L45" s="183"/>
      <c r="M45" s="183"/>
      <c r="N45" s="183"/>
      <c r="O45" s="183"/>
      <c r="P45" s="412"/>
    </row>
    <row r="46" spans="2:16" x14ac:dyDescent="0.25">
      <c r="B46" s="411"/>
      <c r="C46" s="183"/>
      <c r="D46" s="183"/>
      <c r="E46" s="183"/>
      <c r="F46" s="183"/>
      <c r="G46" s="183"/>
      <c r="H46" s="183"/>
      <c r="I46" s="183"/>
      <c r="J46" s="183"/>
      <c r="K46" s="183"/>
      <c r="L46" s="183"/>
      <c r="M46" s="183"/>
      <c r="N46" s="183"/>
      <c r="O46" s="183"/>
      <c r="P46" s="412"/>
    </row>
    <row r="47" spans="2:16" x14ac:dyDescent="0.25">
      <c r="B47" s="411"/>
      <c r="C47" s="183"/>
      <c r="D47" s="183"/>
      <c r="E47" s="183"/>
      <c r="F47" s="183"/>
      <c r="G47" s="183"/>
      <c r="H47" s="183"/>
      <c r="I47" s="183"/>
      <c r="J47" s="183"/>
      <c r="K47" s="183"/>
      <c r="L47" s="183"/>
      <c r="M47" s="183"/>
      <c r="N47" s="183"/>
      <c r="O47" s="183"/>
      <c r="P47" s="412"/>
    </row>
    <row r="48" spans="2:16" x14ac:dyDescent="0.25">
      <c r="B48" s="411"/>
      <c r="C48" s="183"/>
      <c r="D48" s="183"/>
      <c r="E48" s="183"/>
      <c r="F48" s="183"/>
      <c r="G48" s="183"/>
      <c r="H48" s="183"/>
      <c r="I48" s="183"/>
      <c r="J48" s="183"/>
      <c r="K48" s="183"/>
      <c r="L48" s="183"/>
      <c r="M48" s="183"/>
      <c r="N48" s="183"/>
      <c r="O48" s="183"/>
      <c r="P48" s="412"/>
    </row>
    <row r="49" spans="2:16" x14ac:dyDescent="0.25">
      <c r="B49" s="411"/>
      <c r="C49" s="183"/>
      <c r="D49" s="183"/>
      <c r="E49" s="183"/>
      <c r="F49" s="183"/>
      <c r="G49" s="183"/>
      <c r="H49" s="183"/>
      <c r="I49" s="183"/>
      <c r="J49" s="183"/>
      <c r="K49" s="183"/>
      <c r="L49" s="183"/>
      <c r="M49" s="183"/>
      <c r="N49" s="183"/>
      <c r="O49" s="183"/>
      <c r="P49" s="412"/>
    </row>
    <row r="50" spans="2:16" x14ac:dyDescent="0.25">
      <c r="B50" s="411"/>
      <c r="C50" s="183"/>
      <c r="D50" s="183"/>
      <c r="E50" s="183"/>
      <c r="F50" s="183"/>
      <c r="G50" s="183"/>
      <c r="H50" s="183"/>
      <c r="I50" s="183"/>
      <c r="J50" s="183"/>
      <c r="K50" s="183"/>
      <c r="L50" s="183"/>
      <c r="M50" s="183"/>
      <c r="N50" s="183"/>
      <c r="O50" s="183"/>
      <c r="P50" s="412"/>
    </row>
    <row r="51" spans="2:16" x14ac:dyDescent="0.25">
      <c r="B51" s="411"/>
      <c r="C51" s="183"/>
      <c r="D51" s="183"/>
      <c r="E51" s="183"/>
      <c r="F51" s="183"/>
      <c r="G51" s="183"/>
      <c r="H51" s="183"/>
      <c r="I51" s="183"/>
      <c r="J51" s="183"/>
      <c r="K51" s="183"/>
      <c r="L51" s="183"/>
      <c r="M51" s="183"/>
      <c r="N51" s="183"/>
      <c r="O51" s="183"/>
      <c r="P51" s="412"/>
    </row>
    <row r="52" spans="2:16" x14ac:dyDescent="0.25">
      <c r="B52" s="411"/>
      <c r="C52" s="183"/>
      <c r="D52" s="183"/>
      <c r="E52" s="183"/>
      <c r="F52" s="183"/>
      <c r="G52" s="183"/>
      <c r="H52" s="183"/>
      <c r="I52" s="183"/>
      <c r="J52" s="183"/>
      <c r="K52" s="183"/>
      <c r="L52" s="183"/>
      <c r="M52" s="183"/>
      <c r="N52" s="183"/>
      <c r="O52" s="183"/>
      <c r="P52" s="412"/>
    </row>
    <row r="53" spans="2:16" x14ac:dyDescent="0.25">
      <c r="B53" s="411"/>
      <c r="C53" s="183"/>
      <c r="D53" s="183"/>
      <c r="E53" s="183"/>
      <c r="F53" s="183"/>
      <c r="G53" s="183"/>
      <c r="H53" s="183"/>
      <c r="I53" s="183"/>
      <c r="J53" s="183"/>
      <c r="K53" s="183"/>
      <c r="L53" s="183"/>
      <c r="M53" s="183"/>
      <c r="N53" s="183"/>
      <c r="O53" s="183"/>
      <c r="P53" s="412"/>
    </row>
    <row r="54" spans="2:16" x14ac:dyDescent="0.25">
      <c r="B54" s="411"/>
      <c r="C54" s="183"/>
      <c r="D54" s="183"/>
      <c r="E54" s="183"/>
      <c r="F54" s="183"/>
      <c r="G54" s="183"/>
      <c r="H54" s="183"/>
      <c r="I54" s="183"/>
      <c r="J54" s="183"/>
      <c r="K54" s="183"/>
      <c r="L54" s="183"/>
      <c r="M54" s="183"/>
      <c r="N54" s="183"/>
      <c r="O54" s="183"/>
      <c r="P54" s="412"/>
    </row>
    <row r="55" spans="2:16" x14ac:dyDescent="0.25">
      <c r="B55" s="411"/>
      <c r="C55" s="183"/>
      <c r="D55" s="183"/>
      <c r="E55" s="183"/>
      <c r="F55" s="183"/>
      <c r="G55" s="183"/>
      <c r="H55" s="183"/>
      <c r="I55" s="183"/>
      <c r="J55" s="183"/>
      <c r="K55" s="183"/>
      <c r="L55" s="183"/>
      <c r="M55" s="183"/>
      <c r="N55" s="183"/>
      <c r="O55" s="183"/>
      <c r="P55" s="412"/>
    </row>
    <row r="56" spans="2:16" x14ac:dyDescent="0.25">
      <c r="B56" s="411"/>
      <c r="C56" s="183"/>
      <c r="D56" s="183"/>
      <c r="E56" s="183"/>
      <c r="F56" s="183"/>
      <c r="G56" s="183"/>
      <c r="H56" s="183"/>
      <c r="I56" s="183"/>
      <c r="J56" s="183"/>
      <c r="K56" s="183"/>
      <c r="L56" s="183"/>
      <c r="M56" s="183"/>
      <c r="N56" s="183"/>
      <c r="O56" s="183"/>
      <c r="P56" s="412"/>
    </row>
    <row r="57" spans="2:16" x14ac:dyDescent="0.25">
      <c r="B57" s="411"/>
      <c r="C57" s="183"/>
      <c r="D57" s="183"/>
      <c r="E57" s="183"/>
      <c r="F57" s="183"/>
      <c r="G57" s="183"/>
      <c r="H57" s="183"/>
      <c r="I57" s="183"/>
      <c r="J57" s="183"/>
      <c r="K57" s="183"/>
      <c r="L57" s="183"/>
      <c r="M57" s="183"/>
      <c r="N57" s="183"/>
      <c r="O57" s="183"/>
      <c r="P57" s="412"/>
    </row>
    <row r="58" spans="2:16" ht="15.75" thickBot="1" x14ac:dyDescent="0.3">
      <c r="B58" s="413"/>
      <c r="C58" s="414"/>
      <c r="D58" s="414"/>
      <c r="E58" s="414"/>
      <c r="F58" s="414"/>
      <c r="G58" s="414"/>
      <c r="H58" s="414"/>
      <c r="I58" s="414"/>
      <c r="J58" s="414"/>
      <c r="K58" s="414"/>
      <c r="L58" s="414"/>
      <c r="M58" s="414"/>
      <c r="N58" s="414"/>
      <c r="O58" s="414"/>
      <c r="P58" s="415"/>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O43" sqref="O43"/>
    </sheetView>
  </sheetViews>
  <sheetFormatPr defaultColWidth="9.140625" defaultRowHeight="15" x14ac:dyDescent="0.25"/>
  <cols>
    <col min="1" max="1" width="2" style="1" customWidth="1"/>
    <col min="2" max="2" width="22.7109375" style="1" bestFit="1" customWidth="1"/>
    <col min="3" max="3" width="24" style="1" bestFit="1" customWidth="1"/>
    <col min="4" max="4" width="17.85546875" style="1" bestFit="1" customWidth="1"/>
    <col min="5" max="5" width="95.7109375" style="292" bestFit="1" customWidth="1"/>
    <col min="6" max="6" width="33.42578125" style="287" bestFit="1" customWidth="1"/>
    <col min="7" max="7" width="19.7109375" style="287" customWidth="1"/>
    <col min="8" max="8" width="16.42578125" style="293" customWidth="1"/>
    <col min="9" max="9" width="12.140625" style="299" bestFit="1" customWidth="1"/>
    <col min="10" max="10" width="8.85546875" style="1" bestFit="1" customWidth="1"/>
    <col min="11" max="16384" width="9.140625" style="1"/>
  </cols>
  <sheetData>
    <row r="1" spans="1:10" ht="9.75" customHeight="1" x14ac:dyDescent="0.25">
      <c r="F1" s="385"/>
      <c r="G1" s="385"/>
    </row>
    <row r="2" spans="1:10" ht="23.25" x14ac:dyDescent="0.35">
      <c r="B2" s="745" t="s">
        <v>772</v>
      </c>
      <c r="C2" s="406"/>
      <c r="D2" s="406"/>
      <c r="E2" s="406"/>
      <c r="F2" s="406"/>
      <c r="G2" s="406"/>
      <c r="H2" s="406"/>
      <c r="I2" s="406"/>
      <c r="J2" s="406"/>
    </row>
    <row r="3" spans="1:10" x14ac:dyDescent="0.25">
      <c r="B3" s="746">
        <f>Report_Date</f>
        <v>42856</v>
      </c>
      <c r="C3" s="405"/>
      <c r="D3" s="405"/>
      <c r="E3" s="405"/>
      <c r="F3" s="405"/>
      <c r="G3" s="405"/>
      <c r="H3" s="405"/>
      <c r="I3" s="405"/>
      <c r="J3" s="405"/>
    </row>
    <row r="4" spans="1:10" ht="15.75" thickBot="1" x14ac:dyDescent="0.3">
      <c r="B4" s="406"/>
      <c r="C4" s="406"/>
      <c r="D4" s="406"/>
      <c r="E4" s="406"/>
      <c r="F4" s="406"/>
      <c r="G4" s="406"/>
      <c r="H4" s="406"/>
      <c r="I4" s="406"/>
      <c r="J4" s="406"/>
    </row>
    <row r="5" spans="1:10" ht="15.75" thickBot="1" x14ac:dyDescent="0.3">
      <c r="B5" s="756" t="s">
        <v>346</v>
      </c>
      <c r="C5" s="757" t="s">
        <v>348</v>
      </c>
      <c r="D5" s="405"/>
      <c r="E5" s="405"/>
      <c r="F5" s="405"/>
      <c r="G5" s="405"/>
      <c r="H5" s="405"/>
      <c r="I5" s="405"/>
      <c r="J5" s="405"/>
    </row>
    <row r="6" spans="1:10" ht="15.75" thickBot="1" x14ac:dyDescent="0.3">
      <c r="B6" s="756" t="s">
        <v>24</v>
      </c>
      <c r="C6" s="757" t="s">
        <v>767</v>
      </c>
      <c r="D6" s="406"/>
      <c r="E6" s="406"/>
      <c r="F6" s="406"/>
      <c r="G6" s="406"/>
      <c r="H6" s="406"/>
      <c r="I6" s="406"/>
      <c r="J6" s="406"/>
    </row>
    <row r="7" spans="1:10" ht="15.75" thickBot="1" x14ac:dyDescent="0.3">
      <c r="B7" s="405"/>
      <c r="C7" s="405"/>
      <c r="D7" s="405"/>
      <c r="E7" s="405"/>
      <c r="F7" s="405"/>
      <c r="G7" s="405"/>
      <c r="H7" s="405"/>
      <c r="I7" s="405"/>
      <c r="J7" s="405"/>
    </row>
    <row r="8" spans="1:10" ht="60.75" customHeight="1" thickBot="1" x14ac:dyDescent="0.3">
      <c r="B8" s="601" t="s">
        <v>0</v>
      </c>
      <c r="C8" s="749" t="s">
        <v>662</v>
      </c>
      <c r="D8" s="749" t="s">
        <v>663</v>
      </c>
      <c r="E8" s="750" t="s">
        <v>799</v>
      </c>
      <c r="F8" s="613" t="s">
        <v>9</v>
      </c>
      <c r="G8" s="615" t="s">
        <v>8</v>
      </c>
      <c r="H8" s="764" t="s">
        <v>803</v>
      </c>
      <c r="I8" s="765" t="s">
        <v>875</v>
      </c>
      <c r="J8" s="766" t="s">
        <v>798</v>
      </c>
    </row>
    <row r="9" spans="1:10" x14ac:dyDescent="0.25">
      <c r="B9" s="1046" t="s">
        <v>14</v>
      </c>
      <c r="C9" s="1046" t="s">
        <v>288</v>
      </c>
      <c r="D9" s="1046" t="s">
        <v>660</v>
      </c>
      <c r="E9" s="1050" t="s">
        <v>1138</v>
      </c>
      <c r="F9" s="1003" t="s">
        <v>42</v>
      </c>
      <c r="G9" s="1003" t="s">
        <v>128</v>
      </c>
      <c r="H9" s="758">
        <v>5125</v>
      </c>
      <c r="I9" s="759">
        <v>1012</v>
      </c>
      <c r="J9" s="767">
        <v>1</v>
      </c>
    </row>
    <row r="10" spans="1:10" ht="15.75" thickBot="1" x14ac:dyDescent="0.3">
      <c r="B10" s="1047"/>
      <c r="C10" s="1047"/>
      <c r="D10" s="1048"/>
      <c r="E10" s="1051"/>
      <c r="F10" s="1003" t="s">
        <v>43</v>
      </c>
      <c r="G10" s="1003" t="s">
        <v>129</v>
      </c>
      <c r="H10" s="760">
        <v>2683</v>
      </c>
      <c r="I10" s="614">
        <v>534</v>
      </c>
      <c r="J10" s="721">
        <v>1</v>
      </c>
    </row>
    <row r="11" spans="1:10" s="287" customFormat="1" ht="15.75" thickBot="1" x14ac:dyDescent="0.3">
      <c r="A11" s="385"/>
      <c r="B11" s="1047"/>
      <c r="C11" s="1049" t="s">
        <v>623</v>
      </c>
      <c r="D11" s="1017" t="s">
        <v>660</v>
      </c>
      <c r="E11" s="1046" t="s">
        <v>1029</v>
      </c>
      <c r="F11" s="176" t="s">
        <v>40</v>
      </c>
      <c r="G11" s="176" t="s">
        <v>126</v>
      </c>
      <c r="H11" s="760">
        <v>4280</v>
      </c>
      <c r="I11" s="614">
        <v>1238</v>
      </c>
      <c r="J11" s="721">
        <v>1</v>
      </c>
    </row>
    <row r="12" spans="1:10" ht="15.75" thickBot="1" x14ac:dyDescent="0.3">
      <c r="B12" s="1048"/>
      <c r="C12" s="1048"/>
      <c r="D12" s="1017"/>
      <c r="E12" s="1048"/>
      <c r="F12" s="1003" t="s">
        <v>1067</v>
      </c>
      <c r="G12" s="1003" t="s">
        <v>127</v>
      </c>
      <c r="H12" s="760">
        <v>3946</v>
      </c>
      <c r="I12" s="614">
        <v>856</v>
      </c>
      <c r="J12" s="721">
        <v>1</v>
      </c>
    </row>
    <row r="13" spans="1:10" ht="15.75" thickBot="1" x14ac:dyDescent="0.3">
      <c r="B13" s="1034" t="s">
        <v>646</v>
      </c>
      <c r="C13" s="1035"/>
      <c r="D13" s="1035"/>
      <c r="E13" s="1035"/>
      <c r="F13" s="1035"/>
      <c r="G13" s="1036"/>
      <c r="H13" s="762">
        <v>16034</v>
      </c>
      <c r="I13" s="747">
        <v>3640</v>
      </c>
      <c r="J13" s="751">
        <v>4</v>
      </c>
    </row>
    <row r="14" spans="1:10" ht="15.75" thickBot="1" x14ac:dyDescent="0.3">
      <c r="B14" s="1046" t="s">
        <v>19</v>
      </c>
      <c r="C14" s="1031" t="s">
        <v>285</v>
      </c>
      <c r="D14" s="1046" t="s">
        <v>661</v>
      </c>
      <c r="E14" s="1046" t="s">
        <v>1030</v>
      </c>
      <c r="F14" s="1001" t="s">
        <v>552</v>
      </c>
      <c r="G14" s="176" t="s">
        <v>553</v>
      </c>
      <c r="H14" s="760">
        <v>226</v>
      </c>
      <c r="I14" s="614">
        <v>41</v>
      </c>
      <c r="J14" s="721">
        <v>1</v>
      </c>
    </row>
    <row r="15" spans="1:10" ht="15.75" thickBot="1" x14ac:dyDescent="0.3">
      <c r="B15" s="1047"/>
      <c r="C15" s="1032"/>
      <c r="D15" s="1047"/>
      <c r="E15" s="1047"/>
      <c r="F15" s="1002" t="s">
        <v>542</v>
      </c>
      <c r="G15" s="176" t="s">
        <v>543</v>
      </c>
      <c r="H15" s="760">
        <v>2951</v>
      </c>
      <c r="I15" s="614">
        <v>518</v>
      </c>
      <c r="J15" s="721">
        <v>1</v>
      </c>
    </row>
    <row r="16" spans="1:10" ht="15.75" thickBot="1" x14ac:dyDescent="0.3">
      <c r="B16" s="1047"/>
      <c r="C16" s="1032"/>
      <c r="D16" s="1048"/>
      <c r="E16" s="1048"/>
      <c r="F16" s="768" t="s">
        <v>540</v>
      </c>
      <c r="G16" s="176" t="s">
        <v>280</v>
      </c>
      <c r="H16" s="760">
        <v>2942</v>
      </c>
      <c r="I16" s="614">
        <v>496</v>
      </c>
      <c r="J16" s="721">
        <v>1</v>
      </c>
    </row>
    <row r="17" spans="2:12" x14ac:dyDescent="0.25">
      <c r="B17" s="1047"/>
      <c r="C17" s="1049" t="s">
        <v>288</v>
      </c>
      <c r="D17" s="1046" t="s">
        <v>660</v>
      </c>
      <c r="E17" s="1050" t="s">
        <v>1138</v>
      </c>
      <c r="F17" s="1003" t="s">
        <v>629</v>
      </c>
      <c r="G17" s="1003" t="s">
        <v>631</v>
      </c>
      <c r="H17" s="760">
        <v>4890</v>
      </c>
      <c r="I17" s="614">
        <v>1011</v>
      </c>
      <c r="J17" s="721">
        <v>1</v>
      </c>
      <c r="L17" s="1" t="s">
        <v>773</v>
      </c>
    </row>
    <row r="18" spans="2:12" x14ac:dyDescent="0.25">
      <c r="B18" s="1047"/>
      <c r="C18" s="1047"/>
      <c r="D18" s="1047"/>
      <c r="E18" s="1051"/>
      <c r="F18" s="1003" t="s">
        <v>630</v>
      </c>
      <c r="G18" s="1003" t="s">
        <v>632</v>
      </c>
      <c r="H18" s="760">
        <v>6967</v>
      </c>
      <c r="I18" s="614">
        <v>1289</v>
      </c>
      <c r="J18" s="721">
        <v>1</v>
      </c>
    </row>
    <row r="19" spans="2:12" x14ac:dyDescent="0.25">
      <c r="B19" s="1047"/>
      <c r="C19" s="1047"/>
      <c r="D19" s="1047"/>
      <c r="E19" s="1051"/>
      <c r="F19" s="1003" t="s">
        <v>63</v>
      </c>
      <c r="G19" s="1003" t="s">
        <v>151</v>
      </c>
      <c r="H19" s="760">
        <v>8208</v>
      </c>
      <c r="I19" s="614">
        <v>1431</v>
      </c>
      <c r="J19" s="721">
        <v>1</v>
      </c>
    </row>
    <row r="20" spans="2:12" x14ac:dyDescent="0.25">
      <c r="B20" s="1047"/>
      <c r="C20" s="1047"/>
      <c r="D20" s="1047"/>
      <c r="E20" s="1051"/>
      <c r="F20" s="1003" t="s">
        <v>633</v>
      </c>
      <c r="G20" s="1003" t="s">
        <v>545</v>
      </c>
      <c r="H20" s="760">
        <v>3408</v>
      </c>
      <c r="I20" s="614">
        <v>681</v>
      </c>
      <c r="J20" s="721">
        <v>1</v>
      </c>
    </row>
    <row r="21" spans="2:12" x14ac:dyDescent="0.25">
      <c r="B21" s="1047"/>
      <c r="C21" s="1047"/>
      <c r="D21" s="1047"/>
      <c r="E21" s="1051"/>
      <c r="F21" s="1003" t="s">
        <v>634</v>
      </c>
      <c r="G21" s="1003" t="s">
        <v>636</v>
      </c>
      <c r="H21" s="760">
        <v>13655</v>
      </c>
      <c r="I21" s="614">
        <v>2640</v>
      </c>
      <c r="J21" s="721">
        <v>1</v>
      </c>
    </row>
    <row r="22" spans="2:12" ht="15.75" thickBot="1" x14ac:dyDescent="0.3">
      <c r="B22" s="1047"/>
      <c r="C22" s="1047"/>
      <c r="D22" s="1048"/>
      <c r="E22" s="1051"/>
      <c r="F22" s="1003" t="s">
        <v>67</v>
      </c>
      <c r="G22" s="1003" t="s">
        <v>155</v>
      </c>
      <c r="H22" s="760">
        <v>12273</v>
      </c>
      <c r="I22" s="614">
        <v>2497</v>
      </c>
      <c r="J22" s="721">
        <v>1</v>
      </c>
    </row>
    <row r="23" spans="2:12" ht="15.75" thickBot="1" x14ac:dyDescent="0.3">
      <c r="B23" s="1047"/>
      <c r="C23" s="1049" t="s">
        <v>623</v>
      </c>
      <c r="D23" s="1017" t="s">
        <v>660</v>
      </c>
      <c r="E23" s="1046" t="s">
        <v>1029</v>
      </c>
      <c r="F23" s="1001" t="s">
        <v>61</v>
      </c>
      <c r="G23" s="176" t="s">
        <v>149</v>
      </c>
      <c r="H23" s="760">
        <v>2240</v>
      </c>
      <c r="I23" s="614">
        <v>397</v>
      </c>
      <c r="J23" s="721">
        <v>1</v>
      </c>
    </row>
    <row r="24" spans="2:12" ht="15.75" thickBot="1" x14ac:dyDescent="0.3">
      <c r="B24" s="1047"/>
      <c r="C24" s="1047"/>
      <c r="D24" s="1017"/>
      <c r="E24" s="1047"/>
      <c r="F24" s="1002" t="s">
        <v>64</v>
      </c>
      <c r="G24" s="176" t="s">
        <v>152</v>
      </c>
      <c r="H24" s="760">
        <v>4428</v>
      </c>
      <c r="I24" s="614">
        <v>799</v>
      </c>
      <c r="J24" s="721">
        <v>1</v>
      </c>
    </row>
    <row r="25" spans="2:12" ht="15.75" thickBot="1" x14ac:dyDescent="0.3">
      <c r="B25" s="1047"/>
      <c r="C25" s="1047"/>
      <c r="D25" s="1017"/>
      <c r="E25" s="1047"/>
      <c r="F25" s="1002" t="s">
        <v>635</v>
      </c>
      <c r="G25" s="176" t="s">
        <v>637</v>
      </c>
      <c r="H25" s="760">
        <v>11659</v>
      </c>
      <c r="I25" s="614">
        <v>2256</v>
      </c>
      <c r="J25" s="721">
        <v>1</v>
      </c>
    </row>
    <row r="26" spans="2:12" ht="15.75" thickBot="1" x14ac:dyDescent="0.3">
      <c r="B26" s="1047"/>
      <c r="C26" s="1047"/>
      <c r="D26" s="1017"/>
      <c r="E26" s="1048"/>
      <c r="F26" s="768" t="s">
        <v>68</v>
      </c>
      <c r="G26" s="176" t="s">
        <v>156</v>
      </c>
      <c r="H26" s="760">
        <v>11764</v>
      </c>
      <c r="I26" s="614">
        <v>2145</v>
      </c>
      <c r="J26" s="721">
        <v>1</v>
      </c>
    </row>
    <row r="27" spans="2:12" ht="15.75" thickBot="1" x14ac:dyDescent="0.3">
      <c r="B27" s="1047"/>
      <c r="C27" s="1049" t="s">
        <v>970</v>
      </c>
      <c r="D27" s="1017" t="s">
        <v>660</v>
      </c>
      <c r="E27" s="1046" t="s">
        <v>1010</v>
      </c>
      <c r="F27" s="1001" t="s">
        <v>628</v>
      </c>
      <c r="G27" s="176" t="s">
        <v>281</v>
      </c>
      <c r="H27" s="760">
        <v>3435</v>
      </c>
      <c r="I27" s="614">
        <v>622</v>
      </c>
      <c r="J27" s="721">
        <v>1</v>
      </c>
    </row>
    <row r="28" spans="2:12" ht="15.75" thickBot="1" x14ac:dyDescent="0.3">
      <c r="B28" s="1048"/>
      <c r="C28" s="1048"/>
      <c r="D28" s="1017"/>
      <c r="E28" s="1048"/>
      <c r="F28" s="768" t="s">
        <v>70</v>
      </c>
      <c r="G28" s="176" t="s">
        <v>158</v>
      </c>
      <c r="H28" s="760">
        <v>5838</v>
      </c>
      <c r="I28" s="614">
        <v>997</v>
      </c>
      <c r="J28" s="721">
        <v>1</v>
      </c>
    </row>
    <row r="29" spans="2:12" ht="15.75" thickBot="1" x14ac:dyDescent="0.3">
      <c r="B29" s="1034" t="s">
        <v>644</v>
      </c>
      <c r="C29" s="1035"/>
      <c r="D29" s="1035"/>
      <c r="E29" s="1035"/>
      <c r="F29" s="1035"/>
      <c r="G29" s="1036"/>
      <c r="H29" s="761">
        <v>94884</v>
      </c>
      <c r="I29" s="629">
        <v>17820</v>
      </c>
      <c r="J29" s="752">
        <v>15</v>
      </c>
    </row>
    <row r="30" spans="2:12" ht="15.75" thickBot="1" x14ac:dyDescent="0.3">
      <c r="B30" s="176" t="s">
        <v>866</v>
      </c>
      <c r="C30" s="176" t="s">
        <v>706</v>
      </c>
      <c r="D30" s="176" t="s">
        <v>661</v>
      </c>
      <c r="E30" s="1003" t="s">
        <v>1154</v>
      </c>
      <c r="F30" s="1003" t="s">
        <v>38</v>
      </c>
      <c r="G30" s="1003" t="s">
        <v>124</v>
      </c>
      <c r="H30" s="760">
        <v>2656</v>
      </c>
      <c r="I30" s="614">
        <v>698</v>
      </c>
      <c r="J30" s="721">
        <v>1</v>
      </c>
    </row>
    <row r="31" spans="2:12" ht="15.75" thickBot="1" x14ac:dyDescent="0.3">
      <c r="B31" s="1034" t="s">
        <v>867</v>
      </c>
      <c r="C31" s="1037"/>
      <c r="D31" s="1037"/>
      <c r="E31" s="1037"/>
      <c r="F31" s="1037"/>
      <c r="G31" s="1038"/>
      <c r="H31" s="761">
        <v>2656</v>
      </c>
      <c r="I31" s="629">
        <v>698</v>
      </c>
      <c r="J31" s="752">
        <v>1</v>
      </c>
    </row>
    <row r="32" spans="2:12" ht="15.75" thickBot="1" x14ac:dyDescent="0.3">
      <c r="B32" s="1052" t="s">
        <v>213</v>
      </c>
      <c r="C32" s="1053"/>
      <c r="D32" s="1053"/>
      <c r="E32" s="1053"/>
      <c r="F32" s="1053"/>
      <c r="G32" s="1054"/>
      <c r="H32" s="763">
        <v>113574</v>
      </c>
      <c r="I32" s="748">
        <v>22158</v>
      </c>
      <c r="J32" s="753">
        <v>20</v>
      </c>
    </row>
    <row r="33" spans="2:10" x14ac:dyDescent="0.25">
      <c r="B33"/>
      <c r="C33"/>
      <c r="D33"/>
      <c r="E33"/>
      <c r="F33"/>
      <c r="G33"/>
      <c r="H33"/>
      <c r="I33"/>
      <c r="J33"/>
    </row>
    <row r="34" spans="2:10" x14ac:dyDescent="0.25">
      <c r="B34"/>
      <c r="C34"/>
      <c r="D34"/>
      <c r="E34"/>
      <c r="F34"/>
      <c r="G34"/>
      <c r="H34"/>
      <c r="I34"/>
      <c r="J34"/>
    </row>
    <row r="35" spans="2:10" x14ac:dyDescent="0.25">
      <c r="B35"/>
      <c r="C35"/>
      <c r="D35"/>
      <c r="E35"/>
      <c r="F35"/>
      <c r="G35"/>
      <c r="H35"/>
      <c r="I35"/>
      <c r="J35"/>
    </row>
    <row r="36" spans="2:10" x14ac:dyDescent="0.25">
      <c r="B36"/>
      <c r="C36"/>
      <c r="D36"/>
      <c r="E36"/>
      <c r="F36"/>
      <c r="G36"/>
      <c r="H36"/>
      <c r="I36"/>
      <c r="J36"/>
    </row>
    <row r="37" spans="2:10" x14ac:dyDescent="0.25">
      <c r="B37"/>
      <c r="C37"/>
      <c r="D37"/>
      <c r="E37"/>
      <c r="F37"/>
      <c r="G37"/>
      <c r="H37"/>
      <c r="I37"/>
      <c r="J37"/>
    </row>
    <row r="38" spans="2:10" x14ac:dyDescent="0.25">
      <c r="B38"/>
      <c r="C38"/>
      <c r="D38"/>
      <c r="E38"/>
      <c r="F38"/>
      <c r="G38"/>
      <c r="H38"/>
      <c r="I38"/>
      <c r="J38"/>
    </row>
    <row r="39" spans="2:10" x14ac:dyDescent="0.25">
      <c r="B39"/>
      <c r="C39"/>
      <c r="D39"/>
      <c r="E39"/>
      <c r="F39"/>
      <c r="G39"/>
      <c r="H39"/>
      <c r="I39"/>
      <c r="J39"/>
    </row>
    <row r="40" spans="2:10" x14ac:dyDescent="0.25">
      <c r="B40"/>
      <c r="C40"/>
      <c r="D40"/>
      <c r="E40"/>
      <c r="F40"/>
      <c r="G40"/>
      <c r="H40"/>
      <c r="I40"/>
      <c r="J40"/>
    </row>
  </sheetData>
  <mergeCells count="21">
    <mergeCell ref="B9:B12"/>
    <mergeCell ref="B13:G13"/>
    <mergeCell ref="B14:B28"/>
    <mergeCell ref="B29:G29"/>
    <mergeCell ref="B31:G31"/>
    <mergeCell ref="C9:C10"/>
    <mergeCell ref="C11:C12"/>
    <mergeCell ref="C14:C16"/>
    <mergeCell ref="C17:C22"/>
    <mergeCell ref="C23:C26"/>
    <mergeCell ref="C27:C28"/>
    <mergeCell ref="D9:D12"/>
    <mergeCell ref="D14:D16"/>
    <mergeCell ref="D17:D28"/>
    <mergeCell ref="E9:E10"/>
    <mergeCell ref="E11:E12"/>
    <mergeCell ref="B32:G32"/>
    <mergeCell ref="E14:E16"/>
    <mergeCell ref="E17:E22"/>
    <mergeCell ref="E23:E26"/>
    <mergeCell ref="E27:E28"/>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topLeftCell="A12" zoomScale="84" zoomScaleNormal="84" workbookViewId="0">
      <selection activeCell="N12" sqref="N12"/>
    </sheetView>
  </sheetViews>
  <sheetFormatPr defaultColWidth="9.140625" defaultRowHeight="15" x14ac:dyDescent="0.2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1011" t="s">
        <v>1015</v>
      </c>
      <c r="B2" s="1012"/>
      <c r="C2" s="1012"/>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13">
        <f>Report_Date</f>
        <v>42856</v>
      </c>
      <c r="B3" s="1014"/>
      <c r="C3" s="1014"/>
      <c r="D3" s="191"/>
      <c r="E3" s="191"/>
      <c r="F3" s="191"/>
      <c r="G3" s="191"/>
      <c r="H3" s="212"/>
      <c r="I3" s="209"/>
      <c r="J3" s="209"/>
      <c r="K3" s="46"/>
      <c r="L3" s="209"/>
      <c r="M3" s="209"/>
      <c r="N3" s="209"/>
      <c r="O3" s="209"/>
      <c r="P3" s="209"/>
      <c r="Q3" s="209"/>
      <c r="R3" s="6"/>
      <c r="S3" s="210"/>
      <c r="T3" s="209"/>
      <c r="U3" s="209"/>
      <c r="V3" s="46"/>
      <c r="W3" s="46"/>
      <c r="X3" s="46"/>
      <c r="Y3" s="46"/>
      <c r="BF3" s="69"/>
      <c r="BG3" s="69"/>
    </row>
    <row r="4" spans="1:61" s="130" customFormat="1" x14ac:dyDescent="0.25">
      <c r="A4" s="599" t="s">
        <v>0</v>
      </c>
      <c r="B4" s="599" t="s">
        <v>9</v>
      </c>
      <c r="C4" s="599" t="s">
        <v>8</v>
      </c>
      <c r="D4" s="199" t="s">
        <v>346</v>
      </c>
      <c r="E4" s="564" t="s">
        <v>600</v>
      </c>
      <c r="F4" s="564" t="s">
        <v>601</v>
      </c>
      <c r="G4" s="790" t="s">
        <v>894</v>
      </c>
      <c r="H4"/>
    </row>
    <row r="5" spans="1:61" ht="12" customHeight="1" x14ac:dyDescent="0.25">
      <c r="A5" s="790" t="s">
        <v>15</v>
      </c>
      <c r="B5" s="790" t="s">
        <v>46</v>
      </c>
      <c r="C5" s="790" t="s">
        <v>132</v>
      </c>
      <c r="D5" s="790" t="s">
        <v>1005</v>
      </c>
      <c r="E5" s="600">
        <v>24</v>
      </c>
      <c r="F5" s="600">
        <v>140</v>
      </c>
      <c r="G5" s="114">
        <v>1</v>
      </c>
      <c r="H5"/>
    </row>
    <row r="6" spans="1:61" ht="12" customHeight="1" x14ac:dyDescent="0.25">
      <c r="A6" s="790"/>
      <c r="B6" s="790" t="s">
        <v>49</v>
      </c>
      <c r="C6" s="790" t="s">
        <v>135</v>
      </c>
      <c r="D6" s="790" t="s">
        <v>1005</v>
      </c>
      <c r="E6" s="600">
        <v>14</v>
      </c>
      <c r="F6" s="600">
        <v>84</v>
      </c>
      <c r="G6" s="114">
        <v>1</v>
      </c>
      <c r="H6"/>
    </row>
    <row r="7" spans="1:61" ht="12" customHeight="1" x14ac:dyDescent="0.25">
      <c r="A7" s="790"/>
      <c r="B7" s="790" t="s">
        <v>48</v>
      </c>
      <c r="C7" s="790" t="s">
        <v>134</v>
      </c>
      <c r="D7" s="790" t="s">
        <v>1005</v>
      </c>
      <c r="E7" s="600">
        <v>92</v>
      </c>
      <c r="F7" s="600">
        <v>559</v>
      </c>
      <c r="G7" s="114">
        <v>1</v>
      </c>
      <c r="H7"/>
    </row>
    <row r="8" spans="1:61" ht="12" customHeight="1" x14ac:dyDescent="0.25">
      <c r="A8" s="790"/>
      <c r="B8" s="790" t="s">
        <v>51</v>
      </c>
      <c r="C8" s="790" t="s">
        <v>137</v>
      </c>
      <c r="D8" s="790" t="s">
        <v>1005</v>
      </c>
      <c r="E8" s="600">
        <v>116</v>
      </c>
      <c r="F8" s="600">
        <v>802</v>
      </c>
      <c r="G8" s="114">
        <v>1</v>
      </c>
      <c r="H8"/>
    </row>
    <row r="9" spans="1:61" ht="12" customHeight="1" x14ac:dyDescent="0.25">
      <c r="A9" s="790"/>
      <c r="B9" s="790" t="s">
        <v>50</v>
      </c>
      <c r="C9" s="790" t="s">
        <v>136</v>
      </c>
      <c r="D9" s="790" t="s">
        <v>1005</v>
      </c>
      <c r="E9" s="600">
        <v>236</v>
      </c>
      <c r="F9" s="600">
        <v>1524</v>
      </c>
      <c r="G9" s="114">
        <v>1</v>
      </c>
      <c r="H9"/>
    </row>
    <row r="10" spans="1:61" ht="12" customHeight="1" x14ac:dyDescent="0.25">
      <c r="A10" s="790"/>
      <c r="B10" s="790" t="s">
        <v>54</v>
      </c>
      <c r="C10" s="790" t="s">
        <v>140</v>
      </c>
      <c r="D10" s="790" t="s">
        <v>1004</v>
      </c>
      <c r="E10" s="600">
        <v>97</v>
      </c>
      <c r="F10" s="600">
        <v>557</v>
      </c>
      <c r="G10" s="114">
        <v>1</v>
      </c>
      <c r="H10"/>
    </row>
    <row r="11" spans="1:61" ht="12" customHeight="1" x14ac:dyDescent="0.25">
      <c r="A11" s="790"/>
      <c r="B11" s="790" t="s">
        <v>44</v>
      </c>
      <c r="C11" s="790" t="s">
        <v>130</v>
      </c>
      <c r="D11" s="790" t="s">
        <v>1005</v>
      </c>
      <c r="E11" s="600">
        <v>18</v>
      </c>
      <c r="F11" s="600">
        <v>157</v>
      </c>
      <c r="G11" s="114">
        <v>1</v>
      </c>
      <c r="H11"/>
    </row>
    <row r="12" spans="1:61" ht="12" customHeight="1" x14ac:dyDescent="0.25">
      <c r="A12" s="790"/>
      <c r="B12" s="790" t="s">
        <v>53</v>
      </c>
      <c r="C12" s="790" t="s">
        <v>139</v>
      </c>
      <c r="D12" s="790" t="s">
        <v>1005</v>
      </c>
      <c r="E12" s="600">
        <v>144</v>
      </c>
      <c r="F12" s="600">
        <v>1006</v>
      </c>
      <c r="G12" s="114">
        <v>1</v>
      </c>
      <c r="H12"/>
      <c r="N12" s="90" t="s">
        <v>773</v>
      </c>
    </row>
    <row r="13" spans="1:61" x14ac:dyDescent="0.25">
      <c r="A13" s="790"/>
      <c r="B13" s="790" t="s">
        <v>45</v>
      </c>
      <c r="C13" s="790" t="s">
        <v>131</v>
      </c>
      <c r="D13" s="790" t="s">
        <v>1005</v>
      </c>
      <c r="E13" s="600">
        <v>63</v>
      </c>
      <c r="F13" s="600">
        <v>414</v>
      </c>
      <c r="G13" s="114">
        <v>1</v>
      </c>
      <c r="H13"/>
    </row>
    <row r="14" spans="1:61" x14ac:dyDescent="0.25">
      <c r="A14" s="790"/>
      <c r="B14" s="790" t="s">
        <v>52</v>
      </c>
      <c r="C14" s="790" t="s">
        <v>138</v>
      </c>
      <c r="D14" s="790" t="s">
        <v>1005</v>
      </c>
      <c r="E14" s="600">
        <v>112</v>
      </c>
      <c r="F14" s="600">
        <v>738</v>
      </c>
      <c r="G14" s="114">
        <v>1</v>
      </c>
      <c r="H14"/>
    </row>
    <row r="15" spans="1:61" x14ac:dyDescent="0.25">
      <c r="A15" s="790" t="s">
        <v>977</v>
      </c>
      <c r="B15" s="790"/>
      <c r="C15" s="790"/>
      <c r="D15" s="790"/>
      <c r="E15" s="600">
        <v>916</v>
      </c>
      <c r="F15" s="600">
        <v>5981</v>
      </c>
      <c r="G15" s="114">
        <v>10</v>
      </c>
      <c r="H15"/>
    </row>
    <row r="16" spans="1:61" x14ac:dyDescent="0.25">
      <c r="A16" s="790" t="s">
        <v>20</v>
      </c>
      <c r="B16" s="790" t="s">
        <v>103</v>
      </c>
      <c r="C16" s="790" t="s">
        <v>191</v>
      </c>
      <c r="D16" s="790" t="s">
        <v>1005</v>
      </c>
      <c r="E16" s="600">
        <v>17</v>
      </c>
      <c r="F16" s="600">
        <v>109</v>
      </c>
      <c r="G16" s="114">
        <v>1</v>
      </c>
      <c r="H16"/>
    </row>
    <row r="17" spans="1:8" x14ac:dyDescent="0.25">
      <c r="A17" s="790" t="s">
        <v>645</v>
      </c>
      <c r="B17" s="790"/>
      <c r="C17" s="790"/>
      <c r="D17" s="790"/>
      <c r="E17" s="600">
        <v>17</v>
      </c>
      <c r="F17" s="600">
        <v>109</v>
      </c>
      <c r="G17" s="114">
        <v>1</v>
      </c>
      <c r="H17"/>
    </row>
    <row r="18" spans="1:8" x14ac:dyDescent="0.25">
      <c r="A18" s="790" t="s">
        <v>11</v>
      </c>
      <c r="B18" s="790" t="s">
        <v>30</v>
      </c>
      <c r="C18" s="790" t="s">
        <v>116</v>
      </c>
      <c r="D18" s="790" t="s">
        <v>1005</v>
      </c>
      <c r="E18" s="600">
        <v>86</v>
      </c>
      <c r="F18" s="600">
        <v>444</v>
      </c>
      <c r="G18" s="114">
        <v>1</v>
      </c>
      <c r="H18"/>
    </row>
    <row r="19" spans="1:8" x14ac:dyDescent="0.25">
      <c r="A19" s="790"/>
      <c r="B19" s="790" t="s">
        <v>25</v>
      </c>
      <c r="C19" s="790" t="s">
        <v>111</v>
      </c>
      <c r="D19" s="790" t="s">
        <v>1005</v>
      </c>
      <c r="E19" s="600">
        <v>19</v>
      </c>
      <c r="F19" s="600">
        <v>142</v>
      </c>
      <c r="G19" s="114">
        <v>1</v>
      </c>
      <c r="H19"/>
    </row>
    <row r="20" spans="1:8" x14ac:dyDescent="0.25">
      <c r="A20" s="790"/>
      <c r="B20" s="790" t="s">
        <v>32</v>
      </c>
      <c r="C20" s="790" t="s">
        <v>118</v>
      </c>
      <c r="D20" s="790" t="s">
        <v>1005</v>
      </c>
      <c r="E20" s="600">
        <v>225</v>
      </c>
      <c r="F20" s="600">
        <v>1377</v>
      </c>
      <c r="G20" s="114">
        <v>1</v>
      </c>
      <c r="H20"/>
    </row>
    <row r="21" spans="1:8" x14ac:dyDescent="0.25">
      <c r="A21" s="790"/>
      <c r="B21" s="790" t="s">
        <v>27</v>
      </c>
      <c r="C21" s="790" t="s">
        <v>113</v>
      </c>
      <c r="D21" s="790" t="s">
        <v>1005</v>
      </c>
      <c r="E21" s="600">
        <v>86</v>
      </c>
      <c r="F21" s="600">
        <v>476</v>
      </c>
      <c r="G21" s="114">
        <v>1</v>
      </c>
      <c r="H21"/>
    </row>
    <row r="22" spans="1:8" x14ac:dyDescent="0.25">
      <c r="A22" s="790"/>
      <c r="B22" s="790" t="s">
        <v>557</v>
      </c>
      <c r="C22" s="790" t="s">
        <v>558</v>
      </c>
      <c r="D22" s="790" t="s">
        <v>1005</v>
      </c>
      <c r="E22" s="600">
        <v>17</v>
      </c>
      <c r="F22" s="600">
        <v>72</v>
      </c>
      <c r="G22" s="114">
        <v>1</v>
      </c>
      <c r="H22"/>
    </row>
    <row r="23" spans="1:8" x14ac:dyDescent="0.25">
      <c r="A23" s="790"/>
      <c r="B23" s="790" t="s">
        <v>26</v>
      </c>
      <c r="C23" s="790" t="s">
        <v>112</v>
      </c>
      <c r="D23" s="790" t="s">
        <v>1005</v>
      </c>
      <c r="E23" s="600">
        <v>203</v>
      </c>
      <c r="F23" s="600">
        <v>1420</v>
      </c>
      <c r="G23" s="114">
        <v>1</v>
      </c>
      <c r="H23"/>
    </row>
    <row r="24" spans="1:8" x14ac:dyDescent="0.25">
      <c r="A24" s="790"/>
      <c r="B24" s="790" t="s">
        <v>29</v>
      </c>
      <c r="C24" s="790" t="s">
        <v>115</v>
      </c>
      <c r="D24" s="790" t="s">
        <v>1005</v>
      </c>
      <c r="E24" s="600">
        <v>275</v>
      </c>
      <c r="F24" s="600">
        <v>1707</v>
      </c>
      <c r="G24" s="114">
        <v>1</v>
      </c>
      <c r="H24"/>
    </row>
    <row r="25" spans="1:8" x14ac:dyDescent="0.25">
      <c r="A25" s="790" t="s">
        <v>1014</v>
      </c>
      <c r="B25" s="790"/>
      <c r="C25" s="790"/>
      <c r="D25" s="790"/>
      <c r="E25" s="600">
        <v>911</v>
      </c>
      <c r="F25" s="600">
        <v>5638</v>
      </c>
      <c r="G25" s="114">
        <v>7</v>
      </c>
      <c r="H25"/>
    </row>
    <row r="26" spans="1:8" x14ac:dyDescent="0.25">
      <c r="A26" s="790" t="s">
        <v>14</v>
      </c>
      <c r="B26" s="790" t="s">
        <v>39</v>
      </c>
      <c r="C26" s="790" t="s">
        <v>125</v>
      </c>
      <c r="D26" s="790" t="s">
        <v>1004</v>
      </c>
      <c r="E26" s="600">
        <v>21</v>
      </c>
      <c r="F26" s="600">
        <v>122</v>
      </c>
      <c r="G26" s="114">
        <v>1</v>
      </c>
      <c r="H26"/>
    </row>
    <row r="27" spans="1:8" x14ac:dyDescent="0.25">
      <c r="A27" s="790"/>
      <c r="B27" s="790" t="s">
        <v>1066</v>
      </c>
      <c r="C27" s="790" t="s">
        <v>127</v>
      </c>
      <c r="D27" s="790" t="s">
        <v>1004</v>
      </c>
      <c r="E27" s="600">
        <v>891</v>
      </c>
      <c r="F27" s="600">
        <v>4239</v>
      </c>
      <c r="G27" s="114">
        <v>1</v>
      </c>
      <c r="H27"/>
    </row>
    <row r="28" spans="1:8" x14ac:dyDescent="0.25">
      <c r="A28" s="790" t="s">
        <v>646</v>
      </c>
      <c r="B28" s="790"/>
      <c r="C28" s="790"/>
      <c r="D28" s="790"/>
      <c r="E28" s="600">
        <v>912</v>
      </c>
      <c r="F28" s="600">
        <v>4361</v>
      </c>
      <c r="G28" s="114">
        <v>2</v>
      </c>
      <c r="H28"/>
    </row>
    <row r="29" spans="1:8" x14ac:dyDescent="0.25">
      <c r="A29" s="790" t="s">
        <v>16</v>
      </c>
      <c r="B29" s="790" t="s">
        <v>56</v>
      </c>
      <c r="C29" s="790" t="s">
        <v>142</v>
      </c>
      <c r="D29" s="790" t="s">
        <v>1005</v>
      </c>
      <c r="E29" s="600">
        <v>32</v>
      </c>
      <c r="F29" s="600">
        <v>157</v>
      </c>
      <c r="G29" s="114">
        <v>1</v>
      </c>
      <c r="H29"/>
    </row>
    <row r="30" spans="1:8" x14ac:dyDescent="0.25">
      <c r="A30" s="790"/>
      <c r="B30" s="790" t="s">
        <v>55</v>
      </c>
      <c r="C30" s="790" t="s">
        <v>141</v>
      </c>
      <c r="D30" s="790" t="s">
        <v>1005</v>
      </c>
      <c r="E30" s="600">
        <v>54</v>
      </c>
      <c r="F30" s="600">
        <v>332</v>
      </c>
      <c r="G30" s="114">
        <v>1</v>
      </c>
      <c r="H30"/>
    </row>
    <row r="31" spans="1:8" x14ac:dyDescent="0.25">
      <c r="A31" s="790" t="s">
        <v>648</v>
      </c>
      <c r="B31" s="790"/>
      <c r="C31" s="790"/>
      <c r="D31" s="790"/>
      <c r="E31" s="600">
        <v>86</v>
      </c>
      <c r="F31" s="600">
        <v>489</v>
      </c>
      <c r="G31" s="114">
        <v>2</v>
      </c>
      <c r="H31"/>
    </row>
    <row r="32" spans="1:8" x14ac:dyDescent="0.25">
      <c r="A32" s="790" t="s">
        <v>19</v>
      </c>
      <c r="B32" s="790" t="s">
        <v>638</v>
      </c>
      <c r="C32" s="790" t="s">
        <v>640</v>
      </c>
      <c r="D32" s="790" t="s">
        <v>1004</v>
      </c>
      <c r="E32" s="600">
        <v>249</v>
      </c>
      <c r="F32" s="600">
        <v>1282</v>
      </c>
      <c r="G32" s="114">
        <v>1</v>
      </c>
      <c r="H32"/>
    </row>
    <row r="33" spans="1:8" x14ac:dyDescent="0.25">
      <c r="A33" s="790"/>
      <c r="B33" s="790" t="s">
        <v>639</v>
      </c>
      <c r="C33" s="790" t="s">
        <v>641</v>
      </c>
      <c r="D33" s="790" t="s">
        <v>1004</v>
      </c>
      <c r="E33" s="600">
        <v>418</v>
      </c>
      <c r="F33" s="600">
        <v>2200</v>
      </c>
      <c r="G33" s="114">
        <v>1</v>
      </c>
      <c r="H33"/>
    </row>
    <row r="34" spans="1:8" x14ac:dyDescent="0.25">
      <c r="A34" s="790"/>
      <c r="B34" s="790" t="s">
        <v>78</v>
      </c>
      <c r="C34" s="790" t="s">
        <v>166</v>
      </c>
      <c r="D34" s="790" t="s">
        <v>1004</v>
      </c>
      <c r="E34" s="600">
        <v>72</v>
      </c>
      <c r="F34" s="600">
        <v>462</v>
      </c>
      <c r="G34" s="114">
        <v>1</v>
      </c>
      <c r="H34"/>
    </row>
    <row r="35" spans="1:8" x14ac:dyDescent="0.25">
      <c r="A35" s="790"/>
      <c r="B35" s="790" t="s">
        <v>245</v>
      </c>
      <c r="C35" s="790" t="s">
        <v>282</v>
      </c>
      <c r="D35" s="790" t="s">
        <v>1004</v>
      </c>
      <c r="E35" s="600">
        <v>151</v>
      </c>
      <c r="F35" s="600">
        <v>654</v>
      </c>
      <c r="G35" s="114">
        <v>1</v>
      </c>
      <c r="H35"/>
    </row>
    <row r="36" spans="1:8" x14ac:dyDescent="0.25">
      <c r="A36" s="790" t="s">
        <v>644</v>
      </c>
      <c r="B36" s="790"/>
      <c r="C36" s="790"/>
      <c r="D36" s="790"/>
      <c r="E36" s="600">
        <v>890</v>
      </c>
      <c r="F36" s="600">
        <v>4598</v>
      </c>
      <c r="G36" s="114">
        <v>4</v>
      </c>
      <c r="H36"/>
    </row>
    <row r="37" spans="1:8" x14ac:dyDescent="0.25">
      <c r="A37" s="790" t="s">
        <v>866</v>
      </c>
      <c r="B37" s="790" t="s">
        <v>37</v>
      </c>
      <c r="C37" s="790" t="s">
        <v>123</v>
      </c>
      <c r="D37" s="790" t="s">
        <v>1004</v>
      </c>
      <c r="E37" s="600">
        <v>42</v>
      </c>
      <c r="F37" s="600">
        <v>204</v>
      </c>
      <c r="G37" s="114">
        <v>1</v>
      </c>
      <c r="H37"/>
    </row>
    <row r="38" spans="1:8" x14ac:dyDescent="0.25">
      <c r="A38" s="790" t="s">
        <v>867</v>
      </c>
      <c r="B38" s="790"/>
      <c r="C38" s="790"/>
      <c r="D38" s="790"/>
      <c r="E38" s="600">
        <v>42</v>
      </c>
      <c r="F38" s="600">
        <v>204</v>
      </c>
      <c r="G38" s="114">
        <v>1</v>
      </c>
      <c r="H38"/>
    </row>
    <row r="39" spans="1:8" x14ac:dyDescent="0.25">
      <c r="A39" s="790" t="s">
        <v>1002</v>
      </c>
      <c r="B39" s="790" t="s">
        <v>33</v>
      </c>
      <c r="C39" s="790" t="s">
        <v>119</v>
      </c>
      <c r="D39" s="790" t="s">
        <v>1005</v>
      </c>
      <c r="E39" s="600">
        <v>204</v>
      </c>
      <c r="F39" s="600">
        <v>1265</v>
      </c>
      <c r="G39" s="114">
        <v>1</v>
      </c>
      <c r="H39"/>
    </row>
    <row r="40" spans="1:8" x14ac:dyDescent="0.25">
      <c r="A40" s="790"/>
      <c r="B40" s="790" t="s">
        <v>36</v>
      </c>
      <c r="C40" s="790" t="s">
        <v>122</v>
      </c>
      <c r="D40" s="790" t="s">
        <v>1004</v>
      </c>
      <c r="E40" s="600">
        <v>10</v>
      </c>
      <c r="F40" s="600">
        <v>64</v>
      </c>
      <c r="G40" s="114">
        <v>1</v>
      </c>
      <c r="H40"/>
    </row>
    <row r="41" spans="1:8" x14ac:dyDescent="0.25">
      <c r="A41" s="790"/>
      <c r="B41" s="790" t="s">
        <v>626</v>
      </c>
      <c r="C41" s="790" t="s">
        <v>627</v>
      </c>
      <c r="D41" s="790" t="s">
        <v>1004</v>
      </c>
      <c r="E41" s="600">
        <v>31</v>
      </c>
      <c r="F41" s="600">
        <v>131</v>
      </c>
      <c r="G41" s="114">
        <v>1</v>
      </c>
      <c r="H41"/>
    </row>
    <row r="42" spans="1:8" x14ac:dyDescent="0.25">
      <c r="A42" s="790"/>
      <c r="B42" s="790" t="s">
        <v>34</v>
      </c>
      <c r="C42" s="790" t="s">
        <v>120</v>
      </c>
      <c r="D42" s="790" t="s">
        <v>1005</v>
      </c>
      <c r="E42" s="600">
        <v>365</v>
      </c>
      <c r="F42" s="600">
        <v>2366</v>
      </c>
      <c r="G42" s="114">
        <v>1</v>
      </c>
      <c r="H42"/>
    </row>
    <row r="43" spans="1:8" x14ac:dyDescent="0.25">
      <c r="A43" s="790" t="s">
        <v>1012</v>
      </c>
      <c r="B43" s="790"/>
      <c r="C43" s="790"/>
      <c r="D43" s="790"/>
      <c r="E43" s="600">
        <v>610</v>
      </c>
      <c r="F43" s="600">
        <v>3826</v>
      </c>
      <c r="G43" s="114">
        <v>4</v>
      </c>
      <c r="H43"/>
    </row>
    <row r="44" spans="1:8" x14ac:dyDescent="0.25">
      <c r="A44" s="790" t="s">
        <v>213</v>
      </c>
      <c r="B44" s="790"/>
      <c r="C44" s="790"/>
      <c r="D44" s="790"/>
      <c r="E44" s="600">
        <v>4384</v>
      </c>
      <c r="F44" s="600">
        <v>25206</v>
      </c>
      <c r="G44" s="114">
        <v>31</v>
      </c>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sheetData>
  <mergeCells count="2">
    <mergeCell ref="A2:C2"/>
    <mergeCell ref="A3:C3"/>
  </mergeCells>
  <pageMargins left="0.7" right="0.7" top="0.75" bottom="0.75" header="0.3" footer="0.3"/>
  <pageSetup paperSize="9" orientation="portrait" verticalDpi="0"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topLeftCell="A34" workbookViewId="0">
      <selection activeCell="K32" sqref="K32"/>
    </sheetView>
  </sheetViews>
  <sheetFormatPr defaultColWidth="9.140625" defaultRowHeight="15" x14ac:dyDescent="0.25"/>
  <cols>
    <col min="1" max="1" width="2" style="1" customWidth="1"/>
    <col min="2" max="2" width="24.85546875" style="1" customWidth="1"/>
    <col min="3" max="3" width="28" style="1" bestFit="1" customWidth="1"/>
    <col min="4" max="4" width="19" style="1" customWidth="1"/>
    <col min="5" max="5" width="17.5703125" style="292" customWidth="1"/>
    <col min="6" max="6" width="7.5703125" style="385" customWidth="1"/>
    <col min="7" max="7" width="15.7109375" style="691" customWidth="1"/>
    <col min="8" max="16384" width="9.140625" style="1"/>
  </cols>
  <sheetData>
    <row r="1" spans="2:7" ht="12" customHeight="1" thickBot="1" x14ac:dyDescent="0.3"/>
    <row r="2" spans="2:7" s="656" customFormat="1" ht="12.75" x14ac:dyDescent="0.2">
      <c r="B2" s="657" t="s">
        <v>1013</v>
      </c>
      <c r="C2" s="658"/>
      <c r="D2" s="658"/>
      <c r="E2" s="658"/>
      <c r="F2" s="658"/>
      <c r="G2" s="685"/>
    </row>
    <row r="3" spans="2:7" s="656" customFormat="1" ht="12.75" x14ac:dyDescent="0.2">
      <c r="B3" s="659">
        <f>Report_Date</f>
        <v>42856</v>
      </c>
      <c r="C3" s="660"/>
      <c r="D3" s="660"/>
      <c r="E3" s="660"/>
      <c r="F3" s="660"/>
      <c r="G3" s="686"/>
    </row>
    <row r="4" spans="2:7" s="656" customFormat="1" ht="13.5" thickBot="1" x14ac:dyDescent="0.25">
      <c r="B4" s="661"/>
      <c r="C4" s="662"/>
      <c r="D4" s="662"/>
      <c r="E4" s="662"/>
      <c r="F4" s="662"/>
      <c r="G4" s="687"/>
    </row>
    <row r="5" spans="2:7" s="656" customFormat="1" ht="13.5" thickBot="1" x14ac:dyDescent="0.25">
      <c r="B5" s="663" t="s">
        <v>346</v>
      </c>
      <c r="C5" s="664" t="s">
        <v>349</v>
      </c>
      <c r="D5" s="660"/>
      <c r="E5" s="660"/>
      <c r="F5" s="660"/>
      <c r="G5" s="686"/>
    </row>
    <row r="6" spans="2:7" s="656" customFormat="1" ht="13.5" thickBot="1" x14ac:dyDescent="0.25">
      <c r="B6" s="663" t="s">
        <v>24</v>
      </c>
      <c r="C6" s="664" t="s">
        <v>767</v>
      </c>
      <c r="D6" s="662"/>
      <c r="E6" s="662"/>
      <c r="F6" s="662"/>
      <c r="G6" s="687"/>
    </row>
    <row r="7" spans="2:7" s="656" customFormat="1" ht="13.5" thickBot="1" x14ac:dyDescent="0.25">
      <c r="B7" s="665"/>
      <c r="C7" s="660"/>
      <c r="D7" s="660"/>
      <c r="E7" s="660"/>
      <c r="F7" s="660"/>
      <c r="G7" s="688"/>
    </row>
    <row r="8" spans="2:7" s="656" customFormat="1" ht="13.5" thickBot="1" x14ac:dyDescent="0.25">
      <c r="B8" s="666" t="s">
        <v>0</v>
      </c>
      <c r="C8" s="667" t="s">
        <v>9</v>
      </c>
      <c r="D8" s="668" t="s">
        <v>8</v>
      </c>
      <c r="E8" s="684" t="s">
        <v>803</v>
      </c>
      <c r="F8" s="669" t="s">
        <v>875</v>
      </c>
      <c r="G8" s="670" t="s">
        <v>798</v>
      </c>
    </row>
    <row r="9" spans="2:7" s="656" customFormat="1" ht="12.75" x14ac:dyDescent="0.2">
      <c r="B9" s="1061" t="s">
        <v>20</v>
      </c>
      <c r="C9" s="679" t="s">
        <v>110</v>
      </c>
      <c r="D9" s="679" t="s">
        <v>198</v>
      </c>
      <c r="E9" s="672"/>
      <c r="F9" s="673"/>
      <c r="G9" s="716">
        <v>1</v>
      </c>
    </row>
    <row r="10" spans="2:7" s="656" customFormat="1" ht="12.75" x14ac:dyDescent="0.2">
      <c r="B10" s="1062"/>
      <c r="C10" s="679" t="s">
        <v>100</v>
      </c>
      <c r="D10" s="679" t="s">
        <v>188</v>
      </c>
      <c r="E10" s="674"/>
      <c r="F10" s="675"/>
      <c r="G10" s="717">
        <v>1</v>
      </c>
    </row>
    <row r="11" spans="2:7" s="676" customFormat="1" ht="12.75" x14ac:dyDescent="0.2">
      <c r="B11" s="1062"/>
      <c r="C11" s="679" t="s">
        <v>613</v>
      </c>
      <c r="D11" s="679" t="s">
        <v>617</v>
      </c>
      <c r="E11" s="674"/>
      <c r="F11" s="675"/>
      <c r="G11" s="717">
        <v>1</v>
      </c>
    </row>
    <row r="12" spans="2:7" s="656" customFormat="1" ht="12.75" x14ac:dyDescent="0.2">
      <c r="B12" s="1062"/>
      <c r="C12" s="679" t="s">
        <v>102</v>
      </c>
      <c r="D12" s="679" t="s">
        <v>190</v>
      </c>
      <c r="E12" s="674"/>
      <c r="F12" s="675"/>
      <c r="G12" s="717">
        <v>1</v>
      </c>
    </row>
    <row r="13" spans="2:7" s="656" customFormat="1" ht="12.75" x14ac:dyDescent="0.2">
      <c r="B13" s="1062"/>
      <c r="C13" s="679" t="s">
        <v>101</v>
      </c>
      <c r="D13" s="679" t="s">
        <v>189</v>
      </c>
      <c r="E13" s="674"/>
      <c r="F13" s="675"/>
      <c r="G13" s="717">
        <v>1</v>
      </c>
    </row>
    <row r="14" spans="2:7" s="656" customFormat="1" ht="12.75" x14ac:dyDescent="0.2">
      <c r="B14" s="1062"/>
      <c r="C14" s="679" t="s">
        <v>99</v>
      </c>
      <c r="D14" s="679" t="s">
        <v>187</v>
      </c>
      <c r="E14" s="674"/>
      <c r="F14" s="675"/>
      <c r="G14" s="717">
        <v>1</v>
      </c>
    </row>
    <row r="15" spans="2:7" s="656" customFormat="1" ht="12.75" x14ac:dyDescent="0.2">
      <c r="B15" s="1062"/>
      <c r="C15" s="679" t="s">
        <v>108</v>
      </c>
      <c r="D15" s="679" t="s">
        <v>196</v>
      </c>
      <c r="E15" s="674"/>
      <c r="F15" s="675"/>
      <c r="G15" s="717">
        <v>1</v>
      </c>
    </row>
    <row r="16" spans="2:7" s="656" customFormat="1" ht="12.75" x14ac:dyDescent="0.2">
      <c r="B16" s="1062"/>
      <c r="C16" s="679" t="s">
        <v>97</v>
      </c>
      <c r="D16" s="679" t="s">
        <v>185</v>
      </c>
      <c r="E16" s="674"/>
      <c r="F16" s="675"/>
      <c r="G16" s="717">
        <v>1</v>
      </c>
    </row>
    <row r="17" spans="2:9" s="656" customFormat="1" ht="12.75" x14ac:dyDescent="0.2">
      <c r="B17" s="1062"/>
      <c r="C17" s="679" t="s">
        <v>98</v>
      </c>
      <c r="D17" s="679" t="s">
        <v>186</v>
      </c>
      <c r="E17" s="674"/>
      <c r="F17" s="675"/>
      <c r="G17" s="717">
        <v>1</v>
      </c>
      <c r="I17" s="656" t="s">
        <v>773</v>
      </c>
    </row>
    <row r="18" spans="2:9" s="656" customFormat="1" ht="12.75" x14ac:dyDescent="0.2">
      <c r="B18" s="1062"/>
      <c r="C18" s="679" t="s">
        <v>614</v>
      </c>
      <c r="D18" s="679" t="s">
        <v>618</v>
      </c>
      <c r="E18" s="674"/>
      <c r="F18" s="675"/>
      <c r="G18" s="717">
        <v>1</v>
      </c>
    </row>
    <row r="19" spans="2:9" s="656" customFormat="1" ht="13.5" thickBot="1" x14ac:dyDescent="0.25">
      <c r="B19" s="1063"/>
      <c r="C19" s="679" t="s">
        <v>615</v>
      </c>
      <c r="D19" s="679" t="s">
        <v>619</v>
      </c>
      <c r="E19" s="674"/>
      <c r="F19" s="675"/>
      <c r="G19" s="717">
        <v>1</v>
      </c>
    </row>
    <row r="20" spans="2:9" s="656" customFormat="1" ht="13.5" thickBot="1" x14ac:dyDescent="0.25">
      <c r="B20" s="1055" t="s">
        <v>645</v>
      </c>
      <c r="C20" s="1056"/>
      <c r="D20" s="1057"/>
      <c r="E20" s="680"/>
      <c r="F20" s="681"/>
      <c r="G20" s="718">
        <v>11</v>
      </c>
    </row>
    <row r="21" spans="2:9" s="656" customFormat="1" ht="12.75" x14ac:dyDescent="0.2">
      <c r="B21" s="1061" t="s">
        <v>11</v>
      </c>
      <c r="C21" s="679" t="s">
        <v>28</v>
      </c>
      <c r="D21" s="679" t="s">
        <v>114</v>
      </c>
      <c r="E21" s="674"/>
      <c r="F21" s="675"/>
      <c r="G21" s="717">
        <v>1</v>
      </c>
    </row>
    <row r="22" spans="2:9" s="656" customFormat="1" ht="13.5" thickBot="1" x14ac:dyDescent="0.25">
      <c r="B22" s="1063"/>
      <c r="C22" s="679" t="s">
        <v>31</v>
      </c>
      <c r="D22" s="679" t="s">
        <v>117</v>
      </c>
      <c r="E22" s="674"/>
      <c r="F22" s="675"/>
      <c r="G22" s="717">
        <v>1</v>
      </c>
    </row>
    <row r="23" spans="2:9" s="656" customFormat="1" ht="13.5" thickBot="1" x14ac:dyDescent="0.25">
      <c r="B23" s="1055" t="s">
        <v>1014</v>
      </c>
      <c r="C23" s="1056"/>
      <c r="D23" s="1057"/>
      <c r="E23" s="680"/>
      <c r="F23" s="681"/>
      <c r="G23" s="718">
        <v>2</v>
      </c>
    </row>
    <row r="24" spans="2:9" s="656" customFormat="1" ht="13.5" thickBot="1" x14ac:dyDescent="0.25">
      <c r="B24" s="671" t="s">
        <v>14</v>
      </c>
      <c r="C24" s="679" t="s">
        <v>541</v>
      </c>
      <c r="D24" s="679" t="s">
        <v>278</v>
      </c>
      <c r="E24" s="674"/>
      <c r="F24" s="675"/>
      <c r="G24" s="717">
        <v>1</v>
      </c>
    </row>
    <row r="25" spans="2:9" s="656" customFormat="1" ht="13.5" thickBot="1" x14ac:dyDescent="0.25">
      <c r="B25" s="1055" t="s">
        <v>646</v>
      </c>
      <c r="C25" s="1064"/>
      <c r="D25" s="1065"/>
      <c r="E25" s="677"/>
      <c r="F25" s="678"/>
      <c r="G25" s="719">
        <v>1</v>
      </c>
    </row>
    <row r="26" spans="2:9" s="656" customFormat="1" ht="12.75" x14ac:dyDescent="0.2">
      <c r="B26" s="1061" t="s">
        <v>19</v>
      </c>
      <c r="C26" s="679" t="s">
        <v>90</v>
      </c>
      <c r="D26" s="679" t="s">
        <v>178</v>
      </c>
      <c r="E26" s="674"/>
      <c r="F26" s="675"/>
      <c r="G26" s="717">
        <v>1</v>
      </c>
    </row>
    <row r="27" spans="2:9" s="656" customFormat="1" ht="12.75" x14ac:dyDescent="0.2">
      <c r="B27" s="1062"/>
      <c r="C27" s="679" t="s">
        <v>62</v>
      </c>
      <c r="D27" s="679" t="s">
        <v>150</v>
      </c>
      <c r="E27" s="674"/>
      <c r="F27" s="675"/>
      <c r="G27" s="717">
        <v>1</v>
      </c>
    </row>
    <row r="28" spans="2:9" s="656" customFormat="1" ht="12.75" x14ac:dyDescent="0.2">
      <c r="B28" s="1062"/>
      <c r="C28" s="679" t="s">
        <v>73</v>
      </c>
      <c r="D28" s="679" t="s">
        <v>161</v>
      </c>
      <c r="E28" s="674"/>
      <c r="F28" s="675"/>
      <c r="G28" s="717">
        <v>1</v>
      </c>
    </row>
    <row r="29" spans="2:9" s="656" customFormat="1" ht="12.75" x14ac:dyDescent="0.2">
      <c r="B29" s="1062"/>
      <c r="C29" s="679" t="s">
        <v>74</v>
      </c>
      <c r="D29" s="679" t="s">
        <v>162</v>
      </c>
      <c r="E29" s="674"/>
      <c r="F29" s="675"/>
      <c r="G29" s="717">
        <v>1</v>
      </c>
    </row>
    <row r="30" spans="2:9" s="656" customFormat="1" ht="12.75" x14ac:dyDescent="0.2">
      <c r="B30" s="1062"/>
      <c r="C30" s="679" t="s">
        <v>80</v>
      </c>
      <c r="D30" s="679" t="s">
        <v>168</v>
      </c>
      <c r="E30" s="674"/>
      <c r="F30" s="675"/>
      <c r="G30" s="717">
        <v>1</v>
      </c>
    </row>
    <row r="31" spans="2:9" s="656" customFormat="1" ht="12.75" x14ac:dyDescent="0.2">
      <c r="B31" s="1062"/>
      <c r="C31" s="679" t="s">
        <v>81</v>
      </c>
      <c r="D31" s="679" t="s">
        <v>169</v>
      </c>
      <c r="E31" s="674"/>
      <c r="F31" s="675"/>
      <c r="G31" s="717">
        <v>1</v>
      </c>
    </row>
    <row r="32" spans="2:9" s="656" customFormat="1" ht="12.75" x14ac:dyDescent="0.2">
      <c r="B32" s="1062"/>
      <c r="C32" s="679" t="s">
        <v>77</v>
      </c>
      <c r="D32" s="679" t="s">
        <v>165</v>
      </c>
      <c r="E32" s="674"/>
      <c r="F32" s="675"/>
      <c r="G32" s="717">
        <v>1</v>
      </c>
    </row>
    <row r="33" spans="2:7" s="656" customFormat="1" ht="12.75" x14ac:dyDescent="0.2">
      <c r="B33" s="1062"/>
      <c r="C33" s="679" t="s">
        <v>79</v>
      </c>
      <c r="D33" s="679" t="s">
        <v>167</v>
      </c>
      <c r="E33" s="674"/>
      <c r="F33" s="675"/>
      <c r="G33" s="717">
        <v>1</v>
      </c>
    </row>
    <row r="34" spans="2:7" x14ac:dyDescent="0.25">
      <c r="B34" s="1062"/>
      <c r="C34" s="679" t="s">
        <v>94</v>
      </c>
      <c r="D34" s="679" t="s">
        <v>182</v>
      </c>
      <c r="E34" s="674"/>
      <c r="F34" s="675"/>
      <c r="G34" s="717">
        <v>1</v>
      </c>
    </row>
    <row r="35" spans="2:7" x14ac:dyDescent="0.25">
      <c r="B35" s="1062"/>
      <c r="C35" s="679" t="s">
        <v>82</v>
      </c>
      <c r="D35" s="679" t="s">
        <v>170</v>
      </c>
      <c r="E35" s="674"/>
      <c r="F35" s="675"/>
      <c r="G35" s="717">
        <v>1</v>
      </c>
    </row>
    <row r="36" spans="2:7" x14ac:dyDescent="0.25">
      <c r="B36" s="1062"/>
      <c r="C36" s="679" t="s">
        <v>550</v>
      </c>
      <c r="D36" s="679" t="s">
        <v>551</v>
      </c>
      <c r="E36" s="674"/>
      <c r="F36" s="675"/>
      <c r="G36" s="717">
        <v>1</v>
      </c>
    </row>
    <row r="37" spans="2:7" x14ac:dyDescent="0.25">
      <c r="B37" s="1062"/>
      <c r="C37" s="679" t="s">
        <v>71</v>
      </c>
      <c r="D37" s="679" t="s">
        <v>159</v>
      </c>
      <c r="E37" s="674"/>
      <c r="F37" s="675"/>
      <c r="G37" s="717">
        <v>1</v>
      </c>
    </row>
    <row r="38" spans="2:7" x14ac:dyDescent="0.25">
      <c r="B38" s="1062"/>
      <c r="C38" s="679" t="s">
        <v>92</v>
      </c>
      <c r="D38" s="679" t="s">
        <v>180</v>
      </c>
      <c r="E38" s="674"/>
      <c r="F38" s="675"/>
      <c r="G38" s="717">
        <v>1</v>
      </c>
    </row>
    <row r="39" spans="2:7" x14ac:dyDescent="0.25">
      <c r="B39" s="1062"/>
      <c r="C39" s="679" t="s">
        <v>83</v>
      </c>
      <c r="D39" s="679" t="s">
        <v>171</v>
      </c>
      <c r="E39" s="674"/>
      <c r="F39" s="675"/>
      <c r="G39" s="717">
        <v>1</v>
      </c>
    </row>
    <row r="40" spans="2:7" x14ac:dyDescent="0.25">
      <c r="B40" s="1062"/>
      <c r="C40" s="679" t="s">
        <v>75</v>
      </c>
      <c r="D40" s="679" t="s">
        <v>163</v>
      </c>
      <c r="E40" s="674"/>
      <c r="F40" s="675"/>
      <c r="G40" s="717">
        <v>1</v>
      </c>
    </row>
    <row r="41" spans="2:7" x14ac:dyDescent="0.25">
      <c r="B41" s="1062"/>
      <c r="C41" s="679" t="s">
        <v>93</v>
      </c>
      <c r="D41" s="679" t="s">
        <v>181</v>
      </c>
      <c r="E41" s="674"/>
      <c r="F41" s="675"/>
      <c r="G41" s="717">
        <v>1</v>
      </c>
    </row>
    <row r="42" spans="2:7" x14ac:dyDescent="0.25">
      <c r="B42" s="1062"/>
      <c r="C42" s="679" t="s">
        <v>76</v>
      </c>
      <c r="D42" s="679" t="s">
        <v>164</v>
      </c>
      <c r="E42" s="674"/>
      <c r="F42" s="675"/>
      <c r="G42" s="717">
        <v>1</v>
      </c>
    </row>
    <row r="43" spans="2:7" x14ac:dyDescent="0.25">
      <c r="B43" s="1062"/>
      <c r="C43" s="679" t="s">
        <v>84</v>
      </c>
      <c r="D43" s="679" t="s">
        <v>172</v>
      </c>
      <c r="E43" s="674"/>
      <c r="F43" s="675"/>
      <c r="G43" s="717">
        <v>1</v>
      </c>
    </row>
    <row r="44" spans="2:7" x14ac:dyDescent="0.25">
      <c r="B44" s="1062"/>
      <c r="C44" s="679" t="s">
        <v>65</v>
      </c>
      <c r="D44" s="679" t="s">
        <v>153</v>
      </c>
      <c r="E44" s="674"/>
      <c r="F44" s="675"/>
      <c r="G44" s="717">
        <v>1</v>
      </c>
    </row>
    <row r="45" spans="2:7" x14ac:dyDescent="0.25">
      <c r="B45" s="1062"/>
      <c r="C45" s="679" t="s">
        <v>244</v>
      </c>
      <c r="D45" s="679" t="s">
        <v>279</v>
      </c>
      <c r="E45" s="674"/>
      <c r="F45" s="675"/>
      <c r="G45" s="717">
        <v>1</v>
      </c>
    </row>
    <row r="46" spans="2:7" x14ac:dyDescent="0.25">
      <c r="B46" s="1062"/>
      <c r="C46" s="679" t="s">
        <v>275</v>
      </c>
      <c r="D46" s="679" t="s">
        <v>546</v>
      </c>
      <c r="E46" s="674"/>
      <c r="F46" s="675"/>
      <c r="G46" s="717">
        <v>1</v>
      </c>
    </row>
    <row r="47" spans="2:7" x14ac:dyDescent="0.25">
      <c r="B47" s="1062"/>
      <c r="C47" s="679" t="s">
        <v>276</v>
      </c>
      <c r="D47" s="679" t="s">
        <v>547</v>
      </c>
      <c r="E47" s="674"/>
      <c r="F47" s="675"/>
      <c r="G47" s="717">
        <v>1</v>
      </c>
    </row>
    <row r="48" spans="2:7" x14ac:dyDescent="0.25">
      <c r="B48" s="1062"/>
      <c r="C48" s="679" t="s">
        <v>72</v>
      </c>
      <c r="D48" s="679" t="s">
        <v>160</v>
      </c>
      <c r="E48" s="674"/>
      <c r="F48" s="675"/>
      <c r="G48" s="717">
        <v>1</v>
      </c>
    </row>
    <row r="49" spans="2:7" x14ac:dyDescent="0.25">
      <c r="B49" s="1062"/>
      <c r="C49" s="679" t="s">
        <v>66</v>
      </c>
      <c r="D49" s="679" t="s">
        <v>154</v>
      </c>
      <c r="E49" s="674"/>
      <c r="F49" s="675"/>
      <c r="G49" s="717">
        <v>1</v>
      </c>
    </row>
    <row r="50" spans="2:7" x14ac:dyDescent="0.25">
      <c r="B50" s="1062"/>
      <c r="C50" s="679" t="s">
        <v>85</v>
      </c>
      <c r="D50" s="679" t="s">
        <v>173</v>
      </c>
      <c r="E50" s="674"/>
      <c r="F50" s="675"/>
      <c r="G50" s="717">
        <v>1</v>
      </c>
    </row>
    <row r="51" spans="2:7" x14ac:dyDescent="0.25">
      <c r="B51" s="1062"/>
      <c r="C51" s="679" t="s">
        <v>562</v>
      </c>
      <c r="D51" s="679" t="s">
        <v>563</v>
      </c>
      <c r="E51" s="674"/>
      <c r="F51" s="675"/>
      <c r="G51" s="717">
        <v>1</v>
      </c>
    </row>
    <row r="52" spans="2:7" x14ac:dyDescent="0.25">
      <c r="B52" s="1062"/>
      <c r="C52" s="679" t="s">
        <v>86</v>
      </c>
      <c r="D52" s="679" t="s">
        <v>174</v>
      </c>
      <c r="E52" s="674"/>
      <c r="F52" s="675"/>
      <c r="G52" s="717">
        <v>1</v>
      </c>
    </row>
    <row r="53" spans="2:7" x14ac:dyDescent="0.25">
      <c r="B53" s="1062"/>
      <c r="C53" s="679" t="s">
        <v>89</v>
      </c>
      <c r="D53" s="679" t="s">
        <v>177</v>
      </c>
      <c r="E53" s="674"/>
      <c r="F53" s="675"/>
      <c r="G53" s="717">
        <v>1</v>
      </c>
    </row>
    <row r="54" spans="2:7" x14ac:dyDescent="0.25">
      <c r="B54" s="1062"/>
      <c r="C54" s="679" t="s">
        <v>87</v>
      </c>
      <c r="D54" s="679" t="s">
        <v>175</v>
      </c>
      <c r="E54" s="674"/>
      <c r="F54" s="675"/>
      <c r="G54" s="717">
        <v>1</v>
      </c>
    </row>
    <row r="55" spans="2:7" x14ac:dyDescent="0.25">
      <c r="B55" s="1062"/>
      <c r="C55" s="679" t="s">
        <v>548</v>
      </c>
      <c r="D55" s="679" t="s">
        <v>549</v>
      </c>
      <c r="E55" s="674"/>
      <c r="F55" s="675"/>
      <c r="G55" s="717">
        <v>1</v>
      </c>
    </row>
    <row r="56" spans="2:7" x14ac:dyDescent="0.25">
      <c r="B56" s="1062"/>
      <c r="C56" s="679" t="s">
        <v>69</v>
      </c>
      <c r="D56" s="679" t="s">
        <v>157</v>
      </c>
      <c r="E56" s="674"/>
      <c r="F56" s="675"/>
      <c r="G56" s="717">
        <v>1</v>
      </c>
    </row>
    <row r="57" spans="2:7" x14ac:dyDescent="0.25">
      <c r="B57" s="1062"/>
      <c r="C57" s="679" t="s">
        <v>91</v>
      </c>
      <c r="D57" s="679" t="s">
        <v>179</v>
      </c>
      <c r="E57" s="674"/>
      <c r="F57" s="675"/>
      <c r="G57" s="717">
        <v>1</v>
      </c>
    </row>
    <row r="58" spans="2:7" x14ac:dyDescent="0.25">
      <c r="B58" s="1062"/>
      <c r="C58" s="679" t="s">
        <v>88</v>
      </c>
      <c r="D58" s="679" t="s">
        <v>176</v>
      </c>
      <c r="E58" s="674"/>
      <c r="F58" s="675"/>
      <c r="G58" s="717">
        <v>1</v>
      </c>
    </row>
    <row r="59" spans="2:7" x14ac:dyDescent="0.25">
      <c r="B59" s="1062"/>
      <c r="C59" s="679" t="s">
        <v>96</v>
      </c>
      <c r="D59" s="679" t="s">
        <v>184</v>
      </c>
      <c r="E59" s="674"/>
      <c r="F59" s="675"/>
      <c r="G59" s="717">
        <v>1</v>
      </c>
    </row>
    <row r="60" spans="2:7" ht="15.75" thickBot="1" x14ac:dyDescent="0.3">
      <c r="B60" s="1063"/>
      <c r="C60" s="679" t="s">
        <v>95</v>
      </c>
      <c r="D60" s="679" t="s">
        <v>183</v>
      </c>
      <c r="E60" s="674"/>
      <c r="F60" s="675"/>
      <c r="G60" s="717">
        <v>1</v>
      </c>
    </row>
    <row r="61" spans="2:7" ht="15.75" thickBot="1" x14ac:dyDescent="0.3">
      <c r="B61" s="1055" t="s">
        <v>644</v>
      </c>
      <c r="C61" s="1064"/>
      <c r="D61" s="1065"/>
      <c r="E61" s="680"/>
      <c r="F61" s="681"/>
      <c r="G61" s="718">
        <v>35</v>
      </c>
    </row>
    <row r="62" spans="2:7" ht="15.75" thickBot="1" x14ac:dyDescent="0.3">
      <c r="B62" s="671" t="s">
        <v>1002</v>
      </c>
      <c r="C62" s="679" t="s">
        <v>35</v>
      </c>
      <c r="D62" s="679" t="s">
        <v>121</v>
      </c>
      <c r="E62" s="674"/>
      <c r="F62" s="675"/>
      <c r="G62" s="717">
        <v>1</v>
      </c>
    </row>
    <row r="63" spans="2:7" ht="15.75" thickBot="1" x14ac:dyDescent="0.3">
      <c r="B63" s="1055" t="s">
        <v>1012</v>
      </c>
      <c r="C63" s="1056"/>
      <c r="D63" s="1057"/>
      <c r="E63" s="680"/>
      <c r="F63" s="681"/>
      <c r="G63" s="718">
        <v>1</v>
      </c>
    </row>
    <row r="64" spans="2:7" ht="15.75" thickBot="1" x14ac:dyDescent="0.3">
      <c r="B64" s="1058" t="s">
        <v>213</v>
      </c>
      <c r="C64" s="1059"/>
      <c r="D64" s="1060"/>
      <c r="E64" s="682"/>
      <c r="F64" s="683"/>
      <c r="G64" s="720">
        <v>50</v>
      </c>
    </row>
  </sheetData>
  <mergeCells count="9">
    <mergeCell ref="B63:D63"/>
    <mergeCell ref="B64:D64"/>
    <mergeCell ref="B9:B19"/>
    <mergeCell ref="B20:D20"/>
    <mergeCell ref="B21:B22"/>
    <mergeCell ref="B23:D23"/>
    <mergeCell ref="B25:D25"/>
    <mergeCell ref="B26:B60"/>
    <mergeCell ref="B61:D61"/>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K30" sqref="K30"/>
    </sheetView>
  </sheetViews>
  <sheetFormatPr defaultRowHeight="15" x14ac:dyDescent="0.25"/>
  <cols>
    <col min="1" max="1" width="12.85546875" style="113"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1" customWidth="1"/>
    <col min="24" max="24" width="15.28515625" customWidth="1"/>
  </cols>
  <sheetData>
    <row r="1" spans="1:61" s="1" customFormat="1" ht="36" x14ac:dyDescent="0.25">
      <c r="A1" s="216"/>
      <c r="B1" s="187"/>
      <c r="C1" s="187"/>
      <c r="D1" s="187"/>
      <c r="E1" s="187"/>
      <c r="F1" s="187"/>
      <c r="G1" s="187"/>
      <c r="H1" s="187"/>
      <c r="I1" s="187"/>
      <c r="J1" s="187"/>
      <c r="K1" s="187"/>
      <c r="L1" s="187"/>
      <c r="M1" s="187"/>
      <c r="N1" s="187"/>
      <c r="O1" s="187"/>
      <c r="P1" s="187"/>
      <c r="Q1" s="187"/>
      <c r="R1" s="187"/>
      <c r="S1" s="187"/>
      <c r="T1" s="217"/>
      <c r="U1" s="217"/>
      <c r="V1" s="217"/>
      <c r="W1" s="218"/>
      <c r="X1" s="183"/>
      <c r="Y1" s="183"/>
      <c r="BH1" s="68"/>
      <c r="BI1" s="68"/>
    </row>
    <row r="2" spans="1:61" s="1" customFormat="1" ht="36" x14ac:dyDescent="0.25">
      <c r="A2" s="1066" t="s">
        <v>785</v>
      </c>
      <c r="B2" s="1067"/>
      <c r="C2" s="1067"/>
      <c r="D2" s="187"/>
      <c r="E2" s="187"/>
      <c r="F2" s="187"/>
      <c r="G2" s="187"/>
      <c r="H2" s="187"/>
      <c r="I2" s="187"/>
      <c r="J2" s="187"/>
      <c r="K2" s="187"/>
      <c r="L2" s="187"/>
      <c r="M2" s="187"/>
      <c r="N2" s="187"/>
      <c r="O2" s="187"/>
      <c r="P2" s="187"/>
      <c r="Q2" s="187"/>
      <c r="R2" s="187"/>
      <c r="S2" s="187"/>
      <c r="T2" s="217"/>
      <c r="U2" s="217"/>
      <c r="V2" s="217"/>
      <c r="W2" s="218"/>
      <c r="X2" s="188"/>
      <c r="Y2" s="189"/>
      <c r="BH2" s="68"/>
      <c r="BI2" s="68"/>
    </row>
    <row r="3" spans="1:61" s="19" customFormat="1" ht="18" customHeight="1" x14ac:dyDescent="0.25">
      <c r="A3" s="1013">
        <f>Report_Date</f>
        <v>42856</v>
      </c>
      <c r="B3" s="1014"/>
      <c r="C3" s="1014"/>
      <c r="D3" s="1014"/>
      <c r="E3" s="1014"/>
      <c r="F3" s="1014"/>
      <c r="G3" s="1014"/>
      <c r="H3" s="1014"/>
      <c r="I3" s="1014"/>
      <c r="J3" s="1014"/>
      <c r="K3" s="1014"/>
      <c r="L3" s="1014"/>
      <c r="M3" s="1014"/>
      <c r="N3" s="1014"/>
      <c r="O3" s="1014"/>
      <c r="P3" s="1014"/>
      <c r="Q3" s="1014"/>
      <c r="R3" s="1014"/>
      <c r="S3" s="575"/>
      <c r="T3" s="611"/>
      <c r="U3" s="611"/>
      <c r="V3" s="611"/>
      <c r="W3" s="612"/>
      <c r="X3" s="193"/>
      <c r="Y3" s="194"/>
      <c r="BH3" s="69"/>
      <c r="BI3" s="69"/>
    </row>
    <row r="4" spans="1:61" ht="45.75" customHeight="1" x14ac:dyDescent="0.25">
      <c r="A4" s="491" t="s">
        <v>527</v>
      </c>
      <c r="B4" s="219" t="s">
        <v>200</v>
      </c>
      <c r="C4" s="219" t="s">
        <v>211</v>
      </c>
      <c r="D4" s="219" t="s">
        <v>10</v>
      </c>
      <c r="E4" s="219" t="s">
        <v>1</v>
      </c>
      <c r="F4" s="219" t="s">
        <v>9</v>
      </c>
      <c r="G4" s="219" t="s">
        <v>786</v>
      </c>
      <c r="H4" s="492" t="s">
        <v>525</v>
      </c>
      <c r="I4" s="492" t="s">
        <v>526</v>
      </c>
      <c r="J4" s="220" t="s">
        <v>787</v>
      </c>
      <c r="K4" s="220" t="s">
        <v>788</v>
      </c>
      <c r="L4" s="220" t="s">
        <v>789</v>
      </c>
      <c r="M4" s="221" t="s">
        <v>790</v>
      </c>
      <c r="N4" s="221" t="s">
        <v>791</v>
      </c>
      <c r="O4" s="221" t="s">
        <v>915</v>
      </c>
      <c r="P4" s="474" t="s">
        <v>916</v>
      </c>
      <c r="Q4" s="474" t="s">
        <v>917</v>
      </c>
      <c r="R4" s="474" t="s">
        <v>918</v>
      </c>
      <c r="S4" s="222" t="s">
        <v>792</v>
      </c>
      <c r="T4" s="223" t="s">
        <v>806</v>
      </c>
      <c r="U4" s="223" t="s">
        <v>565</v>
      </c>
      <c r="V4" s="223" t="s">
        <v>346</v>
      </c>
      <c r="W4" s="221" t="s">
        <v>234</v>
      </c>
      <c r="X4" s="221" t="s">
        <v>924</v>
      </c>
      <c r="Y4" s="493" t="s">
        <v>925</v>
      </c>
    </row>
    <row r="5" spans="1:61" x14ac:dyDescent="0.25">
      <c r="A5" s="497">
        <v>42339</v>
      </c>
      <c r="B5" s="332" t="s">
        <v>285</v>
      </c>
      <c r="C5" s="332" t="s">
        <v>293</v>
      </c>
      <c r="D5" s="332" t="s">
        <v>7</v>
      </c>
      <c r="E5" s="347" t="s">
        <v>15</v>
      </c>
      <c r="F5" s="332"/>
      <c r="G5" s="22">
        <v>1</v>
      </c>
      <c r="H5" s="332"/>
      <c r="I5" s="332"/>
      <c r="J5" s="22"/>
      <c r="K5" s="22"/>
      <c r="L5" s="22"/>
      <c r="M5" s="22"/>
      <c r="N5" s="22"/>
      <c r="O5" s="332"/>
      <c r="P5" s="332"/>
      <c r="Q5" s="332"/>
      <c r="R5" s="521">
        <v>757</v>
      </c>
      <c r="S5" s="477"/>
      <c r="T5" s="477">
        <f ca="1">IF(Data_Shelter_t[[#This Row],[Status]]="Open",Data_Shelter_t[[#This Row],[HH Covered]],0)</f>
        <v>0</v>
      </c>
      <c r="U5" s="477"/>
      <c r="V5" s="479" t="str">
        <f ca="1">IFERROR(OFFSET(Camp_List[Status],MATCH(Data_Shelter_t[[#This Row],[Camp Name]],Camp_List[Camp Name],0)-1,0,1,1),"")</f>
        <v/>
      </c>
      <c r="W5" s="480" t="str">
        <f ca="1">IFERROR(Data_Shelter_t[[#This Row],[HH Covered]]/OFFSET(Camp_List[HH],MATCH(Data_Shelter_t[[#This Row],[Camp Name]],Camp_List[Camp Name],0)-1,0,1,1),"")</f>
        <v/>
      </c>
      <c r="X5" s="477">
        <f>Data_Shelter_t[[#This Row],['# of Permanent House Planned (Target)]]+Data_Shelter_t[[#This Row],['# of Individual Shelter Planned (Target)]]</f>
        <v>0</v>
      </c>
      <c r="Y5" s="499">
        <f>Data_Shelter_t[[#This Row],['# of Permanent House Built]]+Data_Shelter_t[[#This Row],['# of Individual Shelter Built]]</f>
        <v>0</v>
      </c>
    </row>
    <row r="6" spans="1:61" x14ac:dyDescent="0.25">
      <c r="A6" s="497">
        <v>42339</v>
      </c>
      <c r="B6" s="332" t="s">
        <v>285</v>
      </c>
      <c r="C6" s="332" t="s">
        <v>293</v>
      </c>
      <c r="D6" s="332" t="s">
        <v>7</v>
      </c>
      <c r="E6" s="347" t="s">
        <v>14</v>
      </c>
      <c r="F6" s="332"/>
      <c r="G6" s="22">
        <v>1</v>
      </c>
      <c r="H6" s="332"/>
      <c r="I6" s="332"/>
      <c r="J6" s="22"/>
      <c r="K6" s="22"/>
      <c r="L6" s="22"/>
      <c r="M6" s="22"/>
      <c r="N6" s="22"/>
      <c r="O6" s="332"/>
      <c r="P6" s="332"/>
      <c r="Q6" s="332"/>
      <c r="R6" s="521">
        <v>248</v>
      </c>
      <c r="S6" s="477"/>
      <c r="T6" s="477">
        <f ca="1">IF(Data_Shelter_t[[#This Row],[Status]]="Open",Data_Shelter_t[[#This Row],[HH Covered]],0)</f>
        <v>0</v>
      </c>
      <c r="U6" s="477"/>
      <c r="V6" s="479" t="str">
        <f ca="1">IFERROR(OFFSET(Camp_List[Status],MATCH(Data_Shelter_t[[#This Row],[Camp Name]],Camp_List[Camp Name],0)-1,0,1,1),"")</f>
        <v/>
      </c>
      <c r="W6" s="480" t="str">
        <f ca="1">IFERROR(Data_Shelter_t[[#This Row],[HH Covered]]/OFFSET(Camp_List[HH],MATCH(Data_Shelter_t[[#This Row],[Camp Name]],Camp_List[Camp Name],0)-1,0,1,1),"")</f>
        <v/>
      </c>
      <c r="X6" s="477">
        <f>Data_Shelter_t[[#This Row],['# of Permanent House Planned (Target)]]+Data_Shelter_t[[#This Row],['# of Individual Shelter Planned (Target)]]</f>
        <v>0</v>
      </c>
      <c r="Y6" s="499">
        <f>Data_Shelter_t[[#This Row],['# of Permanent House Built]]+Data_Shelter_t[[#This Row],['# of Individual Shelter Built]]</f>
        <v>0</v>
      </c>
    </row>
    <row r="7" spans="1:61" x14ac:dyDescent="0.25">
      <c r="A7" s="497">
        <v>42339</v>
      </c>
      <c r="B7" s="332" t="s">
        <v>285</v>
      </c>
      <c r="C7" s="332" t="s">
        <v>293</v>
      </c>
      <c r="D7" s="332" t="s">
        <v>7</v>
      </c>
      <c r="E7" s="347" t="s">
        <v>19</v>
      </c>
      <c r="F7" s="332"/>
      <c r="G7" s="22"/>
      <c r="H7" s="332"/>
      <c r="I7" s="332"/>
      <c r="J7" s="22"/>
      <c r="K7" s="22"/>
      <c r="L7" s="22"/>
      <c r="M7" s="22"/>
      <c r="N7" s="22"/>
      <c r="O7" s="332"/>
      <c r="P7" s="521">
        <v>151</v>
      </c>
      <c r="Q7" s="332"/>
      <c r="R7" s="477"/>
      <c r="S7" s="477"/>
      <c r="T7" s="477">
        <f ca="1">IF(Data_Shelter_t[[#This Row],[Status]]="Open",Data_Shelter_t[[#This Row],[HH Covered]],0)</f>
        <v>0</v>
      </c>
      <c r="U7" s="477"/>
      <c r="V7" s="479" t="str">
        <f ca="1">IFERROR(OFFSET(Camp_List[Status],MATCH(Data_Shelter_t[[#This Row],[Camp Name]],Camp_List[Camp Name],0)-1,0,1,1),"")</f>
        <v/>
      </c>
      <c r="W7" s="480" t="str">
        <f ca="1">IFERROR(Data_Shelter_t[[#This Row],[HH Covered]]/OFFSET(Camp_List[HH],MATCH(Data_Shelter_t[[#This Row],[Camp Name]],Camp_List[Camp Name],0)-1,0,1,1),"")</f>
        <v/>
      </c>
      <c r="X7" s="477">
        <f>Data_Shelter_t[[#This Row],['# of Permanent House Planned (Target)]]+Data_Shelter_t[[#This Row],['# of Individual Shelter Planned (Target)]]</f>
        <v>151</v>
      </c>
      <c r="Y7" s="499">
        <f>Data_Shelter_t[[#This Row],['# of Permanent House Built]]+Data_Shelter_t[[#This Row],['# of Individual Shelter Built]]</f>
        <v>0</v>
      </c>
    </row>
    <row r="8" spans="1:61" x14ac:dyDescent="0.25">
      <c r="A8" s="496">
        <v>42268</v>
      </c>
      <c r="B8" s="331" t="s">
        <v>285</v>
      </c>
      <c r="C8" s="331" t="s">
        <v>285</v>
      </c>
      <c r="D8" s="331" t="s">
        <v>7</v>
      </c>
      <c r="E8" s="333" t="s">
        <v>15</v>
      </c>
      <c r="F8" s="22" t="s">
        <v>54</v>
      </c>
      <c r="G8" s="22">
        <v>1</v>
      </c>
      <c r="H8" s="22">
        <v>17</v>
      </c>
      <c r="I8" s="22">
        <v>17</v>
      </c>
      <c r="J8" s="22"/>
      <c r="K8" s="22"/>
      <c r="L8" s="22"/>
      <c r="M8" s="22"/>
      <c r="N8" s="22"/>
      <c r="O8" s="22"/>
      <c r="P8" s="332"/>
      <c r="Q8" s="332"/>
      <c r="R8" s="477"/>
      <c r="S8" s="477">
        <v>0</v>
      </c>
      <c r="T8" s="477">
        <f ca="1">IF(Data_Shelter_t[[#This Row],[Status]]="Open",Data_Shelter_t[[#This Row],[HH Covered]],0)</f>
        <v>0</v>
      </c>
      <c r="U8" s="477"/>
      <c r="V8" s="479" t="str">
        <f ca="1">IFERROR(OFFSET(Camp_List[Status],MATCH(Data_Shelter_t[[#This Row],[Camp Name]],Camp_List[Camp Name],0)-1,0,1,1),"")</f>
        <v>Relocated</v>
      </c>
      <c r="W8" s="480">
        <f ca="1">IFERROR(Data_Shelter_t[[#This Row],[HH Covered]]/OFFSET(Camp_List[HH],MATCH(Data_Shelter_t[[#This Row],[Camp Name]],Camp_List[Camp Name],0)-1,0,1,1),"")</f>
        <v>0</v>
      </c>
      <c r="X8" s="477">
        <f>Data_Shelter_t[[#This Row],['# of Permanent House Planned (Target)]]+Data_Shelter_t[[#This Row],['# of Individual Shelter Planned (Target)]]</f>
        <v>0</v>
      </c>
      <c r="Y8" s="499">
        <f>Data_Shelter_t[[#This Row],['# of Permanent House Built]]+Data_Shelter_t[[#This Row],['# of Individual Shelter Built]]</f>
        <v>0</v>
      </c>
    </row>
    <row r="9" spans="1:61" x14ac:dyDescent="0.25">
      <c r="A9" s="496">
        <v>42186</v>
      </c>
      <c r="B9" s="331" t="s">
        <v>293</v>
      </c>
      <c r="C9" s="331" t="s">
        <v>293</v>
      </c>
      <c r="D9" s="331" t="s">
        <v>7</v>
      </c>
      <c r="E9" s="333" t="s">
        <v>607</v>
      </c>
      <c r="F9" s="331" t="s">
        <v>923</v>
      </c>
      <c r="G9" s="29">
        <v>1</v>
      </c>
      <c r="H9" s="331"/>
      <c r="I9" s="331"/>
      <c r="J9" s="29"/>
      <c r="K9" s="29"/>
      <c r="L9" s="29"/>
      <c r="M9" s="29">
        <v>53</v>
      </c>
      <c r="N9" s="29"/>
      <c r="O9" s="331"/>
      <c r="P9" s="331"/>
      <c r="Q9" s="331"/>
      <c r="R9" s="114"/>
      <c r="S9" s="114">
        <v>0</v>
      </c>
      <c r="T9" s="114">
        <f ca="1">IF(Data_Shelter_t[[#This Row],[Status]]="Open",Data_Shelter_t[[#This Row],[HH Covered]],0)</f>
        <v>0</v>
      </c>
      <c r="U9" s="477" t="s">
        <v>927</v>
      </c>
      <c r="V9" s="479" t="str">
        <f ca="1">IFERROR(OFFSET(Camp_List[Status],MATCH(Data_Shelter_t[[#This Row],[Camp Name]],Camp_List[Camp Name],0)-1,0,1,1),"")</f>
        <v/>
      </c>
      <c r="W9" s="480" t="str">
        <f ca="1">IFERROR(Data_Shelter_t[[#This Row],[HH Covered]]/OFFSET(Camp_List[HH],MATCH(Data_Shelter_t[[#This Row],[Camp Name]],Camp_List[Camp Name],0)-1,0,1,1),"")</f>
        <v/>
      </c>
      <c r="X9" s="22">
        <f>Data_Shelter_t[[#This Row],['# of Permanent House Planned (Target)]]+Data_Shelter_t[[#This Row],['# of Individual Shelter Planned (Target)]]</f>
        <v>53</v>
      </c>
      <c r="Y9" s="495">
        <f>Data_Shelter_t[[#This Row],['# of Permanent House Built]]+Data_Shelter_t[[#This Row],['# of Individual Shelter Built]]</f>
        <v>0</v>
      </c>
    </row>
    <row r="10" spans="1:61" x14ac:dyDescent="0.25">
      <c r="A10" s="496">
        <v>42186</v>
      </c>
      <c r="B10" s="331" t="s">
        <v>293</v>
      </c>
      <c r="C10" s="331" t="s">
        <v>293</v>
      </c>
      <c r="D10" s="331" t="s">
        <v>7</v>
      </c>
      <c r="E10" s="333" t="s">
        <v>11</v>
      </c>
      <c r="F10" s="331" t="s">
        <v>922</v>
      </c>
      <c r="G10" s="29">
        <v>1</v>
      </c>
      <c r="H10" s="331"/>
      <c r="I10" s="331"/>
      <c r="J10" s="29"/>
      <c r="K10" s="29"/>
      <c r="L10" s="29"/>
      <c r="M10" s="29">
        <v>4</v>
      </c>
      <c r="N10" s="29">
        <v>4</v>
      </c>
      <c r="O10" s="331"/>
      <c r="P10" s="331"/>
      <c r="Q10" s="331"/>
      <c r="R10" s="114"/>
      <c r="S10" s="114">
        <v>4</v>
      </c>
      <c r="T10" s="114">
        <f ca="1">IF(Data_Shelter_t[[#This Row],[Status]]="Open",Data_Shelter_t[[#This Row],[HH Covered]],0)</f>
        <v>0</v>
      </c>
      <c r="U10" s="477" t="s">
        <v>927</v>
      </c>
      <c r="V10" s="479" t="str">
        <f ca="1">IFERROR(OFFSET(Camp_List[Status],MATCH(Data_Shelter_t[[#This Row],[Camp Name]],Camp_List[Camp Name],0)-1,0,1,1),"")</f>
        <v/>
      </c>
      <c r="W10" s="480" t="str">
        <f ca="1">IFERROR(Data_Shelter_t[[#This Row],[HH Covered]]/OFFSET(Camp_List[HH],MATCH(Data_Shelter_t[[#This Row],[Camp Name]],Camp_List[Camp Name],0)-1,0,1,1),"")</f>
        <v/>
      </c>
      <c r="X10" s="22">
        <f>Data_Shelter_t[[#This Row],['# of Permanent House Planned (Target)]]+Data_Shelter_t[[#This Row],['# of Individual Shelter Planned (Target)]]</f>
        <v>4</v>
      </c>
      <c r="Y10" s="498">
        <f>Data_Shelter_t[[#This Row],['# of Permanent House Built]]+Data_Shelter_t[[#This Row],['# of Individual Shelter Built]]</f>
        <v>4</v>
      </c>
    </row>
    <row r="11" spans="1:61" x14ac:dyDescent="0.25">
      <c r="A11" s="496">
        <v>42186</v>
      </c>
      <c r="B11" s="331" t="s">
        <v>293</v>
      </c>
      <c r="C11" s="331" t="s">
        <v>293</v>
      </c>
      <c r="D11" s="331" t="s">
        <v>7</v>
      </c>
      <c r="E11" s="333" t="s">
        <v>607</v>
      </c>
      <c r="F11" s="331" t="s">
        <v>58</v>
      </c>
      <c r="G11" s="29">
        <v>1</v>
      </c>
      <c r="H11" s="331"/>
      <c r="I11" s="331"/>
      <c r="J11" s="29"/>
      <c r="K11" s="29"/>
      <c r="L11" s="29"/>
      <c r="M11" s="29">
        <v>47</v>
      </c>
      <c r="N11" s="29"/>
      <c r="O11" s="331"/>
      <c r="P11" s="331"/>
      <c r="Q11" s="331"/>
      <c r="R11" s="114"/>
      <c r="S11" s="114">
        <v>0</v>
      </c>
      <c r="T11" s="114">
        <f ca="1">IF(Data_Shelter_t[[#This Row],[Status]]="Open",Data_Shelter_t[[#This Row],[HH Covered]],0)</f>
        <v>0</v>
      </c>
      <c r="U11" s="477" t="s">
        <v>145</v>
      </c>
      <c r="V11" s="479" t="str">
        <f ca="1">IFERROR(OFFSET(Camp_List[Status],MATCH(Data_Shelter_t[[#This Row],[Camp Name]],Camp_List[Camp Name],0)-1,0,1,1),"")</f>
        <v>Open</v>
      </c>
      <c r="W11" s="480">
        <f ca="1">IFERROR(Data_Shelter_t[[#This Row],[HH Covered]]/OFFSET(Camp_List[HH],MATCH(Data_Shelter_t[[#This Row],[Camp Name]],Camp_List[Camp Name],0)-1,0,1,1),"")</f>
        <v>0</v>
      </c>
      <c r="X11" s="22">
        <f>Data_Shelter_t[[#This Row],['# of Permanent House Planned (Target)]]+Data_Shelter_t[[#This Row],['# of Individual Shelter Planned (Target)]]</f>
        <v>47</v>
      </c>
      <c r="Y11" s="495">
        <f>Data_Shelter_t[[#This Row],['# of Permanent House Built]]+Data_Shelter_t[[#This Row],['# of Individual Shelter Built]]</f>
        <v>0</v>
      </c>
    </row>
    <row r="12" spans="1:61" x14ac:dyDescent="0.25">
      <c r="A12" s="496">
        <v>42186</v>
      </c>
      <c r="B12" s="331" t="s">
        <v>293</v>
      </c>
      <c r="C12" s="331" t="s">
        <v>293</v>
      </c>
      <c r="D12" s="331" t="s">
        <v>7</v>
      </c>
      <c r="E12" s="333" t="s">
        <v>14</v>
      </c>
      <c r="F12" s="331" t="s">
        <v>42</v>
      </c>
      <c r="G12" s="29">
        <v>1</v>
      </c>
      <c r="H12" s="331"/>
      <c r="I12" s="331"/>
      <c r="J12" s="29"/>
      <c r="K12" s="29"/>
      <c r="L12" s="29"/>
      <c r="M12" s="29"/>
      <c r="N12" s="29"/>
      <c r="O12" s="331"/>
      <c r="P12" s="114">
        <v>112</v>
      </c>
      <c r="Q12" s="114">
        <v>112</v>
      </c>
      <c r="R12" s="114"/>
      <c r="S12" s="114">
        <v>112</v>
      </c>
      <c r="T12" s="114">
        <f ca="1">IF(Data_Shelter_t[[#This Row],[Status]]="Open",Data_Shelter_t[[#This Row],[HH Covered]],0)</f>
        <v>112</v>
      </c>
      <c r="U12" s="477" t="s">
        <v>128</v>
      </c>
      <c r="V12" s="479" t="str">
        <f ca="1">IFERROR(OFFSET(Camp_List[Status],MATCH(Data_Shelter_t[[#This Row],[Camp Name]],Camp_List[Camp Name],0)-1,0,1,1),"")</f>
        <v>Open</v>
      </c>
      <c r="W12" s="480">
        <f ca="1">IFERROR(Data_Shelter_t[[#This Row],[HH Covered]]/OFFSET(Camp_List[HH],MATCH(Data_Shelter_t[[#This Row],[Camp Name]],Camp_List[Camp Name],0)-1,0,1,1),"")</f>
        <v>0.11067193675889328</v>
      </c>
      <c r="X12" s="22">
        <f>Data_Shelter_t[[#This Row],['# of Permanent House Planned (Target)]]+Data_Shelter_t[[#This Row],['# of Individual Shelter Planned (Target)]]</f>
        <v>112</v>
      </c>
      <c r="Y12" s="498">
        <f>Data_Shelter_t[[#This Row],['# of Permanent House Built]]+Data_Shelter_t[[#This Row],['# of Individual Shelter Built]]</f>
        <v>112</v>
      </c>
    </row>
    <row r="13" spans="1:61" x14ac:dyDescent="0.25">
      <c r="A13" s="496">
        <v>42186</v>
      </c>
      <c r="B13" s="331" t="s">
        <v>293</v>
      </c>
      <c r="C13" s="331" t="s">
        <v>293</v>
      </c>
      <c r="D13" s="331" t="s">
        <v>7</v>
      </c>
      <c r="E13" s="333" t="s">
        <v>14</v>
      </c>
      <c r="F13" s="331" t="s">
        <v>41</v>
      </c>
      <c r="G13" s="29">
        <v>1</v>
      </c>
      <c r="H13" s="331"/>
      <c r="I13" s="331"/>
      <c r="J13" s="29"/>
      <c r="K13" s="29"/>
      <c r="L13" s="29"/>
      <c r="M13" s="29"/>
      <c r="N13" s="29"/>
      <c r="O13" s="331"/>
      <c r="P13" s="114">
        <v>660</v>
      </c>
      <c r="Q13" s="114">
        <v>660</v>
      </c>
      <c r="R13" s="114"/>
      <c r="S13" s="114">
        <v>660</v>
      </c>
      <c r="T13" s="114">
        <f ca="1">IF(Data_Shelter_t[[#This Row],[Status]]="Open",Data_Shelter_t[[#This Row],[HH Covered]],0)</f>
        <v>0</v>
      </c>
      <c r="U13" s="477" t="s">
        <v>127</v>
      </c>
      <c r="V13" s="479" t="str">
        <f ca="1">IFERROR(OFFSET(Camp_List[Status],MATCH(Data_Shelter_t[[#This Row],[Camp Name]],Camp_List[Camp Name],0)-1,0,1,1),"")</f>
        <v/>
      </c>
      <c r="W13" s="480" t="str">
        <f ca="1">IFERROR(Data_Shelter_t[[#This Row],[HH Covered]]/OFFSET(Camp_List[HH],MATCH(Data_Shelter_t[[#This Row],[Camp Name]],Camp_List[Camp Name],0)-1,0,1,1),"")</f>
        <v/>
      </c>
      <c r="X13" s="22">
        <f>Data_Shelter_t[[#This Row],['# of Permanent House Planned (Target)]]+Data_Shelter_t[[#This Row],['# of Individual Shelter Planned (Target)]]</f>
        <v>660</v>
      </c>
      <c r="Y13" s="498">
        <f>Data_Shelter_t[[#This Row],['# of Permanent House Built]]+Data_Shelter_t[[#This Row],['# of Individual Shelter Built]]</f>
        <v>660</v>
      </c>
    </row>
    <row r="14" spans="1:61" x14ac:dyDescent="0.25">
      <c r="A14" s="496">
        <v>42186</v>
      </c>
      <c r="B14" s="331" t="s">
        <v>285</v>
      </c>
      <c r="C14" s="331" t="s">
        <v>623</v>
      </c>
      <c r="D14" s="331" t="s">
        <v>7</v>
      </c>
      <c r="E14" s="478" t="s">
        <v>14</v>
      </c>
      <c r="F14" s="22" t="s">
        <v>41</v>
      </c>
      <c r="G14" s="29">
        <v>1</v>
      </c>
      <c r="H14" s="22"/>
      <c r="I14" s="22"/>
      <c r="J14" s="22"/>
      <c r="K14" s="22"/>
      <c r="L14" s="22"/>
      <c r="M14" s="22"/>
      <c r="N14" s="22"/>
      <c r="O14" s="22"/>
      <c r="P14" s="114">
        <v>36</v>
      </c>
      <c r="Q14" s="332"/>
      <c r="R14" s="477"/>
      <c r="S14" s="477">
        <v>0</v>
      </c>
      <c r="T14" s="477">
        <f ca="1">IF(Data_Shelter_t[[#This Row],[Status]]="Open",Data_Shelter_t[[#This Row],[HH Covered]],0)</f>
        <v>0</v>
      </c>
      <c r="U14" s="477" t="s">
        <v>127</v>
      </c>
      <c r="V14" s="479" t="str">
        <f ca="1">IFERROR(OFFSET(Camp_List[Status],MATCH(Data_Shelter_t[[#This Row],[Camp Name]],Camp_List[Camp Name],0)-1,0,1,1),"")</f>
        <v/>
      </c>
      <c r="W14" s="480" t="str">
        <f ca="1">IFERROR(Data_Shelter_t[[#This Row],[HH Covered]]/OFFSET(Camp_List[HH],MATCH(Data_Shelter_t[[#This Row],[Camp Name]],Camp_List[Camp Name],0)-1,0,1,1),"")</f>
        <v/>
      </c>
      <c r="X14" s="22">
        <f>Data_Shelter_t[[#This Row],['# of Permanent House Planned (Target)]]+Data_Shelter_t[[#This Row],['# of Individual Shelter Planned (Target)]]</f>
        <v>36</v>
      </c>
      <c r="Y14" s="498">
        <f>Data_Shelter_t[[#This Row],['# of Permanent House Built]]+Data_Shelter_t[[#This Row],['# of Individual Shelter Built]]</f>
        <v>0</v>
      </c>
    </row>
    <row r="15" spans="1:61" x14ac:dyDescent="0.25">
      <c r="A15" s="496">
        <v>42186</v>
      </c>
      <c r="B15" s="331" t="s">
        <v>293</v>
      </c>
      <c r="C15" s="331" t="s">
        <v>293</v>
      </c>
      <c r="D15" s="331" t="s">
        <v>7</v>
      </c>
      <c r="E15" s="333" t="s">
        <v>18</v>
      </c>
      <c r="F15" s="331" t="s">
        <v>60</v>
      </c>
      <c r="G15" s="29">
        <v>1</v>
      </c>
      <c r="H15" s="331"/>
      <c r="I15" s="331"/>
      <c r="J15" s="29"/>
      <c r="K15" s="29"/>
      <c r="L15" s="29"/>
      <c r="M15" s="29">
        <v>3</v>
      </c>
      <c r="N15" s="29"/>
      <c r="O15" s="331"/>
      <c r="P15" s="331"/>
      <c r="Q15" s="331"/>
      <c r="R15" s="114"/>
      <c r="S15" s="114">
        <v>0</v>
      </c>
      <c r="T15" s="114">
        <f ca="1">IF(Data_Shelter_t[[#This Row],[Status]]="Open",Data_Shelter_t[[#This Row],[HH Covered]],0)</f>
        <v>0</v>
      </c>
      <c r="U15" s="477" t="s">
        <v>148</v>
      </c>
      <c r="V15" s="479" t="str">
        <f ca="1">IFERROR(OFFSET(Camp_List[Status],MATCH(Data_Shelter_t[[#This Row],[Camp Name]],Camp_List[Camp Name],0)-1,0,1,1),"")</f>
        <v>Open</v>
      </c>
      <c r="W15" s="480">
        <f ca="1">IFERROR(Data_Shelter_t[[#This Row],[HH Covered]]/OFFSET(Camp_List[HH],MATCH(Data_Shelter_t[[#This Row],[Camp Name]],Camp_List[Camp Name],0)-1,0,1,1),"")</f>
        <v>0</v>
      </c>
      <c r="X15" s="22">
        <f>Data_Shelter_t[[#This Row],['# of Permanent House Planned (Target)]]+Data_Shelter_t[[#This Row],['# of Individual Shelter Planned (Target)]]</f>
        <v>3</v>
      </c>
      <c r="Y15" s="498">
        <f>Data_Shelter_t[[#This Row],['# of Permanent House Built]]+Data_Shelter_t[[#This Row],['# of Individual Shelter Built]]</f>
        <v>0</v>
      </c>
    </row>
    <row r="16" spans="1:61" x14ac:dyDescent="0.25">
      <c r="A16" s="496">
        <v>42186</v>
      </c>
      <c r="B16" s="331" t="s">
        <v>293</v>
      </c>
      <c r="C16" s="331" t="s">
        <v>293</v>
      </c>
      <c r="D16" s="331" t="s">
        <v>7</v>
      </c>
      <c r="E16" s="333" t="s">
        <v>18</v>
      </c>
      <c r="F16" s="331" t="s">
        <v>59</v>
      </c>
      <c r="G16" s="29">
        <v>1</v>
      </c>
      <c r="H16" s="331"/>
      <c r="I16" s="331"/>
      <c r="J16" s="29"/>
      <c r="K16" s="29"/>
      <c r="L16" s="29"/>
      <c r="M16" s="29">
        <v>59</v>
      </c>
      <c r="N16" s="29"/>
      <c r="O16" s="331"/>
      <c r="P16" s="331"/>
      <c r="Q16" s="331"/>
      <c r="R16" s="114"/>
      <c r="S16" s="114">
        <v>0</v>
      </c>
      <c r="T16" s="114">
        <f ca="1">IF(Data_Shelter_t[[#This Row],[Status]]="Open",Data_Shelter_t[[#This Row],[HH Covered]],0)</f>
        <v>0</v>
      </c>
      <c r="U16" s="477" t="s">
        <v>147</v>
      </c>
      <c r="V16" s="479" t="str">
        <f ca="1">IFERROR(OFFSET(Camp_List[Status],MATCH(Data_Shelter_t[[#This Row],[Camp Name]],Camp_List[Camp Name],0)-1,0,1,1),"")</f>
        <v>Open</v>
      </c>
      <c r="W16" s="480">
        <f ca="1">IFERROR(Data_Shelter_t[[#This Row],[HH Covered]]/OFFSET(Camp_List[HH],MATCH(Data_Shelter_t[[#This Row],[Camp Name]],Camp_List[Camp Name],0)-1,0,1,1),"")</f>
        <v>0</v>
      </c>
      <c r="X16" s="22">
        <f>Data_Shelter_t[[#This Row],['# of Permanent House Planned (Target)]]+Data_Shelter_t[[#This Row],['# of Individual Shelter Planned (Target)]]</f>
        <v>59</v>
      </c>
      <c r="Y16" s="498">
        <f>Data_Shelter_t[[#This Row],['# of Permanent House Built]]+Data_Shelter_t[[#This Row],['# of Individual Shelter Built]]</f>
        <v>0</v>
      </c>
    </row>
    <row r="17" spans="1:25" x14ac:dyDescent="0.25">
      <c r="A17" s="496">
        <v>42186</v>
      </c>
      <c r="B17" s="331" t="s">
        <v>293</v>
      </c>
      <c r="C17" s="331" t="s">
        <v>293</v>
      </c>
      <c r="D17" s="331" t="s">
        <v>7</v>
      </c>
      <c r="E17" s="333" t="s">
        <v>15</v>
      </c>
      <c r="F17" s="331" t="s">
        <v>47</v>
      </c>
      <c r="G17" s="29">
        <v>1</v>
      </c>
      <c r="H17" s="331"/>
      <c r="I17" s="331"/>
      <c r="J17" s="29"/>
      <c r="K17" s="29"/>
      <c r="L17" s="29"/>
      <c r="M17" s="29"/>
      <c r="N17" s="29"/>
      <c r="O17" s="331"/>
      <c r="P17" s="114">
        <v>85</v>
      </c>
      <c r="Q17" s="331"/>
      <c r="R17" s="114"/>
      <c r="S17" s="114">
        <v>0</v>
      </c>
      <c r="T17" s="114">
        <f ca="1">IF(Data_Shelter_t[[#This Row],[Status]]="Open",Data_Shelter_t[[#This Row],[HH Covered]],0)</f>
        <v>0</v>
      </c>
      <c r="U17" s="477" t="s">
        <v>133</v>
      </c>
      <c r="V17" s="479" t="str">
        <f ca="1">IFERROR(OFFSET(Camp_List[Status],MATCH(Data_Shelter_t[[#This Row],[Camp Name]],Camp_List[Camp Name],0)-1,0,1,1),"")</f>
        <v>Open</v>
      </c>
      <c r="W17" s="480">
        <f ca="1">IFERROR(Data_Shelter_t[[#This Row],[HH Covered]]/OFFSET(Camp_List[HH],MATCH(Data_Shelter_t[[#This Row],[Camp Name]],Camp_List[Camp Name],0)-1,0,1,1),"")</f>
        <v>0</v>
      </c>
      <c r="X17" s="477">
        <f>Data_Shelter_t[[#This Row],['# of Permanent House Planned (Target)]]+Data_Shelter_t[[#This Row],['# of Individual Shelter Planned (Target)]]</f>
        <v>85</v>
      </c>
      <c r="Y17" s="499">
        <f>Data_Shelter_t[[#This Row],['# of Permanent House Built]]+Data_Shelter_t[[#This Row],['# of Individual Shelter Built]]</f>
        <v>0</v>
      </c>
    </row>
    <row r="18" spans="1:25" x14ac:dyDescent="0.25">
      <c r="A18" s="496">
        <v>42186</v>
      </c>
      <c r="B18" s="331" t="s">
        <v>285</v>
      </c>
      <c r="C18" s="331" t="s">
        <v>623</v>
      </c>
      <c r="D18" s="331" t="s">
        <v>7</v>
      </c>
      <c r="E18" s="333" t="s">
        <v>14</v>
      </c>
      <c r="F18" s="22" t="s">
        <v>42</v>
      </c>
      <c r="G18" s="22">
        <v>1</v>
      </c>
      <c r="H18" s="22"/>
      <c r="I18" s="22"/>
      <c r="J18" s="22"/>
      <c r="K18" s="22"/>
      <c r="L18" s="22"/>
      <c r="M18" s="22"/>
      <c r="N18" s="22"/>
      <c r="O18" s="22"/>
      <c r="P18" s="477">
        <v>232</v>
      </c>
      <c r="Q18" s="332"/>
      <c r="R18" s="477"/>
      <c r="S18" s="477">
        <v>0</v>
      </c>
      <c r="T18" s="477">
        <f ca="1">IF(Data_Shelter_t[[#This Row],[Status]]="Open",Data_Shelter_t[[#This Row],[HH Covered]],0)</f>
        <v>0</v>
      </c>
      <c r="U18" s="477" t="s">
        <v>128</v>
      </c>
      <c r="V18" s="479" t="str">
        <f ca="1">IFERROR(OFFSET(Camp_List[Status],MATCH(Data_Shelter_t[[#This Row],[Camp Name]],Camp_List[Camp Name],0)-1,0,1,1),"")</f>
        <v>Open</v>
      </c>
      <c r="W18" s="480">
        <f ca="1">IFERROR(Data_Shelter_t[[#This Row],[HH Covered]]/OFFSET(Camp_List[HH],MATCH(Data_Shelter_t[[#This Row],[Camp Name]],Camp_List[Camp Name],0)-1,0,1,1),"")</f>
        <v>0</v>
      </c>
      <c r="X18" s="477">
        <f>Data_Shelter_t[[#This Row],['# of Permanent House Planned (Target)]]+Data_Shelter_t[[#This Row],['# of Individual Shelter Planned (Target)]]</f>
        <v>232</v>
      </c>
      <c r="Y18" s="499">
        <f>Data_Shelter_t[[#This Row],['# of Permanent House Built]]+Data_Shelter_t[[#This Row],['# of Individual Shelter Built]]</f>
        <v>0</v>
      </c>
    </row>
    <row r="19" spans="1:25" x14ac:dyDescent="0.25">
      <c r="A19" s="496">
        <v>42186</v>
      </c>
      <c r="B19" s="331" t="s">
        <v>293</v>
      </c>
      <c r="C19" s="331" t="s">
        <v>293</v>
      </c>
      <c r="D19" s="331" t="s">
        <v>7</v>
      </c>
      <c r="E19" s="333" t="s">
        <v>14</v>
      </c>
      <c r="F19" s="22" t="s">
        <v>42</v>
      </c>
      <c r="G19" s="22">
        <v>1</v>
      </c>
      <c r="H19" s="22"/>
      <c r="I19" s="22"/>
      <c r="J19" s="22"/>
      <c r="K19" s="22"/>
      <c r="L19" s="22"/>
      <c r="M19" s="22"/>
      <c r="N19" s="22"/>
      <c r="O19" s="22"/>
      <c r="P19" s="477">
        <v>647</v>
      </c>
      <c r="Q19" s="332"/>
      <c r="R19" s="477"/>
      <c r="S19" s="477">
        <v>0</v>
      </c>
      <c r="T19" s="477">
        <f ca="1">IF(Data_Shelter_t[[#This Row],[Status]]="Open",Data_Shelter_t[[#This Row],[HH Covered]],0)</f>
        <v>0</v>
      </c>
      <c r="U19" s="477" t="s">
        <v>128</v>
      </c>
      <c r="V19" s="479" t="str">
        <f ca="1">IFERROR(OFFSET(Camp_List[Status],MATCH(Data_Shelter_t[[#This Row],[Camp Name]],Camp_List[Camp Name],0)-1,0,1,1),"")</f>
        <v>Open</v>
      </c>
      <c r="W19" s="480">
        <f ca="1">IFERROR(Data_Shelter_t[[#This Row],[HH Covered]]/OFFSET(Camp_List[HH],MATCH(Data_Shelter_t[[#This Row],[Camp Name]],Camp_List[Camp Name],0)-1,0,1,1),"")</f>
        <v>0</v>
      </c>
      <c r="X19" s="477">
        <f>Data_Shelter_t[[#This Row],['# of Permanent House Planned (Target)]]+Data_Shelter_t[[#This Row],['# of Individual Shelter Planned (Target)]]</f>
        <v>647</v>
      </c>
      <c r="Y19" s="499">
        <f>Data_Shelter_t[[#This Row],['# of Permanent House Built]]+Data_Shelter_t[[#This Row],['# of Individual Shelter Built]]</f>
        <v>0</v>
      </c>
    </row>
    <row r="20" spans="1:25" x14ac:dyDescent="0.25">
      <c r="A20" s="496">
        <v>42186</v>
      </c>
      <c r="B20" s="331" t="s">
        <v>293</v>
      </c>
      <c r="C20" s="331" t="s">
        <v>293</v>
      </c>
      <c r="D20" s="331" t="s">
        <v>7</v>
      </c>
      <c r="E20" s="333" t="s">
        <v>14</v>
      </c>
      <c r="F20" s="22" t="s">
        <v>41</v>
      </c>
      <c r="G20" s="22">
        <v>1</v>
      </c>
      <c r="H20" s="22"/>
      <c r="I20" s="22"/>
      <c r="J20" s="22"/>
      <c r="K20" s="22"/>
      <c r="L20" s="22"/>
      <c r="M20" s="22"/>
      <c r="N20" s="22"/>
      <c r="O20" s="22"/>
      <c r="P20" s="477">
        <v>642</v>
      </c>
      <c r="Q20" s="332"/>
      <c r="R20" s="477"/>
      <c r="S20" s="477">
        <v>0</v>
      </c>
      <c r="T20" s="477">
        <f ca="1">IF(Data_Shelter_t[[#This Row],[Status]]="Open",Data_Shelter_t[[#This Row],[HH Covered]],0)</f>
        <v>0</v>
      </c>
      <c r="U20" s="477" t="s">
        <v>127</v>
      </c>
      <c r="V20" s="479" t="str">
        <f ca="1">IFERROR(OFFSET(Camp_List[Status],MATCH(Data_Shelter_t[[#This Row],[Camp Name]],Camp_List[Camp Name],0)-1,0,1,1),"")</f>
        <v/>
      </c>
      <c r="W20" s="480" t="str">
        <f ca="1">IFERROR(Data_Shelter_t[[#This Row],[HH Covered]]/OFFSET(Camp_List[HH],MATCH(Data_Shelter_t[[#This Row],[Camp Name]],Camp_List[Camp Name],0)-1,0,1,1),"")</f>
        <v/>
      </c>
      <c r="X20" s="477">
        <f>Data_Shelter_t[[#This Row],['# of Permanent House Planned (Target)]]+Data_Shelter_t[[#This Row],['# of Individual Shelter Planned (Target)]]</f>
        <v>642</v>
      </c>
      <c r="Y20" s="499">
        <f>Data_Shelter_t[[#This Row],['# of Permanent House Built]]+Data_Shelter_t[[#This Row],['# of Individual Shelter Built]]</f>
        <v>0</v>
      </c>
    </row>
    <row r="21" spans="1:25" s="5" customFormat="1" x14ac:dyDescent="0.25">
      <c r="A21" s="496">
        <v>42186</v>
      </c>
      <c r="B21" s="331" t="s">
        <v>293</v>
      </c>
      <c r="C21" s="331" t="s">
        <v>293</v>
      </c>
      <c r="D21" s="331" t="s">
        <v>7</v>
      </c>
      <c r="E21" s="333" t="s">
        <v>1002</v>
      </c>
      <c r="F21" s="331" t="s">
        <v>36</v>
      </c>
      <c r="G21" s="29">
        <v>1</v>
      </c>
      <c r="H21" s="331"/>
      <c r="I21" s="331"/>
      <c r="J21" s="29"/>
      <c r="K21" s="29"/>
      <c r="L21" s="29"/>
      <c r="M21" s="29">
        <v>10</v>
      </c>
      <c r="N21" s="29">
        <v>10</v>
      </c>
      <c r="O21" s="331"/>
      <c r="P21" s="331"/>
      <c r="Q21" s="331"/>
      <c r="R21" s="114"/>
      <c r="S21" s="114">
        <v>10</v>
      </c>
      <c r="T21" s="114">
        <f ca="1">IF(Data_Shelter_t[[#This Row],[Status]]="Open",Data_Shelter_t[[#This Row],[HH Covered]],0)</f>
        <v>0</v>
      </c>
      <c r="U21" s="477" t="s">
        <v>122</v>
      </c>
      <c r="V21" s="479" t="str">
        <f ca="1">IFERROR(OFFSET(Camp_List[Status],MATCH(Data_Shelter_t[[#This Row],[Camp Name]],Camp_List[Camp Name],0)-1,0,1,1),"")</f>
        <v>Relocated</v>
      </c>
      <c r="W21" s="480">
        <f ca="1">IFERROR(Data_Shelter_t[[#This Row],[HH Covered]]/OFFSET(Camp_List[HH],MATCH(Data_Shelter_t[[#This Row],[Camp Name]],Camp_List[Camp Name],0)-1,0,1,1),"")</f>
        <v>1</v>
      </c>
      <c r="X21" s="22">
        <f>Data_Shelter_t[[#This Row],['# of Permanent House Planned (Target)]]+Data_Shelter_t[[#This Row],['# of Individual Shelter Planned (Target)]]</f>
        <v>10</v>
      </c>
      <c r="Y21" s="498">
        <f>Data_Shelter_t[[#This Row],['# of Permanent House Built]]+Data_Shelter_t[[#This Row],['# of Individual Shelter Built]]</f>
        <v>10</v>
      </c>
    </row>
    <row r="22" spans="1:25" s="5" customFormat="1" x14ac:dyDescent="0.25">
      <c r="A22" s="496">
        <v>42186</v>
      </c>
      <c r="B22" s="331" t="s">
        <v>293</v>
      </c>
      <c r="C22" s="331" t="s">
        <v>293</v>
      </c>
      <c r="D22" s="331" t="s">
        <v>7</v>
      </c>
      <c r="E22" s="333" t="s">
        <v>1002</v>
      </c>
      <c r="F22" s="331" t="s">
        <v>626</v>
      </c>
      <c r="G22" s="29">
        <v>1</v>
      </c>
      <c r="H22" s="331"/>
      <c r="I22" s="331"/>
      <c r="J22" s="29"/>
      <c r="K22" s="29"/>
      <c r="L22" s="29"/>
      <c r="M22" s="29">
        <v>32</v>
      </c>
      <c r="N22" s="29">
        <v>32</v>
      </c>
      <c r="O22" s="331"/>
      <c r="P22" s="331"/>
      <c r="Q22" s="331"/>
      <c r="R22" s="114"/>
      <c r="S22" s="114">
        <v>32</v>
      </c>
      <c r="T22" s="114">
        <f ca="1">IF(Data_Shelter_t[[#This Row],[Status]]="Open",Data_Shelter_t[[#This Row],[HH Covered]],0)</f>
        <v>0</v>
      </c>
      <c r="U22" s="477" t="s">
        <v>627</v>
      </c>
      <c r="V22" s="479" t="str">
        <f ca="1">IFERROR(OFFSET(Camp_List[Status],MATCH(Data_Shelter_t[[#This Row],[Camp Name]],Camp_List[Camp Name],0)-1,0,1,1),"")</f>
        <v>Relocated</v>
      </c>
      <c r="W22" s="480">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498">
        <f>Data_Shelter_t[[#This Row],['# of Permanent House Built]]+Data_Shelter_t[[#This Row],['# of Individual Shelter Built]]</f>
        <v>32</v>
      </c>
    </row>
    <row r="23" spans="1:25" x14ac:dyDescent="0.25">
      <c r="A23" s="496">
        <v>42186</v>
      </c>
      <c r="B23" s="331" t="s">
        <v>293</v>
      </c>
      <c r="C23" s="331" t="s">
        <v>293</v>
      </c>
      <c r="D23" s="331" t="s">
        <v>7</v>
      </c>
      <c r="E23" s="333" t="s">
        <v>866</v>
      </c>
      <c r="F23" s="331" t="s">
        <v>37</v>
      </c>
      <c r="G23" s="29">
        <v>1</v>
      </c>
      <c r="H23" s="331"/>
      <c r="I23" s="331"/>
      <c r="J23" s="29"/>
      <c r="K23" s="29"/>
      <c r="L23" s="29"/>
      <c r="M23" s="29">
        <v>42</v>
      </c>
      <c r="N23" s="29"/>
      <c r="O23" s="331"/>
      <c r="P23" s="331"/>
      <c r="Q23" s="331"/>
      <c r="R23" s="114"/>
      <c r="S23" s="114">
        <v>0</v>
      </c>
      <c r="T23" s="114">
        <f ca="1">IF(Data_Shelter_t[[#This Row],[Status]]="Open",Data_Shelter_t[[#This Row],[HH Covered]],0)</f>
        <v>0</v>
      </c>
      <c r="U23" s="477" t="s">
        <v>123</v>
      </c>
      <c r="V23" s="479" t="str">
        <f ca="1">IFERROR(OFFSET(Camp_List[Status],MATCH(Data_Shelter_t[[#This Row],[Camp Name]],Camp_List[Camp Name],0)-1,0,1,1),"")</f>
        <v>Relocated</v>
      </c>
      <c r="W23" s="480">
        <f ca="1">IFERROR(Data_Shelter_t[[#This Row],[HH Covered]]/OFFSET(Camp_List[HH],MATCH(Data_Shelter_t[[#This Row],[Camp Name]],Camp_List[Camp Name],0)-1,0,1,1),"")</f>
        <v>0</v>
      </c>
      <c r="X23" s="22">
        <f>Data_Shelter_t[[#This Row],['# of Permanent House Planned (Target)]]+Data_Shelter_t[[#This Row],['# of Individual Shelter Planned (Target)]]</f>
        <v>42</v>
      </c>
      <c r="Y23" s="498">
        <f>Data_Shelter_t[[#This Row],['# of Permanent House Built]]+Data_Shelter_t[[#This Row],['# of Individual Shelter Built]]</f>
        <v>0</v>
      </c>
    </row>
    <row r="24" spans="1:25" x14ac:dyDescent="0.25">
      <c r="A24" s="496">
        <v>42186</v>
      </c>
      <c r="B24" s="331" t="s">
        <v>285</v>
      </c>
      <c r="C24" s="331" t="s">
        <v>285</v>
      </c>
      <c r="D24" s="331" t="s">
        <v>7</v>
      </c>
      <c r="E24" s="333" t="s">
        <v>19</v>
      </c>
      <c r="F24" s="331" t="s">
        <v>78</v>
      </c>
      <c r="G24" s="29">
        <v>1</v>
      </c>
      <c r="H24" s="331"/>
      <c r="I24" s="331"/>
      <c r="J24" s="29"/>
      <c r="K24" s="29"/>
      <c r="L24" s="790"/>
      <c r="M24" s="29">
        <v>72</v>
      </c>
      <c r="N24" s="29">
        <v>72</v>
      </c>
      <c r="O24" s="331"/>
      <c r="P24" s="331"/>
      <c r="Q24" s="331"/>
      <c r="R24" s="114"/>
      <c r="S24" s="114">
        <v>72</v>
      </c>
      <c r="T24" s="114">
        <f ca="1">IF(Data_Shelter_t[[#This Row],[Status]]="Open",Data_Shelter_t[[#This Row],[HH Covered]],0)</f>
        <v>0</v>
      </c>
      <c r="U24" s="477" t="s">
        <v>166</v>
      </c>
      <c r="V24" s="479" t="str">
        <f ca="1">IFERROR(OFFSET(Camp_List[Status],MATCH(Data_Shelter_t[[#This Row],[Camp Name]],Camp_List[Camp Name],0)-1,0,1,1),"")</f>
        <v>Relocated</v>
      </c>
      <c r="W24" s="480">
        <f ca="1">IFERROR(Data_Shelter_t[[#This Row],[HH Covered]]/OFFSET(Camp_List[HH],MATCH(Data_Shelter_t[[#This Row],[Camp Name]],Camp_List[Camp Name],0)-1,0,1,1),"")</f>
        <v>1</v>
      </c>
      <c r="X24" s="22">
        <f>Data_Shelter_t[[#This Row],['# of Permanent House Planned (Target)]]+Data_Shelter_t[[#This Row],['# of Individual Shelter Planned (Target)]]</f>
        <v>72</v>
      </c>
      <c r="Y24" s="498">
        <f>Data_Shelter_t[[#This Row],['# of Permanent House Built]]+Data_Shelter_t[[#This Row],['# of Individual Shelter Built]]</f>
        <v>72</v>
      </c>
    </row>
    <row r="25" spans="1:25" x14ac:dyDescent="0.25">
      <c r="A25" s="496">
        <v>42186</v>
      </c>
      <c r="B25" s="331" t="s">
        <v>293</v>
      </c>
      <c r="C25" s="331" t="s">
        <v>293</v>
      </c>
      <c r="D25" s="331" t="s">
        <v>7</v>
      </c>
      <c r="E25" s="333" t="s">
        <v>15</v>
      </c>
      <c r="F25" s="331" t="s">
        <v>46</v>
      </c>
      <c r="G25" s="29">
        <v>1</v>
      </c>
      <c r="H25" s="331"/>
      <c r="I25" s="331"/>
      <c r="J25" s="29"/>
      <c r="K25" s="29"/>
      <c r="L25" s="29"/>
      <c r="M25" s="29"/>
      <c r="N25" s="29"/>
      <c r="O25" s="331"/>
      <c r="P25" s="114">
        <v>26</v>
      </c>
      <c r="Q25" s="114">
        <v>26</v>
      </c>
      <c r="R25" s="114"/>
      <c r="S25" s="114">
        <v>26</v>
      </c>
      <c r="T25" s="114">
        <f ca="1">IF(Data_Shelter_t[[#This Row],[Status]]="Open",Data_Shelter_t[[#This Row],[HH Covered]],0)</f>
        <v>0</v>
      </c>
      <c r="U25" s="477" t="s">
        <v>132</v>
      </c>
      <c r="V25" s="479" t="str">
        <f ca="1">IFERROR(OFFSET(Camp_List[Status],MATCH(Data_Shelter_t[[#This Row],[Camp Name]],Camp_List[Camp Name],0)-1,0,1,1),"")</f>
        <v>Returned</v>
      </c>
      <c r="W25" s="480">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5">
        <f>Data_Shelter_t[[#This Row],['# of Permanent House Built]]+Data_Shelter_t[[#This Row],['# of Individual Shelter Built]]</f>
        <v>26</v>
      </c>
    </row>
    <row r="26" spans="1:25" s="90" customFormat="1" x14ac:dyDescent="0.25">
      <c r="A26" s="496">
        <v>42186</v>
      </c>
      <c r="B26" s="331" t="s">
        <v>293</v>
      </c>
      <c r="C26" s="331" t="s">
        <v>293</v>
      </c>
      <c r="D26" s="331" t="s">
        <v>7</v>
      </c>
      <c r="E26" s="333" t="s">
        <v>15</v>
      </c>
      <c r="F26" s="331" t="s">
        <v>46</v>
      </c>
      <c r="G26" s="29">
        <v>1</v>
      </c>
      <c r="H26" s="331"/>
      <c r="I26" s="331"/>
      <c r="J26" s="790"/>
      <c r="K26" s="29"/>
      <c r="L26" s="29"/>
      <c r="M26" s="29"/>
      <c r="N26" s="29"/>
      <c r="O26" s="331"/>
      <c r="P26" s="114">
        <v>14</v>
      </c>
      <c r="Q26" s="114">
        <v>14</v>
      </c>
      <c r="R26" s="114"/>
      <c r="S26" s="114">
        <v>14</v>
      </c>
      <c r="T26" s="114">
        <f ca="1">IF(Data_Shelter_t[[#This Row],[Status]]="Open",Data_Shelter_t[[#This Row],[HH Covered]],0)</f>
        <v>0</v>
      </c>
      <c r="U26" s="477" t="s">
        <v>135</v>
      </c>
      <c r="V26" s="479" t="str">
        <f ca="1">IFERROR(OFFSET(Camp_List[Status],MATCH(Data_Shelter_t[[#This Row],[Camp Name]],Camp_List[Camp Name],0)-1,0,1,1),"")</f>
        <v>Returned</v>
      </c>
      <c r="W26" s="480">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5">
        <f>Data_Shelter_t[[#This Row],['# of Permanent House Built]]+Data_Shelter_t[[#This Row],['# of Individual Shelter Built]]</f>
        <v>14</v>
      </c>
    </row>
    <row r="27" spans="1:25" x14ac:dyDescent="0.25">
      <c r="A27" s="496">
        <v>42186</v>
      </c>
      <c r="B27" s="331" t="s">
        <v>293</v>
      </c>
      <c r="C27" s="331" t="s">
        <v>293</v>
      </c>
      <c r="D27" s="331" t="s">
        <v>7</v>
      </c>
      <c r="E27" s="333" t="s">
        <v>15</v>
      </c>
      <c r="F27" s="331" t="s">
        <v>48</v>
      </c>
      <c r="G27" s="29">
        <v>1</v>
      </c>
      <c r="H27" s="331"/>
      <c r="I27" s="331"/>
      <c r="J27" s="29"/>
      <c r="K27" s="29"/>
      <c r="L27" s="29"/>
      <c r="M27" s="29"/>
      <c r="N27" s="29"/>
      <c r="O27" s="331"/>
      <c r="P27" s="114">
        <v>48</v>
      </c>
      <c r="Q27" s="114">
        <v>48</v>
      </c>
      <c r="R27" s="114"/>
      <c r="S27" s="114">
        <v>48</v>
      </c>
      <c r="T27" s="114">
        <f ca="1">IF(Data_Shelter_t[[#This Row],[Status]]="Open",Data_Shelter_t[[#This Row],[HH Covered]],0)</f>
        <v>0</v>
      </c>
      <c r="U27" s="477" t="s">
        <v>134</v>
      </c>
      <c r="V27" s="479" t="str">
        <f ca="1">IFERROR(OFFSET(Camp_List[Status],MATCH(Data_Shelter_t[[#This Row],[Camp Name]],Camp_List[Camp Name],0)-1,0,1,1),"")</f>
        <v>Returned</v>
      </c>
      <c r="W27" s="480">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5">
        <f>Data_Shelter_t[[#This Row],['# of Permanent House Built]]+Data_Shelter_t[[#This Row],['# of Individual Shelter Built]]</f>
        <v>48</v>
      </c>
    </row>
    <row r="28" spans="1:25" x14ac:dyDescent="0.25">
      <c r="A28" s="496">
        <v>42186</v>
      </c>
      <c r="B28" s="331" t="s">
        <v>293</v>
      </c>
      <c r="C28" s="331" t="s">
        <v>293</v>
      </c>
      <c r="D28" s="331" t="s">
        <v>7</v>
      </c>
      <c r="E28" s="333" t="s">
        <v>15</v>
      </c>
      <c r="F28" s="331" t="s">
        <v>44</v>
      </c>
      <c r="G28" s="29">
        <v>1</v>
      </c>
      <c r="H28" s="331"/>
      <c r="I28" s="331"/>
      <c r="J28" s="29"/>
      <c r="K28" s="29"/>
      <c r="L28" s="29"/>
      <c r="M28" s="29"/>
      <c r="N28" s="29"/>
      <c r="O28" s="331"/>
      <c r="P28" s="114">
        <v>18</v>
      </c>
      <c r="Q28" s="114">
        <v>18</v>
      </c>
      <c r="R28" s="114"/>
      <c r="S28" s="114">
        <v>18</v>
      </c>
      <c r="T28" s="114">
        <f ca="1">IF(Data_Shelter_t[[#This Row],[Status]]="Open",Data_Shelter_t[[#This Row],[HH Covered]],0)</f>
        <v>0</v>
      </c>
      <c r="U28" s="477" t="s">
        <v>130</v>
      </c>
      <c r="V28" s="479" t="str">
        <f ca="1">IFERROR(OFFSET(Camp_List[Status],MATCH(Data_Shelter_t[[#This Row],[Camp Name]],Camp_List[Camp Name],0)-1,0,1,1),"")</f>
        <v>Returned</v>
      </c>
      <c r="W28" s="480">
        <f ca="1">IFERROR(Data_Shelter_t[[#This Row],[HH Covered]]/OFFSET(Camp_List[HH],MATCH(Data_Shelter_t[[#This Row],[Camp Name]],Camp_List[Camp Name],0)-1,0,1,1),"")</f>
        <v>1</v>
      </c>
      <c r="X28" s="22">
        <f>Data_Shelter_t[[#This Row],['# of Permanent House Planned (Target)]]+Data_Shelter_t[[#This Row],['# of Individual Shelter Planned (Target)]]</f>
        <v>18</v>
      </c>
      <c r="Y28" s="495">
        <f>Data_Shelter_t[[#This Row],['# of Permanent House Built]]+Data_Shelter_t[[#This Row],['# of Individual Shelter Built]]</f>
        <v>18</v>
      </c>
    </row>
    <row r="29" spans="1:25" s="5" customFormat="1" x14ac:dyDescent="0.25">
      <c r="A29" s="496">
        <v>42186</v>
      </c>
      <c r="B29" s="331" t="s">
        <v>293</v>
      </c>
      <c r="C29" s="331" t="s">
        <v>293</v>
      </c>
      <c r="D29" s="331" t="s">
        <v>7</v>
      </c>
      <c r="E29" s="333" t="s">
        <v>15</v>
      </c>
      <c r="F29" s="331" t="s">
        <v>45</v>
      </c>
      <c r="G29" s="29">
        <v>1</v>
      </c>
      <c r="H29" s="331"/>
      <c r="I29" s="331"/>
      <c r="J29" s="29"/>
      <c r="K29" s="29"/>
      <c r="L29" s="29"/>
      <c r="M29" s="29"/>
      <c r="N29" s="29"/>
      <c r="O29" s="331"/>
      <c r="P29" s="114">
        <v>62</v>
      </c>
      <c r="Q29" s="114">
        <v>62</v>
      </c>
      <c r="R29" s="114"/>
      <c r="S29" s="114">
        <v>62</v>
      </c>
      <c r="T29" s="114">
        <f ca="1">IF(Data_Shelter_t[[#This Row],[Status]]="Open",Data_Shelter_t[[#This Row],[HH Covered]],0)</f>
        <v>0</v>
      </c>
      <c r="U29" s="477" t="s">
        <v>131</v>
      </c>
      <c r="V29" s="479" t="str">
        <f ca="1">IFERROR(OFFSET(Camp_List[Status],MATCH(Data_Shelter_t[[#This Row],[Camp Name]],Camp_List[Camp Name],0)-1,0,1,1),"")</f>
        <v>Returned</v>
      </c>
      <c r="W29" s="480">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5">
        <f>Data_Shelter_t[[#This Row],['# of Permanent House Built]]+Data_Shelter_t[[#This Row],['# of Individual Shelter Built]]</f>
        <v>62</v>
      </c>
    </row>
    <row r="30" spans="1:25" x14ac:dyDescent="0.25">
      <c r="A30" s="496">
        <v>42186</v>
      </c>
      <c r="B30" s="331" t="s">
        <v>293</v>
      </c>
      <c r="C30" s="331" t="s">
        <v>293</v>
      </c>
      <c r="D30" s="331" t="s">
        <v>7</v>
      </c>
      <c r="E30" s="333" t="s">
        <v>11</v>
      </c>
      <c r="F30" s="331" t="s">
        <v>30</v>
      </c>
      <c r="G30" s="790">
        <v>1</v>
      </c>
      <c r="H30" s="331"/>
      <c r="I30" s="331"/>
      <c r="J30" s="790"/>
      <c r="K30" s="790" t="s">
        <v>773</v>
      </c>
      <c r="L30" s="790"/>
      <c r="M30" s="790"/>
      <c r="N30" s="790"/>
      <c r="O30" s="331"/>
      <c r="P30" s="114">
        <v>44</v>
      </c>
      <c r="Q30" s="114">
        <v>44</v>
      </c>
      <c r="R30" s="114"/>
      <c r="S30" s="114">
        <v>44</v>
      </c>
      <c r="T30" s="114">
        <f ca="1">IF(Data_Shelter_t[[#This Row],[Status]]="Open",Data_Shelter_t[[#This Row],[HH Covered]],0)</f>
        <v>0</v>
      </c>
      <c r="U30" s="477" t="s">
        <v>116</v>
      </c>
      <c r="V30" s="479" t="str">
        <f ca="1">IFERROR(OFFSET(Camp_List[Status],MATCH(Data_Shelter_t[[#This Row],[Camp Name]],Camp_List[Camp Name],0)-1,0,1,1),"")</f>
        <v>Returned</v>
      </c>
      <c r="W30" s="480">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498">
        <f>Data_Shelter_t[[#This Row],['# of Permanent House Built]]+Data_Shelter_t[[#This Row],['# of Individual Shelter Built]]</f>
        <v>44</v>
      </c>
    </row>
    <row r="31" spans="1:25" x14ac:dyDescent="0.25">
      <c r="A31" s="496">
        <v>42186</v>
      </c>
      <c r="B31" s="331" t="s">
        <v>293</v>
      </c>
      <c r="C31" s="331" t="s">
        <v>293</v>
      </c>
      <c r="D31" s="331" t="s">
        <v>7</v>
      </c>
      <c r="E31" s="333" t="s">
        <v>11</v>
      </c>
      <c r="F31" s="331" t="s">
        <v>25</v>
      </c>
      <c r="G31" s="29">
        <v>1</v>
      </c>
      <c r="H31" s="331"/>
      <c r="I31" s="331"/>
      <c r="J31" s="790"/>
      <c r="K31" s="29"/>
      <c r="L31" s="29"/>
      <c r="M31" s="29"/>
      <c r="N31" s="29"/>
      <c r="O31" s="331"/>
      <c r="P31" s="114">
        <v>19</v>
      </c>
      <c r="Q31" s="114">
        <v>19</v>
      </c>
      <c r="R31" s="114"/>
      <c r="S31" s="114">
        <v>19</v>
      </c>
      <c r="T31" s="114">
        <f ca="1">IF(Data_Shelter_t[[#This Row],[Status]]="Open",Data_Shelter_t[[#This Row],[HH Covered]],0)</f>
        <v>0</v>
      </c>
      <c r="U31" s="477" t="s">
        <v>111</v>
      </c>
      <c r="V31" s="479" t="str">
        <f ca="1">IFERROR(OFFSET(Camp_List[Status],MATCH(Data_Shelter_t[[#This Row],[Camp Name]],Camp_List[Camp Name],0)-1,0,1,1),"")</f>
        <v>Returned</v>
      </c>
      <c r="W31" s="480">
        <f ca="1">IFERROR(Data_Shelter_t[[#This Row],[HH Covered]]/OFFSET(Camp_List[HH],MATCH(Data_Shelter_t[[#This Row],[Camp Name]],Camp_List[Camp Name],0)-1,0,1,1),"")</f>
        <v>1</v>
      </c>
      <c r="X31" s="22">
        <f>Data_Shelter_t[[#This Row],['# of Permanent House Planned (Target)]]+Data_Shelter_t[[#This Row],['# of Individual Shelter Planned (Target)]]</f>
        <v>19</v>
      </c>
      <c r="Y31" s="498">
        <f>Data_Shelter_t[[#This Row],['# of Permanent House Built]]+Data_Shelter_t[[#This Row],['# of Individual Shelter Built]]</f>
        <v>19</v>
      </c>
    </row>
    <row r="32" spans="1:25" x14ac:dyDescent="0.25">
      <c r="A32" s="496">
        <v>42186</v>
      </c>
      <c r="B32" s="331" t="s">
        <v>293</v>
      </c>
      <c r="C32" s="331" t="s">
        <v>293</v>
      </c>
      <c r="D32" s="331" t="s">
        <v>7</v>
      </c>
      <c r="E32" s="333" t="s">
        <v>11</v>
      </c>
      <c r="F32" s="331" t="s">
        <v>32</v>
      </c>
      <c r="G32" s="790">
        <v>1</v>
      </c>
      <c r="H32" s="331"/>
      <c r="I32" s="331"/>
      <c r="J32" s="790"/>
      <c r="K32" s="790"/>
      <c r="L32" s="790"/>
      <c r="M32" s="790"/>
      <c r="N32" s="790"/>
      <c r="O32" s="331"/>
      <c r="P32" s="114">
        <v>110</v>
      </c>
      <c r="Q32" s="114">
        <v>110</v>
      </c>
      <c r="R32" s="114"/>
      <c r="S32" s="114">
        <v>110</v>
      </c>
      <c r="T32" s="114">
        <f ca="1">IF(Data_Shelter_t[[#This Row],[Status]]="Open",Data_Shelter_t[[#This Row],[HH Covered]],0)</f>
        <v>0</v>
      </c>
      <c r="U32" s="477" t="s">
        <v>118</v>
      </c>
      <c r="V32" s="479" t="str">
        <f ca="1">IFERROR(OFFSET(Camp_List[Status],MATCH(Data_Shelter_t[[#This Row],[Camp Name]],Camp_List[Camp Name],0)-1,0,1,1),"")</f>
        <v>Returned</v>
      </c>
      <c r="W32" s="480">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498">
        <f>Data_Shelter_t[[#This Row],['# of Permanent House Built]]+Data_Shelter_t[[#This Row],['# of Individual Shelter Built]]</f>
        <v>110</v>
      </c>
    </row>
    <row r="33" spans="1:25" s="90" customFormat="1" x14ac:dyDescent="0.25">
      <c r="A33" s="496">
        <v>42186</v>
      </c>
      <c r="B33" s="331" t="s">
        <v>293</v>
      </c>
      <c r="C33" s="331" t="s">
        <v>293</v>
      </c>
      <c r="D33" s="331" t="s">
        <v>7</v>
      </c>
      <c r="E33" s="333" t="s">
        <v>11</v>
      </c>
      <c r="F33" s="331" t="s">
        <v>27</v>
      </c>
      <c r="G33" s="29">
        <v>1</v>
      </c>
      <c r="H33" s="331"/>
      <c r="I33" s="331"/>
      <c r="J33" s="29"/>
      <c r="K33" s="29"/>
      <c r="L33" s="29"/>
      <c r="M33" s="29"/>
      <c r="N33" s="29"/>
      <c r="O33" s="331"/>
      <c r="P33" s="114">
        <v>43</v>
      </c>
      <c r="Q33" s="114">
        <v>43</v>
      </c>
      <c r="R33" s="114"/>
      <c r="S33" s="114">
        <v>43</v>
      </c>
      <c r="T33" s="114">
        <f ca="1">IF(Data_Shelter_t[[#This Row],[Status]]="Open",Data_Shelter_t[[#This Row],[HH Covered]],0)</f>
        <v>0</v>
      </c>
      <c r="U33" s="477" t="s">
        <v>113</v>
      </c>
      <c r="V33" s="479" t="str">
        <f ca="1">IFERROR(OFFSET(Camp_List[Status],MATCH(Data_Shelter_t[[#This Row],[Camp Name]],Camp_List[Camp Name],0)-1,0,1,1),"")</f>
        <v>Returned</v>
      </c>
      <c r="W33" s="480">
        <f ca="1">IFERROR(Data_Shelter_t[[#This Row],[HH Covered]]/OFFSET(Camp_List[HH],MATCH(Data_Shelter_t[[#This Row],[Camp Name]],Camp_List[Camp Name],0)-1,0,1,1),"")</f>
        <v>0.5</v>
      </c>
      <c r="X33" s="22">
        <f>Data_Shelter_t[[#This Row],['# of Permanent House Planned (Target)]]+Data_Shelter_t[[#This Row],['# of Individual Shelter Planned (Target)]]</f>
        <v>43</v>
      </c>
      <c r="Y33" s="498">
        <f>Data_Shelter_t[[#This Row],['# of Permanent House Built]]+Data_Shelter_t[[#This Row],['# of Individual Shelter Built]]</f>
        <v>43</v>
      </c>
    </row>
    <row r="34" spans="1:25" s="90" customFormat="1" x14ac:dyDescent="0.25">
      <c r="A34" s="496">
        <v>42186</v>
      </c>
      <c r="B34" s="331" t="s">
        <v>293</v>
      </c>
      <c r="C34" s="331" t="s">
        <v>293</v>
      </c>
      <c r="D34" s="331" t="s">
        <v>7</v>
      </c>
      <c r="E34" s="333" t="s">
        <v>11</v>
      </c>
      <c r="F34" s="331" t="s">
        <v>557</v>
      </c>
      <c r="G34" s="29">
        <v>1</v>
      </c>
      <c r="H34" s="331"/>
      <c r="I34" s="331"/>
      <c r="J34" s="29"/>
      <c r="K34" s="29"/>
      <c r="L34" s="29"/>
      <c r="M34" s="29">
        <v>18</v>
      </c>
      <c r="N34" s="29">
        <v>18</v>
      </c>
      <c r="O34" s="331"/>
      <c r="P34" s="331"/>
      <c r="Q34" s="331"/>
      <c r="R34" s="114"/>
      <c r="S34" s="114">
        <v>18</v>
      </c>
      <c r="T34" s="114">
        <f ca="1">IF(Data_Shelter_t[[#This Row],[Status]]="Open",Data_Shelter_t[[#This Row],[HH Covered]],0)</f>
        <v>0</v>
      </c>
      <c r="U34" s="477" t="s">
        <v>558</v>
      </c>
      <c r="V34" s="479" t="str">
        <f ca="1">IFERROR(OFFSET(Camp_List[Status],MATCH(Data_Shelter_t[[#This Row],[Camp Name]],Camp_List[Camp Name],0)-1,0,1,1),"")</f>
        <v>Returned</v>
      </c>
      <c r="W34" s="480">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498">
        <f>Data_Shelter_t[[#This Row],['# of Permanent House Built]]+Data_Shelter_t[[#This Row],['# of Individual Shelter Built]]</f>
        <v>18</v>
      </c>
    </row>
    <row r="35" spans="1:25" x14ac:dyDescent="0.25">
      <c r="A35" s="496">
        <v>42186</v>
      </c>
      <c r="B35" s="331" t="s">
        <v>293</v>
      </c>
      <c r="C35" s="331" t="s">
        <v>293</v>
      </c>
      <c r="D35" s="331" t="s">
        <v>7</v>
      </c>
      <c r="E35" s="333" t="s">
        <v>11</v>
      </c>
      <c r="F35" s="331" t="s">
        <v>26</v>
      </c>
      <c r="G35" s="29">
        <v>1</v>
      </c>
      <c r="H35" s="331"/>
      <c r="I35" s="331"/>
      <c r="J35" s="29"/>
      <c r="K35" s="29"/>
      <c r="L35" s="29"/>
      <c r="M35" s="29"/>
      <c r="N35" s="29"/>
      <c r="O35" s="331"/>
      <c r="P35" s="114">
        <v>96</v>
      </c>
      <c r="Q35" s="114">
        <v>96</v>
      </c>
      <c r="R35" s="114"/>
      <c r="S35" s="114">
        <v>96</v>
      </c>
      <c r="T35" s="114">
        <f ca="1">IF(Data_Shelter_t[[#This Row],[Status]]="Open",Data_Shelter_t[[#This Row],[HH Covered]],0)</f>
        <v>0</v>
      </c>
      <c r="U35" s="477" t="s">
        <v>112</v>
      </c>
      <c r="V35" s="479" t="str">
        <f ca="1">IFERROR(OFFSET(Camp_List[Status],MATCH(Data_Shelter_t[[#This Row],[Camp Name]],Camp_List[Camp Name],0)-1,0,1,1),"")</f>
        <v>Returned</v>
      </c>
      <c r="W35" s="480">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498">
        <f>Data_Shelter_t[[#This Row],['# of Permanent House Built]]+Data_Shelter_t[[#This Row],['# of Individual Shelter Built]]</f>
        <v>96</v>
      </c>
    </row>
    <row r="36" spans="1:25" s="90" customFormat="1" x14ac:dyDescent="0.25">
      <c r="A36" s="496">
        <v>42186</v>
      </c>
      <c r="B36" s="331" t="s">
        <v>293</v>
      </c>
      <c r="C36" s="331" t="s">
        <v>293</v>
      </c>
      <c r="D36" s="331" t="s">
        <v>7</v>
      </c>
      <c r="E36" s="333" t="s">
        <v>11</v>
      </c>
      <c r="F36" s="331" t="s">
        <v>29</v>
      </c>
      <c r="G36" s="29">
        <v>1</v>
      </c>
      <c r="H36" s="331"/>
      <c r="I36" s="331"/>
      <c r="J36" s="29"/>
      <c r="K36" s="29"/>
      <c r="L36" s="29"/>
      <c r="M36" s="29"/>
      <c r="N36" s="29"/>
      <c r="O36" s="331"/>
      <c r="P36" s="114">
        <v>139</v>
      </c>
      <c r="Q36" s="114">
        <v>139</v>
      </c>
      <c r="R36" s="114"/>
      <c r="S36" s="114">
        <v>139</v>
      </c>
      <c r="T36" s="114">
        <f ca="1">IF(Data_Shelter_t[[#This Row],[Status]]="Open",Data_Shelter_t[[#This Row],[HH Covered]],0)</f>
        <v>0</v>
      </c>
      <c r="U36" s="477" t="s">
        <v>115</v>
      </c>
      <c r="V36" s="479" t="str">
        <f ca="1">IFERROR(OFFSET(Camp_List[Status],MATCH(Data_Shelter_t[[#This Row],[Camp Name]],Camp_List[Camp Name],0)-1,0,1,1),"")</f>
        <v>Returned</v>
      </c>
      <c r="W36" s="480">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498">
        <f>Data_Shelter_t[[#This Row],['# of Permanent House Built]]+Data_Shelter_t[[#This Row],['# of Individual Shelter Built]]</f>
        <v>139</v>
      </c>
    </row>
    <row r="37" spans="1:25" x14ac:dyDescent="0.25">
      <c r="A37" s="496">
        <v>42186</v>
      </c>
      <c r="B37" s="331" t="s">
        <v>293</v>
      </c>
      <c r="C37" s="331" t="s">
        <v>293</v>
      </c>
      <c r="D37" s="331" t="s">
        <v>7</v>
      </c>
      <c r="E37" s="333" t="s">
        <v>1002</v>
      </c>
      <c r="F37" s="331" t="s">
        <v>33</v>
      </c>
      <c r="G37" s="29">
        <v>1</v>
      </c>
      <c r="H37" s="331"/>
      <c r="I37" s="331"/>
      <c r="J37" s="29"/>
      <c r="K37" s="29"/>
      <c r="L37" s="29"/>
      <c r="M37" s="29"/>
      <c r="N37" s="29"/>
      <c r="O37" s="331"/>
      <c r="P37" s="114">
        <v>102</v>
      </c>
      <c r="Q37" s="114">
        <v>102</v>
      </c>
      <c r="R37" s="114"/>
      <c r="S37" s="114">
        <v>102</v>
      </c>
      <c r="T37" s="114">
        <f ca="1">IF(Data_Shelter_t[[#This Row],[Status]]="Open",Data_Shelter_t[[#This Row],[HH Covered]],0)</f>
        <v>0</v>
      </c>
      <c r="U37" s="477" t="s">
        <v>119</v>
      </c>
      <c r="V37" s="479" t="str">
        <f ca="1">IFERROR(OFFSET(Camp_List[Status],MATCH(Data_Shelter_t[[#This Row],[Camp Name]],Camp_List[Camp Name],0)-1,0,1,1),"")</f>
        <v>Returned</v>
      </c>
      <c r="W37" s="480">
        <f ca="1">IFERROR(Data_Shelter_t[[#This Row],[HH Covered]]/OFFSET(Camp_List[HH],MATCH(Data_Shelter_t[[#This Row],[Camp Name]],Camp_List[Camp Name],0)-1,0,1,1),"")</f>
        <v>0.5</v>
      </c>
      <c r="X37" s="22">
        <f>Data_Shelter_t[[#This Row],['# of Permanent House Planned (Target)]]+Data_Shelter_t[[#This Row],['# of Individual Shelter Planned (Target)]]</f>
        <v>102</v>
      </c>
      <c r="Y37" s="498">
        <f>Data_Shelter_t[[#This Row],['# of Permanent House Built]]+Data_Shelter_t[[#This Row],['# of Individual Shelter Built]]</f>
        <v>102</v>
      </c>
    </row>
    <row r="38" spans="1:25" x14ac:dyDescent="0.25">
      <c r="A38" s="496">
        <v>42186</v>
      </c>
      <c r="B38" s="331" t="s">
        <v>293</v>
      </c>
      <c r="C38" s="331" t="s">
        <v>293</v>
      </c>
      <c r="D38" s="331" t="s">
        <v>7</v>
      </c>
      <c r="E38" s="333" t="s">
        <v>1002</v>
      </c>
      <c r="F38" s="331" t="s">
        <v>34</v>
      </c>
      <c r="G38" s="29">
        <v>1</v>
      </c>
      <c r="H38" s="331"/>
      <c r="I38" s="331"/>
      <c r="J38" s="29"/>
      <c r="K38" s="29"/>
      <c r="L38" s="29"/>
      <c r="M38" s="29"/>
      <c r="N38" s="29"/>
      <c r="O38" s="331"/>
      <c r="P38" s="114">
        <v>182</v>
      </c>
      <c r="Q38" s="114">
        <v>182</v>
      </c>
      <c r="R38" s="114"/>
      <c r="S38" s="114">
        <v>182</v>
      </c>
      <c r="T38" s="114">
        <f ca="1">IF(Data_Shelter_t[[#This Row],[Status]]="Open",Data_Shelter_t[[#This Row],[HH Covered]],0)</f>
        <v>0</v>
      </c>
      <c r="U38" s="477" t="s">
        <v>120</v>
      </c>
      <c r="V38" s="479" t="str">
        <f ca="1">IFERROR(OFFSET(Camp_List[Status],MATCH(Data_Shelter_t[[#This Row],[Camp Name]],Camp_List[Camp Name],0)-1,0,1,1),"")</f>
        <v>Returned</v>
      </c>
      <c r="W38" s="480">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498">
        <f>Data_Shelter_t[[#This Row],['# of Permanent House Built]]+Data_Shelter_t[[#This Row],['# of Individual Shelter Built]]</f>
        <v>182</v>
      </c>
    </row>
    <row r="39" spans="1:25" x14ac:dyDescent="0.25">
      <c r="A39" s="496">
        <v>42186</v>
      </c>
      <c r="B39" s="331" t="s">
        <v>285</v>
      </c>
      <c r="C39" s="331" t="s">
        <v>623</v>
      </c>
      <c r="D39" s="331" t="s">
        <v>7</v>
      </c>
      <c r="E39" s="333" t="s">
        <v>1002</v>
      </c>
      <c r="F39" s="331" t="s">
        <v>33</v>
      </c>
      <c r="G39" s="29">
        <v>1</v>
      </c>
      <c r="H39" s="331"/>
      <c r="I39" s="331"/>
      <c r="J39" s="29"/>
      <c r="K39" s="29"/>
      <c r="L39" s="29"/>
      <c r="M39" s="29"/>
      <c r="N39" s="29"/>
      <c r="O39" s="331"/>
      <c r="P39" s="114">
        <v>102</v>
      </c>
      <c r="Q39" s="331"/>
      <c r="R39" s="114"/>
      <c r="S39" s="114">
        <v>0</v>
      </c>
      <c r="T39" s="114">
        <f ca="1">IF(Data_Shelter_t[[#This Row],[Status]]="Open",Data_Shelter_t[[#This Row],[HH Covered]],0)</f>
        <v>0</v>
      </c>
      <c r="U39" s="477" t="s">
        <v>119</v>
      </c>
      <c r="V39" s="479" t="str">
        <f ca="1">IFERROR(OFFSET(Camp_List[Status],MATCH(Data_Shelter_t[[#This Row],[Camp Name]],Camp_List[Camp Name],0)-1,0,1,1),"")</f>
        <v>Returned</v>
      </c>
      <c r="W39" s="480">
        <f ca="1">IFERROR(Data_Shelter_t[[#This Row],[HH Covered]]/OFFSET(Camp_List[HH],MATCH(Data_Shelter_t[[#This Row],[Camp Name]],Camp_List[Camp Name],0)-1,0,1,1),"")</f>
        <v>0</v>
      </c>
      <c r="X39" s="22">
        <f>Data_Shelter_t[[#This Row],['# of Permanent House Planned (Target)]]+Data_Shelter_t[[#This Row],['# of Individual Shelter Planned (Target)]]</f>
        <v>102</v>
      </c>
      <c r="Y39" s="498">
        <f>Data_Shelter_t[[#This Row],['# of Permanent House Built]]+Data_Shelter_t[[#This Row],['# of Individual Shelter Built]]</f>
        <v>0</v>
      </c>
    </row>
    <row r="40" spans="1:25" x14ac:dyDescent="0.25">
      <c r="A40" s="496">
        <v>42186</v>
      </c>
      <c r="B40" s="331" t="s">
        <v>285</v>
      </c>
      <c r="C40" s="331" t="s">
        <v>623</v>
      </c>
      <c r="D40" s="331" t="s">
        <v>7</v>
      </c>
      <c r="E40" s="333" t="s">
        <v>1002</v>
      </c>
      <c r="F40" s="331" t="s">
        <v>34</v>
      </c>
      <c r="G40" s="29">
        <v>1</v>
      </c>
      <c r="H40" s="331"/>
      <c r="I40" s="331"/>
      <c r="J40" s="29"/>
      <c r="K40" s="29"/>
      <c r="L40" s="29"/>
      <c r="M40" s="29"/>
      <c r="N40" s="29"/>
      <c r="O40" s="331"/>
      <c r="P40" s="114">
        <v>183</v>
      </c>
      <c r="Q40" s="331"/>
      <c r="R40" s="114"/>
      <c r="S40" s="114">
        <v>0</v>
      </c>
      <c r="T40" s="114">
        <f ca="1">IF(Data_Shelter_t[[#This Row],[Status]]="Open",Data_Shelter_t[[#This Row],[HH Covered]],0)</f>
        <v>0</v>
      </c>
      <c r="U40" s="477" t="s">
        <v>120</v>
      </c>
      <c r="V40" s="479" t="str">
        <f ca="1">IFERROR(OFFSET(Camp_List[Status],MATCH(Data_Shelter_t[[#This Row],[Camp Name]],Camp_List[Camp Name],0)-1,0,1,1),"")</f>
        <v>Returned</v>
      </c>
      <c r="W40" s="480">
        <f ca="1">IFERROR(Data_Shelter_t[[#This Row],[HH Covered]]/OFFSET(Camp_List[HH],MATCH(Data_Shelter_t[[#This Row],[Camp Name]],Camp_List[Camp Name],0)-1,0,1,1),"")</f>
        <v>0</v>
      </c>
      <c r="X40" s="22">
        <f>Data_Shelter_t[[#This Row],['# of Permanent House Planned (Target)]]+Data_Shelter_t[[#This Row],['# of Individual Shelter Planned (Target)]]</f>
        <v>183</v>
      </c>
      <c r="Y40" s="498">
        <f>Data_Shelter_t[[#This Row],['# of Permanent House Built]]+Data_Shelter_t[[#This Row],['# of Individual Shelter Built]]</f>
        <v>0</v>
      </c>
    </row>
    <row r="41" spans="1:25" s="5" customFormat="1" x14ac:dyDescent="0.25">
      <c r="A41" s="496">
        <v>42186</v>
      </c>
      <c r="B41" s="331" t="s">
        <v>293</v>
      </c>
      <c r="C41" s="331" t="s">
        <v>293</v>
      </c>
      <c r="D41" s="331" t="s">
        <v>7</v>
      </c>
      <c r="E41" s="333" t="s">
        <v>16</v>
      </c>
      <c r="F41" s="331" t="s">
        <v>56</v>
      </c>
      <c r="G41" s="29">
        <v>1</v>
      </c>
      <c r="H41" s="331"/>
      <c r="I41" s="331"/>
      <c r="J41" s="29"/>
      <c r="K41" s="29"/>
      <c r="L41" s="29"/>
      <c r="M41" s="29"/>
      <c r="N41" s="29"/>
      <c r="O41" s="331"/>
      <c r="P41" s="114">
        <v>32</v>
      </c>
      <c r="Q41" s="114">
        <v>32</v>
      </c>
      <c r="R41" s="114"/>
      <c r="S41" s="114">
        <v>32</v>
      </c>
      <c r="T41" s="114">
        <f ca="1">IF(Data_Shelter_t[[#This Row],[Status]]="Open",Data_Shelter_t[[#This Row],[HH Covered]],0)</f>
        <v>0</v>
      </c>
      <c r="U41" s="477" t="s">
        <v>142</v>
      </c>
      <c r="V41" s="479" t="str">
        <f ca="1">IFERROR(OFFSET(Camp_List[Status],MATCH(Data_Shelter_t[[#This Row],[Camp Name]],Camp_List[Camp Name],0)-1,0,1,1),"")</f>
        <v>Returned</v>
      </c>
      <c r="W41" s="480">
        <f ca="1">IFERROR(Data_Shelter_t[[#This Row],[HH Covered]]/OFFSET(Camp_List[HH],MATCH(Data_Shelter_t[[#This Row],[Camp Name]],Camp_List[Camp Name],0)-1,0,1,1),"")</f>
        <v>1</v>
      </c>
      <c r="X41" s="22">
        <f>Data_Shelter_t[[#This Row],['# of Permanent House Planned (Target)]]+Data_Shelter_t[[#This Row],['# of Individual Shelter Planned (Target)]]</f>
        <v>32</v>
      </c>
      <c r="Y41" s="498">
        <f>Data_Shelter_t[[#This Row],['# of Permanent House Built]]+Data_Shelter_t[[#This Row],['# of Individual Shelter Built]]</f>
        <v>32</v>
      </c>
    </row>
    <row r="42" spans="1:25" x14ac:dyDescent="0.25">
      <c r="A42" s="496">
        <v>42186</v>
      </c>
      <c r="B42" s="331" t="s">
        <v>293</v>
      </c>
      <c r="C42" s="331" t="s">
        <v>293</v>
      </c>
      <c r="D42" s="331" t="s">
        <v>7</v>
      </c>
      <c r="E42" s="333" t="s">
        <v>16</v>
      </c>
      <c r="F42" s="331" t="s">
        <v>55</v>
      </c>
      <c r="G42" s="29">
        <v>1</v>
      </c>
      <c r="H42" s="331"/>
      <c r="I42" s="331"/>
      <c r="J42" s="29"/>
      <c r="K42" s="29"/>
      <c r="L42" s="29"/>
      <c r="M42" s="29"/>
      <c r="N42" s="29"/>
      <c r="O42" s="331"/>
      <c r="P42" s="114">
        <v>56</v>
      </c>
      <c r="Q42" s="114">
        <v>56</v>
      </c>
      <c r="R42" s="114"/>
      <c r="S42" s="114">
        <v>56</v>
      </c>
      <c r="T42" s="114">
        <f ca="1">IF(Data_Shelter_t[[#This Row],[Status]]="Open",Data_Shelter_t[[#This Row],[HH Covered]],0)</f>
        <v>0</v>
      </c>
      <c r="U42" s="477" t="s">
        <v>141</v>
      </c>
      <c r="V42" s="479" t="str">
        <f ca="1">IFERROR(OFFSET(Camp_List[Status],MATCH(Data_Shelter_t[[#This Row],[Camp Name]],Camp_List[Camp Name],0)-1,0,1,1),"")</f>
        <v>Returned</v>
      </c>
      <c r="W42" s="480">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498">
        <f>Data_Shelter_t[[#This Row],['# of Permanent House Built]]+Data_Shelter_t[[#This Row],['# of Individual Shelter Built]]</f>
        <v>56</v>
      </c>
    </row>
    <row r="43" spans="1:25" x14ac:dyDescent="0.25">
      <c r="A43" s="496">
        <v>42186</v>
      </c>
      <c r="B43" s="331" t="s">
        <v>293</v>
      </c>
      <c r="C43" s="331" t="s">
        <v>293</v>
      </c>
      <c r="D43" s="331" t="s">
        <v>7</v>
      </c>
      <c r="E43" s="333" t="s">
        <v>15</v>
      </c>
      <c r="F43" s="331" t="s">
        <v>51</v>
      </c>
      <c r="G43" s="29">
        <v>1</v>
      </c>
      <c r="H43" s="331"/>
      <c r="I43" s="331"/>
      <c r="J43" s="29"/>
      <c r="K43" s="29"/>
      <c r="L43" s="29"/>
      <c r="M43" s="29"/>
      <c r="N43" s="29"/>
      <c r="O43" s="331"/>
      <c r="P43" s="114">
        <v>116</v>
      </c>
      <c r="Q43" s="331"/>
      <c r="R43" s="114"/>
      <c r="S43" s="114">
        <v>0</v>
      </c>
      <c r="T43" s="114">
        <f ca="1">IF(Data_Shelter_t[[#This Row],[Status]]="Open",Data_Shelter_t[[#This Row],[HH Covered]],0)</f>
        <v>0</v>
      </c>
      <c r="U43" s="477" t="s">
        <v>137</v>
      </c>
      <c r="V43" s="479" t="str">
        <f ca="1">IFERROR(OFFSET(Camp_List[Status],MATCH(Data_Shelter_t[[#This Row],[Camp Name]],Camp_List[Camp Name],0)-1,0,1,1),"")</f>
        <v>Returned</v>
      </c>
      <c r="W43" s="480">
        <f ca="1">IFERROR(Data_Shelter_t[[#This Row],[HH Covered]]/OFFSET(Camp_List[HH],MATCH(Data_Shelter_t[[#This Row],[Camp Name]],Camp_List[Camp Name],0)-1,0,1,1),"")</f>
        <v>0</v>
      </c>
      <c r="X43" s="477">
        <f>Data_Shelter_t[[#This Row],['# of Permanent House Planned (Target)]]+Data_Shelter_t[[#This Row],['# of Individual Shelter Planned (Target)]]</f>
        <v>116</v>
      </c>
      <c r="Y43" s="499">
        <f>Data_Shelter_t[[#This Row],['# of Permanent House Built]]+Data_Shelter_t[[#This Row],['# of Individual Shelter Built]]</f>
        <v>0</v>
      </c>
    </row>
    <row r="44" spans="1:25" x14ac:dyDescent="0.25">
      <c r="A44" s="496">
        <v>42186</v>
      </c>
      <c r="B44" s="331" t="s">
        <v>293</v>
      </c>
      <c r="C44" s="331" t="s">
        <v>293</v>
      </c>
      <c r="D44" s="331" t="s">
        <v>7</v>
      </c>
      <c r="E44" s="333" t="s">
        <v>15</v>
      </c>
      <c r="F44" s="331" t="s">
        <v>50</v>
      </c>
      <c r="G44" s="29">
        <v>1</v>
      </c>
      <c r="H44" s="331"/>
      <c r="I44" s="331"/>
      <c r="J44" s="29"/>
      <c r="K44" s="29"/>
      <c r="L44" s="29"/>
      <c r="M44" s="29"/>
      <c r="N44" s="29"/>
      <c r="O44" s="331"/>
      <c r="P44" s="114">
        <v>236</v>
      </c>
      <c r="Q44" s="331"/>
      <c r="R44" s="114"/>
      <c r="S44" s="114">
        <v>0</v>
      </c>
      <c r="T44" s="114">
        <f ca="1">IF(Data_Shelter_t[[#This Row],[Status]]="Open",Data_Shelter_t[[#This Row],[HH Covered]],0)</f>
        <v>0</v>
      </c>
      <c r="U44" s="477" t="s">
        <v>136</v>
      </c>
      <c r="V44" s="479" t="str">
        <f ca="1">IFERROR(OFFSET(Camp_List[Status],MATCH(Data_Shelter_t[[#This Row],[Camp Name]],Camp_List[Camp Name],0)-1,0,1,1),"")</f>
        <v>Returned</v>
      </c>
      <c r="W44" s="480">
        <f ca="1">IFERROR(Data_Shelter_t[[#This Row],[HH Covered]]/OFFSET(Camp_List[HH],MATCH(Data_Shelter_t[[#This Row],[Camp Name]],Camp_List[Camp Name],0)-1,0,1,1),"")</f>
        <v>0</v>
      </c>
      <c r="X44" s="477">
        <f>Data_Shelter_t[[#This Row],['# of Permanent House Planned (Target)]]+Data_Shelter_t[[#This Row],['# of Individual Shelter Planned (Target)]]</f>
        <v>236</v>
      </c>
      <c r="Y44" s="499">
        <f>Data_Shelter_t[[#This Row],['# of Permanent House Built]]+Data_Shelter_t[[#This Row],['# of Individual Shelter Built]]</f>
        <v>0</v>
      </c>
    </row>
    <row r="45" spans="1:25" x14ac:dyDescent="0.25">
      <c r="A45" s="496">
        <v>42186</v>
      </c>
      <c r="B45" s="331" t="s">
        <v>293</v>
      </c>
      <c r="C45" s="331" t="s">
        <v>293</v>
      </c>
      <c r="D45" s="331" t="s">
        <v>7</v>
      </c>
      <c r="E45" s="333" t="s">
        <v>15</v>
      </c>
      <c r="F45" s="331" t="s">
        <v>53</v>
      </c>
      <c r="G45" s="29">
        <v>1</v>
      </c>
      <c r="H45" s="331"/>
      <c r="I45" s="331"/>
      <c r="J45" s="29"/>
      <c r="K45" s="29"/>
      <c r="L45" s="29"/>
      <c r="M45" s="29"/>
      <c r="N45" s="29"/>
      <c r="O45" s="331"/>
      <c r="P45" s="114">
        <v>144</v>
      </c>
      <c r="Q45" s="331"/>
      <c r="R45" s="114"/>
      <c r="S45" s="114">
        <v>0</v>
      </c>
      <c r="T45" s="114">
        <f ca="1">IF(Data_Shelter_t[[#This Row],[Status]]="Open",Data_Shelter_t[[#This Row],[HH Covered]],0)</f>
        <v>0</v>
      </c>
      <c r="U45" s="477" t="s">
        <v>139</v>
      </c>
      <c r="V45" s="479" t="str">
        <f ca="1">IFERROR(OFFSET(Camp_List[Status],MATCH(Data_Shelter_t[[#This Row],[Camp Name]],Camp_List[Camp Name],0)-1,0,1,1),"")</f>
        <v>Returned</v>
      </c>
      <c r="W45" s="480">
        <f ca="1">IFERROR(Data_Shelter_t[[#This Row],[HH Covered]]/OFFSET(Camp_List[HH],MATCH(Data_Shelter_t[[#This Row],[Camp Name]],Camp_List[Camp Name],0)-1,0,1,1),"")</f>
        <v>0</v>
      </c>
      <c r="X45" s="477">
        <f>Data_Shelter_t[[#This Row],['# of Permanent House Planned (Target)]]+Data_Shelter_t[[#This Row],['# of Individual Shelter Planned (Target)]]</f>
        <v>144</v>
      </c>
      <c r="Y45" s="499">
        <f>Data_Shelter_t[[#This Row],['# of Permanent House Built]]+Data_Shelter_t[[#This Row],['# of Individual Shelter Built]]</f>
        <v>0</v>
      </c>
    </row>
    <row r="46" spans="1:25" x14ac:dyDescent="0.25">
      <c r="A46" s="496">
        <v>42186</v>
      </c>
      <c r="B46" s="331" t="s">
        <v>293</v>
      </c>
      <c r="C46" s="331" t="s">
        <v>293</v>
      </c>
      <c r="D46" s="331" t="s">
        <v>7</v>
      </c>
      <c r="E46" s="333" t="s">
        <v>15</v>
      </c>
      <c r="F46" s="22" t="s">
        <v>52</v>
      </c>
      <c r="G46" s="22">
        <v>1</v>
      </c>
      <c r="H46" s="22"/>
      <c r="I46" s="22"/>
      <c r="J46" s="22"/>
      <c r="K46" s="22"/>
      <c r="L46" s="22"/>
      <c r="M46" s="22"/>
      <c r="N46" s="22"/>
      <c r="O46" s="22"/>
      <c r="P46" s="477">
        <v>112</v>
      </c>
      <c r="Q46" s="332"/>
      <c r="R46" s="477"/>
      <c r="S46" s="477">
        <v>0</v>
      </c>
      <c r="T46" s="477">
        <f ca="1">IF(Data_Shelter_t[[#This Row],[Status]]="Open",Data_Shelter_t[[#This Row],[HH Covered]],0)</f>
        <v>0</v>
      </c>
      <c r="U46" s="477" t="s">
        <v>138</v>
      </c>
      <c r="V46" s="479" t="str">
        <f ca="1">IFERROR(OFFSET(Camp_List[Status],MATCH(Data_Shelter_t[[#This Row],[Camp Name]],Camp_List[Camp Name],0)-1,0,1,1),"")</f>
        <v>Returned</v>
      </c>
      <c r="W46" s="480">
        <f ca="1">IFERROR(Data_Shelter_t[[#This Row],[HH Covered]]/OFFSET(Camp_List[HH],MATCH(Data_Shelter_t[[#This Row],[Camp Name]],Camp_List[Camp Name],0)-1,0,1,1),"")</f>
        <v>0</v>
      </c>
      <c r="X46" s="477">
        <f>Data_Shelter_t[[#This Row],['# of Permanent House Planned (Target)]]+Data_Shelter_t[[#This Row],['# of Individual Shelter Planned (Target)]]</f>
        <v>112</v>
      </c>
      <c r="Y46" s="499">
        <f>Data_Shelter_t[[#This Row],['# of Permanent House Built]]+Data_Shelter_t[[#This Row],['# of Individual Shelter Built]]</f>
        <v>0</v>
      </c>
    </row>
    <row r="47" spans="1:25" s="5" customFormat="1" x14ac:dyDescent="0.25">
      <c r="A47" s="496">
        <v>42186</v>
      </c>
      <c r="B47" s="331" t="s">
        <v>285</v>
      </c>
      <c r="C47" s="331" t="s">
        <v>623</v>
      </c>
      <c r="D47" s="331" t="s">
        <v>7</v>
      </c>
      <c r="E47" s="333" t="s">
        <v>11</v>
      </c>
      <c r="F47" s="22" t="s">
        <v>30</v>
      </c>
      <c r="G47" s="22">
        <v>1</v>
      </c>
      <c r="H47" s="22"/>
      <c r="I47" s="22"/>
      <c r="J47" s="22"/>
      <c r="K47" s="22"/>
      <c r="L47" s="22"/>
      <c r="M47" s="22"/>
      <c r="N47" s="22"/>
      <c r="O47" s="22"/>
      <c r="P47" s="477">
        <v>43</v>
      </c>
      <c r="Q47" s="332"/>
      <c r="R47" s="477"/>
      <c r="S47" s="477">
        <v>0</v>
      </c>
      <c r="T47" s="477">
        <f ca="1">IF(Data_Shelter_t[[#This Row],[Status]]="Open",Data_Shelter_t[[#This Row],[HH Covered]],0)</f>
        <v>0</v>
      </c>
      <c r="U47" s="477" t="s">
        <v>116</v>
      </c>
      <c r="V47" s="479" t="str">
        <f ca="1">IFERROR(OFFSET(Camp_List[Status],MATCH(Data_Shelter_t[[#This Row],[Camp Name]],Camp_List[Camp Name],0)-1,0,1,1),"")</f>
        <v>Returned</v>
      </c>
      <c r="W47" s="480">
        <f ca="1">IFERROR(Data_Shelter_t[[#This Row],[HH Covered]]/OFFSET(Camp_List[HH],MATCH(Data_Shelter_t[[#This Row],[Camp Name]],Camp_List[Camp Name],0)-1,0,1,1),"")</f>
        <v>0</v>
      </c>
      <c r="X47" s="477">
        <f>Data_Shelter_t[[#This Row],['# of Permanent House Planned (Target)]]+Data_Shelter_t[[#This Row],['# of Individual Shelter Planned (Target)]]</f>
        <v>43</v>
      </c>
      <c r="Y47" s="499">
        <f>Data_Shelter_t[[#This Row],['# of Permanent House Built]]+Data_Shelter_t[[#This Row],['# of Individual Shelter Built]]</f>
        <v>0</v>
      </c>
    </row>
    <row r="48" spans="1:25" s="5" customFormat="1" x14ac:dyDescent="0.25">
      <c r="A48" s="496">
        <v>42186</v>
      </c>
      <c r="B48" s="331" t="s">
        <v>285</v>
      </c>
      <c r="C48" s="331" t="s">
        <v>623</v>
      </c>
      <c r="D48" s="331" t="s">
        <v>7</v>
      </c>
      <c r="E48" s="333" t="s">
        <v>11</v>
      </c>
      <c r="F48" s="22" t="s">
        <v>32</v>
      </c>
      <c r="G48" s="22">
        <v>1</v>
      </c>
      <c r="H48" s="22"/>
      <c r="I48" s="22"/>
      <c r="J48" s="22"/>
      <c r="K48" s="22"/>
      <c r="L48" s="22"/>
      <c r="M48" s="22"/>
      <c r="N48" s="22"/>
      <c r="O48" s="22"/>
      <c r="P48" s="477">
        <v>114</v>
      </c>
      <c r="Q48" s="332"/>
      <c r="R48" s="477"/>
      <c r="S48" s="477">
        <v>0</v>
      </c>
      <c r="T48" s="477">
        <f ca="1">IF(Data_Shelter_t[[#This Row],[Status]]="Open",Data_Shelter_t[[#This Row],[HH Covered]],0)</f>
        <v>0</v>
      </c>
      <c r="U48" s="477" t="s">
        <v>118</v>
      </c>
      <c r="V48" s="479" t="str">
        <f ca="1">IFERROR(OFFSET(Camp_List[Status],MATCH(Data_Shelter_t[[#This Row],[Camp Name]],Camp_List[Camp Name],0)-1,0,1,1),"")</f>
        <v>Returned</v>
      </c>
      <c r="W48" s="480">
        <f ca="1">IFERROR(Data_Shelter_t[[#This Row],[HH Covered]]/OFFSET(Camp_List[HH],MATCH(Data_Shelter_t[[#This Row],[Camp Name]],Camp_List[Camp Name],0)-1,0,1,1),"")</f>
        <v>0</v>
      </c>
      <c r="X48" s="477">
        <f>Data_Shelter_t[[#This Row],['# of Permanent House Planned (Target)]]+Data_Shelter_t[[#This Row],['# of Individual Shelter Planned (Target)]]</f>
        <v>114</v>
      </c>
      <c r="Y48" s="499">
        <f>Data_Shelter_t[[#This Row],['# of Permanent House Built]]+Data_Shelter_t[[#This Row],['# of Individual Shelter Built]]</f>
        <v>0</v>
      </c>
    </row>
    <row r="49" spans="1:25" s="5" customFormat="1" x14ac:dyDescent="0.25">
      <c r="A49" s="496">
        <v>42186</v>
      </c>
      <c r="B49" s="331" t="s">
        <v>285</v>
      </c>
      <c r="C49" s="331" t="s">
        <v>623</v>
      </c>
      <c r="D49" s="331" t="s">
        <v>7</v>
      </c>
      <c r="E49" s="333" t="s">
        <v>11</v>
      </c>
      <c r="F49" s="22" t="s">
        <v>27</v>
      </c>
      <c r="G49" s="22">
        <v>1</v>
      </c>
      <c r="H49" s="22"/>
      <c r="I49" s="22"/>
      <c r="J49" s="22"/>
      <c r="K49" s="22"/>
      <c r="L49" s="22"/>
      <c r="M49" s="22"/>
      <c r="N49" s="22"/>
      <c r="O49" s="22"/>
      <c r="P49" s="477">
        <v>43</v>
      </c>
      <c r="Q49" s="332"/>
      <c r="R49" s="477"/>
      <c r="S49" s="477">
        <v>0</v>
      </c>
      <c r="T49" s="477">
        <f ca="1">IF(Data_Shelter_t[[#This Row],[Status]]="Open",Data_Shelter_t[[#This Row],[HH Covered]],0)</f>
        <v>0</v>
      </c>
      <c r="U49" s="477" t="s">
        <v>113</v>
      </c>
      <c r="V49" s="479" t="str">
        <f ca="1">IFERROR(OFFSET(Camp_List[Status],MATCH(Data_Shelter_t[[#This Row],[Camp Name]],Camp_List[Camp Name],0)-1,0,1,1),"")</f>
        <v>Returned</v>
      </c>
      <c r="W49" s="480">
        <f ca="1">IFERROR(Data_Shelter_t[[#This Row],[HH Covered]]/OFFSET(Camp_List[HH],MATCH(Data_Shelter_t[[#This Row],[Camp Name]],Camp_List[Camp Name],0)-1,0,1,1),"")</f>
        <v>0</v>
      </c>
      <c r="X49" s="477">
        <f>Data_Shelter_t[[#This Row],['# of Permanent House Planned (Target)]]+Data_Shelter_t[[#This Row],['# of Individual Shelter Planned (Target)]]</f>
        <v>43</v>
      </c>
      <c r="Y49" s="499">
        <f>Data_Shelter_t[[#This Row],['# of Permanent House Built]]+Data_Shelter_t[[#This Row],['# of Individual Shelter Built]]</f>
        <v>0</v>
      </c>
    </row>
    <row r="50" spans="1:25" x14ac:dyDescent="0.25">
      <c r="A50" s="496">
        <v>42186</v>
      </c>
      <c r="B50" s="331" t="s">
        <v>285</v>
      </c>
      <c r="C50" s="331" t="s">
        <v>623</v>
      </c>
      <c r="D50" s="331" t="s">
        <v>7</v>
      </c>
      <c r="E50" s="333" t="s">
        <v>11</v>
      </c>
      <c r="F50" s="22" t="s">
        <v>26</v>
      </c>
      <c r="G50" s="22">
        <v>1</v>
      </c>
      <c r="H50" s="22"/>
      <c r="I50" s="22"/>
      <c r="J50" s="22"/>
      <c r="K50" s="22"/>
      <c r="L50" s="22"/>
      <c r="M50" s="22"/>
      <c r="N50" s="22"/>
      <c r="O50" s="22"/>
      <c r="P50" s="477">
        <v>107</v>
      </c>
      <c r="Q50" s="332"/>
      <c r="R50" s="477"/>
      <c r="S50" s="477">
        <v>0</v>
      </c>
      <c r="T50" s="477">
        <f ca="1">IF(Data_Shelter_t[[#This Row],[Status]]="Open",Data_Shelter_t[[#This Row],[HH Covered]],0)</f>
        <v>0</v>
      </c>
      <c r="U50" s="477" t="s">
        <v>112</v>
      </c>
      <c r="V50" s="479" t="str">
        <f ca="1">IFERROR(OFFSET(Camp_List[Status],MATCH(Data_Shelter_t[[#This Row],[Camp Name]],Camp_List[Camp Name],0)-1,0,1,1),"")</f>
        <v>Returned</v>
      </c>
      <c r="W50" s="480">
        <f ca="1">IFERROR(Data_Shelter_t[[#This Row],[HH Covered]]/OFFSET(Camp_List[HH],MATCH(Data_Shelter_t[[#This Row],[Camp Name]],Camp_List[Camp Name],0)-1,0,1,1),"")</f>
        <v>0</v>
      </c>
      <c r="X50" s="477">
        <f>Data_Shelter_t[[#This Row],['# of Permanent House Planned (Target)]]+Data_Shelter_t[[#This Row],['# of Individual Shelter Planned (Target)]]</f>
        <v>107</v>
      </c>
      <c r="Y50" s="499">
        <f>Data_Shelter_t[[#This Row],['# of Permanent House Built]]+Data_Shelter_t[[#This Row],['# of Individual Shelter Built]]</f>
        <v>0</v>
      </c>
    </row>
    <row r="51" spans="1:25" x14ac:dyDescent="0.25">
      <c r="A51" s="496">
        <v>42186</v>
      </c>
      <c r="B51" s="331" t="s">
        <v>285</v>
      </c>
      <c r="C51" s="331" t="s">
        <v>623</v>
      </c>
      <c r="D51" s="331" t="s">
        <v>7</v>
      </c>
      <c r="E51" s="333" t="s">
        <v>11</v>
      </c>
      <c r="F51" s="22" t="s">
        <v>29</v>
      </c>
      <c r="G51" s="22">
        <v>1</v>
      </c>
      <c r="H51" s="22"/>
      <c r="I51" s="22"/>
      <c r="J51" s="22"/>
      <c r="K51" s="22"/>
      <c r="L51" s="22"/>
      <c r="M51" s="22"/>
      <c r="N51" s="22"/>
      <c r="O51" s="22"/>
      <c r="P51" s="477">
        <v>140</v>
      </c>
      <c r="Q51" s="332"/>
      <c r="R51" s="477"/>
      <c r="S51" s="477">
        <v>0</v>
      </c>
      <c r="T51" s="477">
        <f ca="1">IF(Data_Shelter_t[[#This Row],[Status]]="Open",Data_Shelter_t[[#This Row],[HH Covered]],0)</f>
        <v>0</v>
      </c>
      <c r="U51" s="477" t="s">
        <v>115</v>
      </c>
      <c r="V51" s="479" t="str">
        <f ca="1">IFERROR(OFFSET(Camp_List[Status],MATCH(Data_Shelter_t[[#This Row],[Camp Name]],Camp_List[Camp Name],0)-1,0,1,1),"")</f>
        <v>Returned</v>
      </c>
      <c r="W51" s="480">
        <f ca="1">IFERROR(Data_Shelter_t[[#This Row],[HH Covered]]/OFFSET(Camp_List[HH],MATCH(Data_Shelter_t[[#This Row],[Camp Name]],Camp_List[Camp Name],0)-1,0,1,1),"")</f>
        <v>0</v>
      </c>
      <c r="X51" s="477">
        <f>Data_Shelter_t[[#This Row],['# of Permanent House Planned (Target)]]+Data_Shelter_t[[#This Row],['# of Individual Shelter Planned (Target)]]</f>
        <v>140</v>
      </c>
      <c r="Y51" s="499">
        <f>Data_Shelter_t[[#This Row],['# of Permanent House Built]]+Data_Shelter_t[[#This Row],['# of Individual Shelter Built]]</f>
        <v>0</v>
      </c>
    </row>
    <row r="52" spans="1:25" x14ac:dyDescent="0.25">
      <c r="A52" s="496">
        <v>42186</v>
      </c>
      <c r="B52" s="331" t="s">
        <v>285</v>
      </c>
      <c r="C52" s="331" t="s">
        <v>623</v>
      </c>
      <c r="D52" s="331" t="s">
        <v>7</v>
      </c>
      <c r="E52" s="333" t="s">
        <v>15</v>
      </c>
      <c r="F52" s="22" t="s">
        <v>48</v>
      </c>
      <c r="G52" s="22">
        <v>1</v>
      </c>
      <c r="H52" s="22"/>
      <c r="I52" s="22"/>
      <c r="J52" s="22"/>
      <c r="K52" s="22"/>
      <c r="L52" s="22"/>
      <c r="M52" s="22"/>
      <c r="N52" s="22"/>
      <c r="O52" s="22"/>
      <c r="P52" s="477">
        <v>52</v>
      </c>
      <c r="Q52" s="332"/>
      <c r="R52" s="477"/>
      <c r="S52" s="477">
        <v>0</v>
      </c>
      <c r="T52" s="477">
        <f ca="1">IF(Data_Shelter_t[[#This Row],[Status]]="Open",Data_Shelter_t[[#This Row],[HH Covered]],0)</f>
        <v>0</v>
      </c>
      <c r="U52" s="477" t="s">
        <v>134</v>
      </c>
      <c r="V52" s="479" t="str">
        <f ca="1">IFERROR(OFFSET(Camp_List[Status],MATCH(Data_Shelter_t[[#This Row],[Camp Name]],Camp_List[Camp Name],0)-1,0,1,1),"")</f>
        <v>Returned</v>
      </c>
      <c r="W52" s="480">
        <f ca="1">IFERROR(Data_Shelter_t[[#This Row],[HH Covered]]/OFFSET(Camp_List[HH],MATCH(Data_Shelter_t[[#This Row],[Camp Name]],Camp_List[Camp Name],0)-1,0,1,1),"")</f>
        <v>0</v>
      </c>
      <c r="X52" s="477">
        <f>Data_Shelter_t[[#This Row],['# of Permanent House Planned (Target)]]+Data_Shelter_t[[#This Row],['# of Individual Shelter Planned (Target)]]</f>
        <v>52</v>
      </c>
      <c r="Y52" s="499">
        <f>Data_Shelter_t[[#This Row],['# of Permanent House Built]]+Data_Shelter_t[[#This Row],['# of Individual Shelter Built]]</f>
        <v>0</v>
      </c>
    </row>
    <row r="53" spans="1:25" s="90" customFormat="1" x14ac:dyDescent="0.25">
      <c r="A53" s="496">
        <v>42030</v>
      </c>
      <c r="B53" s="331" t="s">
        <v>285</v>
      </c>
      <c r="C53" s="331" t="s">
        <v>285</v>
      </c>
      <c r="D53" s="331" t="s">
        <v>7</v>
      </c>
      <c r="E53" s="333" t="s">
        <v>14</v>
      </c>
      <c r="F53" s="22" t="s">
        <v>42</v>
      </c>
      <c r="G53" s="22">
        <v>1</v>
      </c>
      <c r="H53" s="22">
        <v>110</v>
      </c>
      <c r="I53" s="22">
        <v>110</v>
      </c>
      <c r="J53" s="22"/>
      <c r="K53" s="22"/>
      <c r="L53" s="22"/>
      <c r="M53" s="22"/>
      <c r="N53" s="22"/>
      <c r="O53" s="22"/>
      <c r="P53" s="332"/>
      <c r="Q53" s="332"/>
      <c r="R53" s="477"/>
      <c r="S53" s="477">
        <v>0</v>
      </c>
      <c r="T53" s="477">
        <f ca="1">IF(Data_Shelter_t[[#This Row],[Status]]="Open",Data_Shelter_t[[#This Row],[HH Covered]],0)</f>
        <v>0</v>
      </c>
      <c r="U53" s="477"/>
      <c r="V53" s="479" t="str">
        <f ca="1">IFERROR(OFFSET(Camp_List[Status],MATCH(Data_Shelter_t[[#This Row],[Camp Name]],Camp_List[Camp Name],0)-1,0,1,1),"")</f>
        <v>Open</v>
      </c>
      <c r="W53" s="480">
        <f ca="1">IFERROR(Data_Shelter_t[[#This Row],[HH Covered]]/OFFSET(Camp_List[HH],MATCH(Data_Shelter_t[[#This Row],[Camp Name]],Camp_List[Camp Name],0)-1,0,1,1),"")</f>
        <v>0</v>
      </c>
      <c r="X53" s="477">
        <f>Data_Shelter_t[[#This Row],['# of Permanent House Planned (Target)]]+Data_Shelter_t[[#This Row],['# of Individual Shelter Planned (Target)]]</f>
        <v>0</v>
      </c>
      <c r="Y53" s="499">
        <f>Data_Shelter_t[[#This Row],['# of Permanent House Built]]+Data_Shelter_t[[#This Row],['# of Individual Shelter Built]]</f>
        <v>0</v>
      </c>
    </row>
    <row r="54" spans="1:25" x14ac:dyDescent="0.25">
      <c r="A54" s="496">
        <v>41548</v>
      </c>
      <c r="B54" s="331" t="s">
        <v>643</v>
      </c>
      <c r="C54" s="331" t="s">
        <v>643</v>
      </c>
      <c r="D54" s="331" t="s">
        <v>7</v>
      </c>
      <c r="E54" s="333" t="s">
        <v>20</v>
      </c>
      <c r="F54" s="331" t="s">
        <v>508</v>
      </c>
      <c r="G54" s="790">
        <v>1</v>
      </c>
      <c r="H54" s="331"/>
      <c r="I54" s="331"/>
      <c r="J54" s="790"/>
      <c r="K54" s="790"/>
      <c r="L54" s="790"/>
      <c r="M54" s="790">
        <v>15</v>
      </c>
      <c r="N54" s="790">
        <v>15</v>
      </c>
      <c r="O54" s="331"/>
      <c r="P54" s="331"/>
      <c r="Q54" s="331"/>
      <c r="R54" s="114"/>
      <c r="S54" s="114">
        <v>15</v>
      </c>
      <c r="T54" s="114">
        <f ca="1">IF(Data_Shelter_t[[#This Row],[Status]]="Open",Data_Shelter_t[[#This Row],[HH Covered]],0)</f>
        <v>0</v>
      </c>
      <c r="U54" s="332" t="s">
        <v>927</v>
      </c>
      <c r="V54" s="506" t="str">
        <f ca="1">IFERROR(OFFSET(Camp_List[Status],MATCH(Data_Shelter_t[[#This Row],[Camp Name]],Camp_List[Camp Name],0)-1,0,1,1),"")</f>
        <v/>
      </c>
      <c r="W54" s="480" t="str">
        <f ca="1">IFERROR(Data_Shelter_t[[#This Row],[HH Covered]]/OFFSET(Camp_List[HH],MATCH(Data_Shelter_t[[#This Row],[Camp Name]],Camp_List[Camp Name],0)-1,0,1,1),"")</f>
        <v/>
      </c>
      <c r="X54" s="29">
        <f>Data_Shelter_t[[#This Row],['# of Permanent House Planned (Target)]]+Data_Shelter_t[[#This Row],['# of Individual Shelter Planned (Target)]]</f>
        <v>15</v>
      </c>
      <c r="Y54" s="495">
        <f>Data_Shelter_t[[#This Row],['# of Permanent House Built]]+Data_Shelter_t[[#This Row],['# of Individual Shelter Built]]</f>
        <v>15</v>
      </c>
    </row>
    <row r="55" spans="1:25" x14ac:dyDescent="0.25">
      <c r="A55" s="496">
        <v>41548</v>
      </c>
      <c r="B55" s="331" t="s">
        <v>643</v>
      </c>
      <c r="C55" s="331" t="s">
        <v>643</v>
      </c>
      <c r="D55" s="331" t="s">
        <v>7</v>
      </c>
      <c r="E55" s="333" t="s">
        <v>20</v>
      </c>
      <c r="F55" s="331" t="s">
        <v>507</v>
      </c>
      <c r="G55" s="29">
        <v>1</v>
      </c>
      <c r="H55" s="331"/>
      <c r="I55" s="331"/>
      <c r="J55" s="29"/>
      <c r="K55" s="29"/>
      <c r="L55" s="29"/>
      <c r="M55" s="29">
        <v>2</v>
      </c>
      <c r="N55" s="29">
        <v>2</v>
      </c>
      <c r="O55" s="331"/>
      <c r="P55" s="331"/>
      <c r="Q55" s="331"/>
      <c r="R55" s="114"/>
      <c r="S55" s="114">
        <v>2</v>
      </c>
      <c r="T55" s="114">
        <f ca="1">IF(Data_Shelter_t[[#This Row],[Status]]="Open",Data_Shelter_t[[#This Row],[HH Covered]],0)</f>
        <v>0</v>
      </c>
      <c r="U55" s="332" t="s">
        <v>927</v>
      </c>
      <c r="V55" s="506" t="str">
        <f ca="1">IFERROR(OFFSET(Camp_List[Status],MATCH(Data_Shelter_t[[#This Row],[Camp Name]],Camp_List[Camp Name],0)-1,0,1,1),"")</f>
        <v/>
      </c>
      <c r="W55" s="480" t="str">
        <f ca="1">IFERROR(Data_Shelter_t[[#This Row],[HH Covered]]/OFFSET(Camp_List[HH],MATCH(Data_Shelter_t[[#This Row],[Camp Name]],Camp_List[Camp Name],0)-1,0,1,1),"")</f>
        <v/>
      </c>
      <c r="X55" s="29">
        <f>Data_Shelter_t[[#This Row],['# of Permanent House Planned (Target)]]+Data_Shelter_t[[#This Row],['# of Individual Shelter Planned (Target)]]</f>
        <v>2</v>
      </c>
      <c r="Y55" s="498">
        <f>Data_Shelter_t[[#This Row],['# of Permanent House Built]]+Data_Shelter_t[[#This Row],['# of Individual Shelter Built]]</f>
        <v>2</v>
      </c>
    </row>
    <row r="56" spans="1:25" x14ac:dyDescent="0.25">
      <c r="A56" s="496">
        <v>41548</v>
      </c>
      <c r="B56" s="331" t="s">
        <v>643</v>
      </c>
      <c r="C56" s="331" t="s">
        <v>643</v>
      </c>
      <c r="D56" s="331" t="s">
        <v>7</v>
      </c>
      <c r="E56" s="333" t="s">
        <v>20</v>
      </c>
      <c r="F56" s="331" t="s">
        <v>509</v>
      </c>
      <c r="G56" s="29">
        <v>1</v>
      </c>
      <c r="H56" s="331"/>
      <c r="I56" s="331"/>
      <c r="J56" s="29"/>
      <c r="K56" s="29"/>
      <c r="L56" s="29"/>
      <c r="M56" s="29">
        <v>22</v>
      </c>
      <c r="N56" s="29">
        <v>22</v>
      </c>
      <c r="O56" s="331"/>
      <c r="P56" s="331"/>
      <c r="Q56" s="331"/>
      <c r="R56" s="114"/>
      <c r="S56" s="114">
        <v>22</v>
      </c>
      <c r="T56" s="114">
        <f ca="1">IF(Data_Shelter_t[[#This Row],[Status]]="Open",Data_Shelter_t[[#This Row],[HH Covered]],0)</f>
        <v>0</v>
      </c>
      <c r="U56" s="332" t="s">
        <v>927</v>
      </c>
      <c r="V56" s="506" t="str">
        <f ca="1">IFERROR(OFFSET(Camp_List[Status],MATCH(Data_Shelter_t[[#This Row],[Camp Name]],Camp_List[Camp Name],0)-1,0,1,1),"")</f>
        <v/>
      </c>
      <c r="W56" s="480" t="str">
        <f ca="1">IFERROR(Data_Shelter_t[[#This Row],[HH Covered]]/OFFSET(Camp_List[HH],MATCH(Data_Shelter_t[[#This Row],[Camp Name]],Camp_List[Camp Name],0)-1,0,1,1),"")</f>
        <v/>
      </c>
      <c r="X56" s="29">
        <f>Data_Shelter_t[[#This Row],['# of Permanent House Planned (Target)]]+Data_Shelter_t[[#This Row],['# of Individual Shelter Planned (Target)]]</f>
        <v>22</v>
      </c>
      <c r="Y56" s="498">
        <f>Data_Shelter_t[[#This Row],['# of Permanent House Built]]+Data_Shelter_t[[#This Row],['# of Individual Shelter Built]]</f>
        <v>22</v>
      </c>
    </row>
    <row r="57" spans="1:25" x14ac:dyDescent="0.25">
      <c r="A57" s="496">
        <v>41548</v>
      </c>
      <c r="B57" s="331" t="s">
        <v>642</v>
      </c>
      <c r="C57" s="331" t="s">
        <v>642</v>
      </c>
      <c r="D57" s="331" t="s">
        <v>7</v>
      </c>
      <c r="E57" s="333" t="s">
        <v>20</v>
      </c>
      <c r="F57" s="331" t="s">
        <v>509</v>
      </c>
      <c r="G57" s="29">
        <v>1</v>
      </c>
      <c r="H57" s="331"/>
      <c r="I57" s="331"/>
      <c r="J57" s="29"/>
      <c r="K57" s="29"/>
      <c r="L57" s="29"/>
      <c r="M57" s="29">
        <v>25</v>
      </c>
      <c r="N57" s="29">
        <v>25</v>
      </c>
      <c r="O57" s="331"/>
      <c r="P57" s="331"/>
      <c r="Q57" s="331"/>
      <c r="R57" s="114"/>
      <c r="S57" s="114">
        <v>25</v>
      </c>
      <c r="T57" s="114">
        <f ca="1">IF(Data_Shelter_t[[#This Row],[Status]]="Open",Data_Shelter_t[[#This Row],[HH Covered]],0)</f>
        <v>0</v>
      </c>
      <c r="U57" s="332" t="s">
        <v>927</v>
      </c>
      <c r="V57" s="506" t="str">
        <f ca="1">IFERROR(OFFSET(Camp_List[Status],MATCH(Data_Shelter_t[[#This Row],[Camp Name]],Camp_List[Camp Name],0)-1,0,1,1),"")</f>
        <v/>
      </c>
      <c r="W57" s="480" t="str">
        <f ca="1">IFERROR(Data_Shelter_t[[#This Row],[HH Covered]]/OFFSET(Camp_List[HH],MATCH(Data_Shelter_t[[#This Row],[Camp Name]],Camp_List[Camp Name],0)-1,0,1,1),"")</f>
        <v/>
      </c>
      <c r="X57" s="29">
        <f>Data_Shelter_t[[#This Row],['# of Permanent House Planned (Target)]]+Data_Shelter_t[[#This Row],['# of Individual Shelter Planned (Target)]]</f>
        <v>25</v>
      </c>
      <c r="Y57" s="495">
        <f>Data_Shelter_t[[#This Row],['# of Permanent House Built]]+Data_Shelter_t[[#This Row],['# of Individual Shelter Built]]</f>
        <v>25</v>
      </c>
    </row>
    <row r="58" spans="1:25" x14ac:dyDescent="0.25">
      <c r="A58" s="496">
        <v>41548</v>
      </c>
      <c r="B58" s="331" t="s">
        <v>643</v>
      </c>
      <c r="C58" s="331" t="s">
        <v>643</v>
      </c>
      <c r="D58" s="331" t="s">
        <v>7</v>
      </c>
      <c r="E58" s="333" t="s">
        <v>20</v>
      </c>
      <c r="F58" s="331" t="s">
        <v>506</v>
      </c>
      <c r="G58" s="29">
        <v>1</v>
      </c>
      <c r="H58" s="331"/>
      <c r="I58" s="331"/>
      <c r="J58" s="29"/>
      <c r="K58" s="29"/>
      <c r="L58" s="29"/>
      <c r="M58" s="29">
        <v>77</v>
      </c>
      <c r="N58" s="29">
        <v>77</v>
      </c>
      <c r="O58" s="331"/>
      <c r="P58" s="331"/>
      <c r="Q58" s="331"/>
      <c r="R58" s="114"/>
      <c r="S58" s="114">
        <v>77</v>
      </c>
      <c r="T58" s="114">
        <f ca="1">IF(Data_Shelter_t[[#This Row],[Status]]="Open",Data_Shelter_t[[#This Row],[HH Covered]],0)</f>
        <v>0</v>
      </c>
      <c r="U58" s="332" t="s">
        <v>927</v>
      </c>
      <c r="V58" s="506" t="str">
        <f ca="1">IFERROR(OFFSET(Camp_List[Status],MATCH(Data_Shelter_t[[#This Row],[Camp Name]],Camp_List[Camp Name],0)-1,0,1,1),"")</f>
        <v/>
      </c>
      <c r="W58" s="480" t="str">
        <f ca="1">IFERROR(Data_Shelter_t[[#This Row],[HH Covered]]/OFFSET(Camp_List[HH],MATCH(Data_Shelter_t[[#This Row],[Camp Name]],Camp_List[Camp Name],0)-1,0,1,1),"")</f>
        <v/>
      </c>
      <c r="X58" s="29">
        <f>Data_Shelter_t[[#This Row],['# of Permanent House Planned (Target)]]+Data_Shelter_t[[#This Row],['# of Individual Shelter Planned (Target)]]</f>
        <v>77</v>
      </c>
      <c r="Y58" s="495">
        <f>Data_Shelter_t[[#This Row],['# of Permanent House Built]]+Data_Shelter_t[[#This Row],['# of Individual Shelter Built]]</f>
        <v>77</v>
      </c>
    </row>
    <row r="59" spans="1:25" x14ac:dyDescent="0.25">
      <c r="A59" s="496">
        <v>41548</v>
      </c>
      <c r="B59" s="331" t="s">
        <v>643</v>
      </c>
      <c r="C59" s="331" t="s">
        <v>643</v>
      </c>
      <c r="D59" s="331" t="s">
        <v>7</v>
      </c>
      <c r="E59" s="333" t="s">
        <v>20</v>
      </c>
      <c r="F59" s="331" t="s">
        <v>505</v>
      </c>
      <c r="G59" s="29">
        <v>1</v>
      </c>
      <c r="H59" s="331"/>
      <c r="I59" s="331"/>
      <c r="J59" s="29"/>
      <c r="K59" s="29"/>
      <c r="L59" s="790"/>
      <c r="M59" s="29">
        <v>9</v>
      </c>
      <c r="N59" s="29">
        <v>9</v>
      </c>
      <c r="O59" s="331"/>
      <c r="P59" s="331"/>
      <c r="Q59" s="331"/>
      <c r="R59" s="114"/>
      <c r="S59" s="114">
        <v>9</v>
      </c>
      <c r="T59" s="114">
        <f ca="1">IF(Data_Shelter_t[[#This Row],[Status]]="Open",Data_Shelter_t[[#This Row],[HH Covered]],0)</f>
        <v>0</v>
      </c>
      <c r="U59" s="332" t="s">
        <v>927</v>
      </c>
      <c r="V59" s="506" t="str">
        <f ca="1">IFERROR(OFFSET(Camp_List[Status],MATCH(Data_Shelter_t[[#This Row],[Camp Name]],Camp_List[Camp Name],0)-1,0,1,1),"")</f>
        <v/>
      </c>
      <c r="W59" s="480" t="str">
        <f ca="1">IFERROR(Data_Shelter_t[[#This Row],[HH Covered]]/OFFSET(Camp_List[HH],MATCH(Data_Shelter_t[[#This Row],[Camp Name]],Camp_List[Camp Name],0)-1,0,1,1),"")</f>
        <v/>
      </c>
      <c r="X59" s="29">
        <f>Data_Shelter_t[[#This Row],['# of Permanent House Planned (Target)]]+Data_Shelter_t[[#This Row],['# of Individual Shelter Planned (Target)]]</f>
        <v>9</v>
      </c>
      <c r="Y59" s="498">
        <f>Data_Shelter_t[[#This Row],['# of Permanent House Built]]+Data_Shelter_t[[#This Row],['# of Individual Shelter Built]]</f>
        <v>9</v>
      </c>
    </row>
    <row r="60" spans="1:25" x14ac:dyDescent="0.25">
      <c r="A60" s="496">
        <v>41548</v>
      </c>
      <c r="B60" s="331" t="s">
        <v>642</v>
      </c>
      <c r="C60" s="331" t="s">
        <v>642</v>
      </c>
      <c r="D60" s="331" t="s">
        <v>7</v>
      </c>
      <c r="E60" s="333" t="s">
        <v>20</v>
      </c>
      <c r="F60" s="331"/>
      <c r="G60" s="29">
        <v>1</v>
      </c>
      <c r="H60" s="331"/>
      <c r="I60" s="331"/>
      <c r="J60" s="29"/>
      <c r="K60" s="29"/>
      <c r="L60" s="29"/>
      <c r="M60" s="29">
        <v>11</v>
      </c>
      <c r="N60" s="29">
        <v>11</v>
      </c>
      <c r="O60" s="331"/>
      <c r="P60" s="331"/>
      <c r="Q60" s="331"/>
      <c r="R60" s="114"/>
      <c r="S60" s="114">
        <v>11</v>
      </c>
      <c r="T60" s="114">
        <f ca="1">IF(Data_Shelter_t[[#This Row],[Status]]="Open",Data_Shelter_t[[#This Row],[HH Covered]],0)</f>
        <v>0</v>
      </c>
      <c r="U60" s="332" t="s">
        <v>927</v>
      </c>
      <c r="V60" s="506" t="str">
        <f ca="1">IFERROR(OFFSET(Camp_List[Status],MATCH(Data_Shelter_t[[#This Row],[Camp Name]],Camp_List[Camp Name],0)-1,0,1,1),"")</f>
        <v/>
      </c>
      <c r="W60" s="480" t="str">
        <f ca="1">IFERROR(Data_Shelter_t[[#This Row],[HH Covered]]/OFFSET(Camp_List[HH],MATCH(Data_Shelter_t[[#This Row],[Camp Name]],Camp_List[Camp Name],0)-1,0,1,1),"")</f>
        <v/>
      </c>
      <c r="X60" s="29">
        <f>Data_Shelter_t[[#This Row],['# of Permanent House Planned (Target)]]+Data_Shelter_t[[#This Row],['# of Individual Shelter Planned (Target)]]</f>
        <v>11</v>
      </c>
      <c r="Y60" s="498">
        <f>Data_Shelter_t[[#This Row],['# of Permanent House Built]]+Data_Shelter_t[[#This Row],['# of Individual Shelter Built]]</f>
        <v>11</v>
      </c>
    </row>
    <row r="61" spans="1:25" x14ac:dyDescent="0.25">
      <c r="A61" s="496">
        <v>41548</v>
      </c>
      <c r="B61" s="331" t="s">
        <v>643</v>
      </c>
      <c r="C61" s="331" t="s">
        <v>643</v>
      </c>
      <c r="D61" s="331" t="s">
        <v>7</v>
      </c>
      <c r="E61" s="333" t="s">
        <v>20</v>
      </c>
      <c r="F61" s="331" t="s">
        <v>100</v>
      </c>
      <c r="G61" s="29">
        <v>1</v>
      </c>
      <c r="H61" s="331"/>
      <c r="I61" s="331"/>
      <c r="J61" s="29"/>
      <c r="K61" s="29"/>
      <c r="L61" s="29"/>
      <c r="M61" s="29">
        <v>10</v>
      </c>
      <c r="N61" s="29">
        <v>10</v>
      </c>
      <c r="O61" s="331"/>
      <c r="P61" s="331"/>
      <c r="Q61" s="331"/>
      <c r="R61" s="114"/>
      <c r="S61" s="114">
        <v>10</v>
      </c>
      <c r="T61" s="114">
        <f ca="1">IF(Data_Shelter_t[[#This Row],[Status]]="Open",Data_Shelter_t[[#This Row],[HH Covered]],0)</f>
        <v>0</v>
      </c>
      <c r="U61" s="332" t="s">
        <v>188</v>
      </c>
      <c r="V61" s="506" t="str">
        <f ca="1">IFERROR(OFFSET(Camp_List[Status],MATCH(Data_Shelter_t[[#This Row],[Camp Name]],Camp_List[Camp Name],0)-1,0,1,1),"")</f>
        <v>Close</v>
      </c>
      <c r="W61" s="480" t="str">
        <f ca="1">IFERROR(Data_Shelter_t[[#This Row],[HH Covered]]/OFFSET(Camp_List[HH],MATCH(Data_Shelter_t[[#This Row],[Camp Name]],Camp_List[Camp Name],0)-1,0,1,1),"")</f>
        <v/>
      </c>
      <c r="X61" s="29">
        <f>Data_Shelter_t[[#This Row],['# of Permanent House Planned (Target)]]+Data_Shelter_t[[#This Row],['# of Individual Shelter Planned (Target)]]</f>
        <v>10</v>
      </c>
      <c r="Y61" s="495">
        <f>Data_Shelter_t[[#This Row],['# of Permanent House Built]]+Data_Shelter_t[[#This Row],['# of Individual Shelter Built]]</f>
        <v>10</v>
      </c>
    </row>
    <row r="62" spans="1:25" x14ac:dyDescent="0.25">
      <c r="A62" s="496">
        <v>41548</v>
      </c>
      <c r="B62" s="331" t="s">
        <v>642</v>
      </c>
      <c r="C62" s="331" t="s">
        <v>642</v>
      </c>
      <c r="D62" s="331" t="s">
        <v>7</v>
      </c>
      <c r="E62" s="333" t="s">
        <v>20</v>
      </c>
      <c r="F62" s="331" t="s">
        <v>100</v>
      </c>
      <c r="G62" s="29">
        <v>1</v>
      </c>
      <c r="H62" s="331"/>
      <c r="I62" s="331"/>
      <c r="J62" s="29"/>
      <c r="K62" s="29"/>
      <c r="L62" s="29"/>
      <c r="M62" s="29">
        <v>31</v>
      </c>
      <c r="N62" s="29">
        <v>27</v>
      </c>
      <c r="O62" s="331"/>
      <c r="P62" s="331"/>
      <c r="Q62" s="331"/>
      <c r="R62" s="114"/>
      <c r="S62" s="114">
        <v>27</v>
      </c>
      <c r="T62" s="114">
        <f ca="1">IF(Data_Shelter_t[[#This Row],[Status]]="Open",Data_Shelter_t[[#This Row],[HH Covered]],0)</f>
        <v>0</v>
      </c>
      <c r="U62" s="332" t="s">
        <v>188</v>
      </c>
      <c r="V62" s="506" t="str">
        <f ca="1">IFERROR(OFFSET(Camp_List[Status],MATCH(Data_Shelter_t[[#This Row],[Camp Name]],Camp_List[Camp Name],0)-1,0,1,1),"")</f>
        <v>Close</v>
      </c>
      <c r="W62" s="480" t="str">
        <f ca="1">IFERROR(Data_Shelter_t[[#This Row],[HH Covered]]/OFFSET(Camp_List[HH],MATCH(Data_Shelter_t[[#This Row],[Camp Name]],Camp_List[Camp Name],0)-1,0,1,1),"")</f>
        <v/>
      </c>
      <c r="X62" s="29">
        <f>Data_Shelter_t[[#This Row],['# of Permanent House Planned (Target)]]+Data_Shelter_t[[#This Row],['# of Individual Shelter Planned (Target)]]</f>
        <v>31</v>
      </c>
      <c r="Y62" s="495">
        <f>Data_Shelter_t[[#This Row],['# of Permanent House Built]]+Data_Shelter_t[[#This Row],['# of Individual Shelter Built]]</f>
        <v>27</v>
      </c>
    </row>
    <row r="63" spans="1:25" x14ac:dyDescent="0.25">
      <c r="A63" s="496">
        <v>41548</v>
      </c>
      <c r="B63" s="331" t="s">
        <v>643</v>
      </c>
      <c r="C63" s="331" t="s">
        <v>643</v>
      </c>
      <c r="D63" s="331" t="s">
        <v>7</v>
      </c>
      <c r="E63" s="333" t="s">
        <v>20</v>
      </c>
      <c r="F63" s="331" t="s">
        <v>102</v>
      </c>
      <c r="G63" s="29">
        <v>1</v>
      </c>
      <c r="H63" s="331"/>
      <c r="I63" s="331"/>
      <c r="J63" s="29"/>
      <c r="K63" s="29"/>
      <c r="L63" s="29"/>
      <c r="M63" s="29">
        <v>10</v>
      </c>
      <c r="N63" s="29">
        <v>10</v>
      </c>
      <c r="O63" s="331"/>
      <c r="P63" s="331"/>
      <c r="Q63" s="331"/>
      <c r="R63" s="114"/>
      <c r="S63" s="114">
        <v>10</v>
      </c>
      <c r="T63" s="114">
        <f ca="1">IF(Data_Shelter_t[[#This Row],[Status]]="Open",Data_Shelter_t[[#This Row],[HH Covered]],0)</f>
        <v>0</v>
      </c>
      <c r="U63" s="332" t="s">
        <v>190</v>
      </c>
      <c r="V63" s="506" t="str">
        <f ca="1">IFERROR(OFFSET(Camp_List[Status],MATCH(Data_Shelter_t[[#This Row],[Camp Name]],Camp_List[Camp Name],0)-1,0,1,1),"")</f>
        <v>Close</v>
      </c>
      <c r="W63" s="480" t="str">
        <f ca="1">IFERROR(Data_Shelter_t[[#This Row],[HH Covered]]/OFFSET(Camp_List[HH],MATCH(Data_Shelter_t[[#This Row],[Camp Name]],Camp_List[Camp Name],0)-1,0,1,1),"")</f>
        <v/>
      </c>
      <c r="X63" s="29">
        <f>Data_Shelter_t[[#This Row],['# of Permanent House Planned (Target)]]+Data_Shelter_t[[#This Row],['# of Individual Shelter Planned (Target)]]</f>
        <v>10</v>
      </c>
      <c r="Y63" s="495">
        <f>Data_Shelter_t[[#This Row],['# of Permanent House Built]]+Data_Shelter_t[[#This Row],['# of Individual Shelter Built]]</f>
        <v>10</v>
      </c>
    </row>
    <row r="64" spans="1:25" x14ac:dyDescent="0.25">
      <c r="A64" s="496">
        <v>41548</v>
      </c>
      <c r="B64" s="331" t="s">
        <v>642</v>
      </c>
      <c r="C64" s="331" t="s">
        <v>642</v>
      </c>
      <c r="D64" s="331" t="s">
        <v>7</v>
      </c>
      <c r="E64" s="333" t="s">
        <v>20</v>
      </c>
      <c r="F64" s="331" t="s">
        <v>102</v>
      </c>
      <c r="G64" s="29">
        <v>1</v>
      </c>
      <c r="H64" s="331"/>
      <c r="I64" s="331"/>
      <c r="J64" s="29"/>
      <c r="K64" s="29"/>
      <c r="L64" s="29"/>
      <c r="M64" s="29">
        <v>21</v>
      </c>
      <c r="N64" s="29">
        <v>21</v>
      </c>
      <c r="O64" s="331"/>
      <c r="P64" s="331"/>
      <c r="Q64" s="331"/>
      <c r="R64" s="114"/>
      <c r="S64" s="114">
        <v>21</v>
      </c>
      <c r="T64" s="114">
        <f ca="1">IF(Data_Shelter_t[[#This Row],[Status]]="Open",Data_Shelter_t[[#This Row],[HH Covered]],0)</f>
        <v>0</v>
      </c>
      <c r="U64" s="332" t="s">
        <v>190</v>
      </c>
      <c r="V64" s="506" t="str">
        <f ca="1">IFERROR(OFFSET(Camp_List[Status],MATCH(Data_Shelter_t[[#This Row],[Camp Name]],Camp_List[Camp Name],0)-1,0,1,1),"")</f>
        <v>Close</v>
      </c>
      <c r="W64" s="480" t="str">
        <f ca="1">IFERROR(Data_Shelter_t[[#This Row],[HH Covered]]/OFFSET(Camp_List[HH],MATCH(Data_Shelter_t[[#This Row],[Camp Name]],Camp_List[Camp Name],0)-1,0,1,1),"")</f>
        <v/>
      </c>
      <c r="X64" s="29">
        <f>Data_Shelter_t[[#This Row],['# of Permanent House Planned (Target)]]+Data_Shelter_t[[#This Row],['# of Individual Shelter Planned (Target)]]</f>
        <v>21</v>
      </c>
      <c r="Y64" s="498">
        <f>Data_Shelter_t[[#This Row],['# of Permanent House Built]]+Data_Shelter_t[[#This Row],['# of Individual Shelter Built]]</f>
        <v>21</v>
      </c>
    </row>
    <row r="65" spans="1:25" x14ac:dyDescent="0.25">
      <c r="A65" s="496">
        <v>41548</v>
      </c>
      <c r="B65" s="331" t="s">
        <v>445</v>
      </c>
      <c r="C65" s="331" t="s">
        <v>445</v>
      </c>
      <c r="D65" s="331" t="s">
        <v>7</v>
      </c>
      <c r="E65" s="333" t="s">
        <v>20</v>
      </c>
      <c r="F65" s="331" t="s">
        <v>101</v>
      </c>
      <c r="G65" s="29">
        <v>1</v>
      </c>
      <c r="H65" s="331"/>
      <c r="I65" s="331"/>
      <c r="J65" s="29"/>
      <c r="K65" s="29"/>
      <c r="L65" s="29"/>
      <c r="M65" s="29">
        <v>25</v>
      </c>
      <c r="N65" s="29">
        <v>25</v>
      </c>
      <c r="O65" s="331"/>
      <c r="P65" s="331"/>
      <c r="Q65" s="331"/>
      <c r="R65" s="114"/>
      <c r="S65" s="114">
        <v>25</v>
      </c>
      <c r="T65" s="114">
        <f ca="1">IF(Data_Shelter_t[[#This Row],[Status]]="Open",Data_Shelter_t[[#This Row],[HH Covered]],0)</f>
        <v>0</v>
      </c>
      <c r="U65" s="332" t="s">
        <v>189</v>
      </c>
      <c r="V65" s="506" t="str">
        <f ca="1">IFERROR(OFFSET(Camp_List[Status],MATCH(Data_Shelter_t[[#This Row],[Camp Name]],Camp_List[Camp Name],0)-1,0,1,1),"")</f>
        <v>Close</v>
      </c>
      <c r="W65" s="480" t="str">
        <f ca="1">IFERROR(Data_Shelter_t[[#This Row],[HH Covered]]/OFFSET(Camp_List[HH],MATCH(Data_Shelter_t[[#This Row],[Camp Name]],Camp_List[Camp Name],0)-1,0,1,1),"")</f>
        <v/>
      </c>
      <c r="X65" s="29">
        <f>Data_Shelter_t[[#This Row],['# of Permanent House Planned (Target)]]+Data_Shelter_t[[#This Row],['# of Individual Shelter Planned (Target)]]</f>
        <v>25</v>
      </c>
      <c r="Y65" s="495">
        <f>Data_Shelter_t[[#This Row],['# of Permanent House Built]]+Data_Shelter_t[[#This Row],['# of Individual Shelter Built]]</f>
        <v>25</v>
      </c>
    </row>
    <row r="66" spans="1:25" x14ac:dyDescent="0.25">
      <c r="A66" s="496">
        <v>41548</v>
      </c>
      <c r="B66" s="331" t="s">
        <v>643</v>
      </c>
      <c r="C66" s="331" t="s">
        <v>643</v>
      </c>
      <c r="D66" s="331" t="s">
        <v>7</v>
      </c>
      <c r="E66" s="333" t="s">
        <v>20</v>
      </c>
      <c r="F66" s="331" t="s">
        <v>99</v>
      </c>
      <c r="G66" s="790">
        <v>1</v>
      </c>
      <c r="H66" s="331"/>
      <c r="I66" s="331"/>
      <c r="J66" s="790"/>
      <c r="K66" s="790"/>
      <c r="L66" s="790"/>
      <c r="M66" s="790">
        <v>36</v>
      </c>
      <c r="N66" s="790">
        <v>36</v>
      </c>
      <c r="O66" s="331"/>
      <c r="P66" s="331"/>
      <c r="Q66" s="331"/>
      <c r="R66" s="114"/>
      <c r="S66" s="114">
        <v>36</v>
      </c>
      <c r="T66" s="114">
        <f ca="1">IF(Data_Shelter_t[[#This Row],[Status]]="Open",Data_Shelter_t[[#This Row],[HH Covered]],0)</f>
        <v>0</v>
      </c>
      <c r="U66" s="332" t="s">
        <v>187</v>
      </c>
      <c r="V66" s="506" t="str">
        <f ca="1">IFERROR(OFFSET(Camp_List[Status],MATCH(Data_Shelter_t[[#This Row],[Camp Name]],Camp_List[Camp Name],0)-1,0,1,1),"")</f>
        <v>Close</v>
      </c>
      <c r="W66" s="480" t="str">
        <f ca="1">IFERROR(Data_Shelter_t[[#This Row],[HH Covered]]/OFFSET(Camp_List[HH],MATCH(Data_Shelter_t[[#This Row],[Camp Name]],Camp_List[Camp Name],0)-1,0,1,1),"")</f>
        <v/>
      </c>
      <c r="X66" s="29">
        <f>Data_Shelter_t[[#This Row],['# of Permanent House Planned (Target)]]+Data_Shelter_t[[#This Row],['# of Individual Shelter Planned (Target)]]</f>
        <v>36</v>
      </c>
      <c r="Y66" s="495">
        <f>Data_Shelter_t[[#This Row],['# of Permanent House Built]]+Data_Shelter_t[[#This Row],['# of Individual Shelter Built]]</f>
        <v>36</v>
      </c>
    </row>
    <row r="67" spans="1:25" x14ac:dyDescent="0.25">
      <c r="A67" s="496">
        <v>41548</v>
      </c>
      <c r="B67" s="331" t="s">
        <v>642</v>
      </c>
      <c r="C67" s="331" t="s">
        <v>642</v>
      </c>
      <c r="D67" s="331" t="s">
        <v>7</v>
      </c>
      <c r="E67" s="333" t="s">
        <v>20</v>
      </c>
      <c r="F67" s="331" t="s">
        <v>99</v>
      </c>
      <c r="G67" s="29">
        <v>1</v>
      </c>
      <c r="H67" s="331"/>
      <c r="I67" s="331"/>
      <c r="J67" s="29"/>
      <c r="K67" s="29"/>
      <c r="L67" s="29"/>
      <c r="M67" s="29">
        <v>36</v>
      </c>
      <c r="N67" s="29">
        <v>36</v>
      </c>
      <c r="O67" s="331"/>
      <c r="P67" s="331"/>
      <c r="Q67" s="331"/>
      <c r="R67" s="114"/>
      <c r="S67" s="114">
        <v>36</v>
      </c>
      <c r="T67" s="114">
        <f ca="1">IF(Data_Shelter_t[[#This Row],[Status]]="Open",Data_Shelter_t[[#This Row],[HH Covered]],0)</f>
        <v>0</v>
      </c>
      <c r="U67" s="332" t="s">
        <v>187</v>
      </c>
      <c r="V67" s="506" t="str">
        <f ca="1">IFERROR(OFFSET(Camp_List[Status],MATCH(Data_Shelter_t[[#This Row],[Camp Name]],Camp_List[Camp Name],0)-1,0,1,1),"")</f>
        <v>Close</v>
      </c>
      <c r="W67" s="480" t="str">
        <f ca="1">IFERROR(Data_Shelter_t[[#This Row],[HH Covered]]/OFFSET(Camp_List[HH],MATCH(Data_Shelter_t[[#This Row],[Camp Name]],Camp_List[Camp Name],0)-1,0,1,1),"")</f>
        <v/>
      </c>
      <c r="X67" s="22">
        <f>Data_Shelter_t[[#This Row],['# of Permanent House Planned (Target)]]+Data_Shelter_t[[#This Row],['# of Individual Shelter Planned (Target)]]</f>
        <v>36</v>
      </c>
      <c r="Y67" s="495">
        <f>Data_Shelter_t[[#This Row],['# of Permanent House Built]]+Data_Shelter_t[[#This Row],['# of Individual Shelter Built]]</f>
        <v>36</v>
      </c>
    </row>
    <row r="68" spans="1:25" x14ac:dyDescent="0.25">
      <c r="A68" s="496">
        <v>41548</v>
      </c>
      <c r="B68" s="331" t="s">
        <v>643</v>
      </c>
      <c r="C68" s="331" t="s">
        <v>643</v>
      </c>
      <c r="D68" s="331" t="s">
        <v>7</v>
      </c>
      <c r="E68" s="333" t="s">
        <v>20</v>
      </c>
      <c r="F68" s="331" t="s">
        <v>97</v>
      </c>
      <c r="G68" s="29">
        <v>1</v>
      </c>
      <c r="H68" s="331"/>
      <c r="I68" s="331"/>
      <c r="J68" s="29"/>
      <c r="K68" s="29"/>
      <c r="L68" s="29"/>
      <c r="M68" s="29">
        <v>11</v>
      </c>
      <c r="N68" s="29">
        <v>11</v>
      </c>
      <c r="O68" s="331"/>
      <c r="P68" s="331"/>
      <c r="Q68" s="331"/>
      <c r="R68" s="114"/>
      <c r="S68" s="114">
        <v>11</v>
      </c>
      <c r="T68" s="114">
        <f ca="1">IF(Data_Shelter_t[[#This Row],[Status]]="Open",Data_Shelter_t[[#This Row],[HH Covered]],0)</f>
        <v>0</v>
      </c>
      <c r="U68" s="332" t="s">
        <v>185</v>
      </c>
      <c r="V68" s="506" t="str">
        <f ca="1">IFERROR(OFFSET(Camp_List[Status],MATCH(Data_Shelter_t[[#This Row],[Camp Name]],Camp_List[Camp Name],0)-1,0,1,1),"")</f>
        <v>Close</v>
      </c>
      <c r="W68" s="480" t="str">
        <f ca="1">IFERROR(Data_Shelter_t[[#This Row],[HH Covered]]/OFFSET(Camp_List[HH],MATCH(Data_Shelter_t[[#This Row],[Camp Name]],Camp_List[Camp Name],0)-1,0,1,1),"")</f>
        <v/>
      </c>
      <c r="X68" s="22">
        <f>Data_Shelter_t[[#This Row],['# of Permanent House Planned (Target)]]+Data_Shelter_t[[#This Row],['# of Individual Shelter Planned (Target)]]</f>
        <v>11</v>
      </c>
      <c r="Y68" s="495">
        <f>Data_Shelter_t[[#This Row],['# of Permanent House Built]]+Data_Shelter_t[[#This Row],['# of Individual Shelter Built]]</f>
        <v>11</v>
      </c>
    </row>
    <row r="69" spans="1:25" x14ac:dyDescent="0.25">
      <c r="A69" s="496">
        <v>41548</v>
      </c>
      <c r="B69" s="331" t="s">
        <v>642</v>
      </c>
      <c r="C69" s="331" t="s">
        <v>642</v>
      </c>
      <c r="D69" s="331" t="s">
        <v>7</v>
      </c>
      <c r="E69" s="333" t="s">
        <v>20</v>
      </c>
      <c r="F69" s="331" t="s">
        <v>97</v>
      </c>
      <c r="G69" s="29">
        <v>1</v>
      </c>
      <c r="H69" s="331"/>
      <c r="I69" s="331"/>
      <c r="J69" s="29"/>
      <c r="K69" s="29"/>
      <c r="L69" s="29"/>
      <c r="M69" s="29">
        <v>98</v>
      </c>
      <c r="N69" s="29">
        <v>102</v>
      </c>
      <c r="O69" s="331"/>
      <c r="P69" s="331"/>
      <c r="Q69" s="331"/>
      <c r="R69" s="114"/>
      <c r="S69" s="114">
        <v>102</v>
      </c>
      <c r="T69" s="114">
        <f ca="1">IF(Data_Shelter_t[[#This Row],[Status]]="Open",Data_Shelter_t[[#This Row],[HH Covered]],0)</f>
        <v>0</v>
      </c>
      <c r="U69" s="332" t="s">
        <v>185</v>
      </c>
      <c r="V69" s="506" t="str">
        <f ca="1">IFERROR(OFFSET(Camp_List[Status],MATCH(Data_Shelter_t[[#This Row],[Camp Name]],Camp_List[Camp Name],0)-1,0,1,1),"")</f>
        <v>Close</v>
      </c>
      <c r="W69" s="480" t="str">
        <f ca="1">IFERROR(Data_Shelter_t[[#This Row],[HH Covered]]/OFFSET(Camp_List[HH],MATCH(Data_Shelter_t[[#This Row],[Camp Name]],Camp_List[Camp Name],0)-1,0,1,1),"")</f>
        <v/>
      </c>
      <c r="X69" s="22">
        <f>Data_Shelter_t[[#This Row],['# of Permanent House Planned (Target)]]+Data_Shelter_t[[#This Row],['# of Individual Shelter Planned (Target)]]</f>
        <v>98</v>
      </c>
      <c r="Y69" s="495">
        <f>Data_Shelter_t[[#This Row],['# of Permanent House Built]]+Data_Shelter_t[[#This Row],['# of Individual Shelter Built]]</f>
        <v>102</v>
      </c>
    </row>
    <row r="70" spans="1:25" x14ac:dyDescent="0.25">
      <c r="A70" s="496">
        <v>41548</v>
      </c>
      <c r="B70" s="331" t="s">
        <v>643</v>
      </c>
      <c r="C70" s="331" t="s">
        <v>643</v>
      </c>
      <c r="D70" s="331" t="s">
        <v>7</v>
      </c>
      <c r="E70" s="333" t="s">
        <v>20</v>
      </c>
      <c r="F70" s="331" t="s">
        <v>98</v>
      </c>
      <c r="G70" s="29">
        <v>1</v>
      </c>
      <c r="H70" s="331"/>
      <c r="I70" s="331"/>
      <c r="J70" s="29"/>
      <c r="K70" s="29"/>
      <c r="L70" s="29"/>
      <c r="M70" s="29">
        <v>12</v>
      </c>
      <c r="N70" s="29">
        <v>12</v>
      </c>
      <c r="O70" s="331"/>
      <c r="P70" s="331"/>
      <c r="Q70" s="331"/>
      <c r="R70" s="114"/>
      <c r="S70" s="114">
        <v>12</v>
      </c>
      <c r="T70" s="114">
        <f ca="1">IF(Data_Shelter_t[[#This Row],[Status]]="Open",Data_Shelter_t[[#This Row],[HH Covered]],0)</f>
        <v>0</v>
      </c>
      <c r="U70" s="332" t="s">
        <v>186</v>
      </c>
      <c r="V70" s="506" t="str">
        <f ca="1">IFERROR(OFFSET(Camp_List[Status],MATCH(Data_Shelter_t[[#This Row],[Camp Name]],Camp_List[Camp Name],0)-1,0,1,1),"")</f>
        <v>Close</v>
      </c>
      <c r="W70" s="480" t="str">
        <f ca="1">IFERROR(Data_Shelter_t[[#This Row],[HH Covered]]/OFFSET(Camp_List[HH],MATCH(Data_Shelter_t[[#This Row],[Camp Name]],Camp_List[Camp Name],0)-1,0,1,1),"")</f>
        <v/>
      </c>
      <c r="X70" s="29">
        <f>Data_Shelter_t[[#This Row],['# of Permanent House Planned (Target)]]+Data_Shelter_t[[#This Row],['# of Individual Shelter Planned (Target)]]</f>
        <v>12</v>
      </c>
      <c r="Y70" s="498">
        <f>Data_Shelter_t[[#This Row],['# of Permanent House Built]]+Data_Shelter_t[[#This Row],['# of Individual Shelter Built]]</f>
        <v>12</v>
      </c>
    </row>
    <row r="71" spans="1:25" x14ac:dyDescent="0.25">
      <c r="A71" s="496">
        <v>41548</v>
      </c>
      <c r="B71" s="331" t="s">
        <v>445</v>
      </c>
      <c r="C71" s="331" t="s">
        <v>445</v>
      </c>
      <c r="D71" s="331" t="s">
        <v>7</v>
      </c>
      <c r="E71" s="333" t="s">
        <v>20</v>
      </c>
      <c r="F71" s="331" t="s">
        <v>98</v>
      </c>
      <c r="G71" s="29">
        <v>1</v>
      </c>
      <c r="H71" s="331"/>
      <c r="I71" s="331"/>
      <c r="J71" s="29"/>
      <c r="K71" s="29"/>
      <c r="L71" s="29"/>
      <c r="M71" s="29">
        <v>103</v>
      </c>
      <c r="N71" s="29">
        <v>103</v>
      </c>
      <c r="O71" s="331"/>
      <c r="P71" s="331"/>
      <c r="Q71" s="331"/>
      <c r="R71" s="114"/>
      <c r="S71" s="114">
        <v>103</v>
      </c>
      <c r="T71" s="114">
        <f ca="1">IF(Data_Shelter_t[[#This Row],[Status]]="Open",Data_Shelter_t[[#This Row],[HH Covered]],0)</f>
        <v>0</v>
      </c>
      <c r="U71" s="332" t="s">
        <v>186</v>
      </c>
      <c r="V71" s="506" t="str">
        <f ca="1">IFERROR(OFFSET(Camp_List[Status],MATCH(Data_Shelter_t[[#This Row],[Camp Name]],Camp_List[Camp Name],0)-1,0,1,1),"")</f>
        <v>Close</v>
      </c>
      <c r="W71" s="480" t="str">
        <f ca="1">IFERROR(Data_Shelter_t[[#This Row],[HH Covered]]/OFFSET(Camp_List[HH],MATCH(Data_Shelter_t[[#This Row],[Camp Name]],Camp_List[Camp Name],0)-1,0,1,1),"")</f>
        <v/>
      </c>
      <c r="X71" s="29">
        <f>Data_Shelter_t[[#This Row],['# of Permanent House Planned (Target)]]+Data_Shelter_t[[#This Row],['# of Individual Shelter Planned (Target)]]</f>
        <v>103</v>
      </c>
      <c r="Y71" s="498">
        <f>Data_Shelter_t[[#This Row],['# of Permanent House Built]]+Data_Shelter_t[[#This Row],['# of Individual Shelter Built]]</f>
        <v>103</v>
      </c>
    </row>
    <row r="72" spans="1:25" x14ac:dyDescent="0.25">
      <c r="A72" s="496">
        <v>41548</v>
      </c>
      <c r="B72" s="331" t="s">
        <v>288</v>
      </c>
      <c r="C72" s="331" t="s">
        <v>288</v>
      </c>
      <c r="D72" s="331" t="s">
        <v>7</v>
      </c>
      <c r="E72" s="333" t="s">
        <v>14</v>
      </c>
      <c r="F72" s="331" t="s">
        <v>40</v>
      </c>
      <c r="G72" s="29">
        <v>8</v>
      </c>
      <c r="H72" s="331"/>
      <c r="I72" s="331"/>
      <c r="J72" s="29">
        <v>96</v>
      </c>
      <c r="K72" s="29">
        <v>96</v>
      </c>
      <c r="L72" s="22">
        <v>0</v>
      </c>
      <c r="M72" s="29"/>
      <c r="N72" s="29"/>
      <c r="O72" s="331"/>
      <c r="P72" s="331"/>
      <c r="Q72" s="331"/>
      <c r="R72" s="114"/>
      <c r="S72" s="114">
        <v>768</v>
      </c>
      <c r="T72" s="114">
        <f ca="1">IF(Data_Shelter_t[[#This Row],[Status]]="Open",Data_Shelter_t[[#This Row],[HH Covered]],0)</f>
        <v>768</v>
      </c>
      <c r="U72" s="332" t="s">
        <v>126</v>
      </c>
      <c r="V72" s="506" t="str">
        <f ca="1">IFERROR(OFFSET(Camp_List[Status],MATCH(Data_Shelter_t[[#This Row],[Camp Name]],Camp_List[Camp Name],0)-1,0,1,1),"")</f>
        <v>Open</v>
      </c>
      <c r="W72" s="480">
        <f ca="1">IFERROR(Data_Shelter_t[[#This Row],[HH Covered]]/OFFSET(Camp_List[HH],MATCH(Data_Shelter_t[[#This Row],[Camp Name]],Camp_List[Camp Name],0)-1,0,1,1),"")</f>
        <v>0.62035541195476573</v>
      </c>
      <c r="X72" s="29">
        <f>Data_Shelter_t[[#This Row],['# of Permanent House Planned (Target)]]+Data_Shelter_t[[#This Row],['# of Individual Shelter Planned (Target)]]</f>
        <v>0</v>
      </c>
      <c r="Y72" s="495">
        <f>Data_Shelter_t[[#This Row],['# of Permanent House Built]]+Data_Shelter_t[[#This Row],['# of Individual Shelter Built]]</f>
        <v>0</v>
      </c>
    </row>
    <row r="73" spans="1:25" x14ac:dyDescent="0.25">
      <c r="A73" s="496">
        <v>41548</v>
      </c>
      <c r="B73" s="331" t="s">
        <v>293</v>
      </c>
      <c r="C73" s="331" t="s">
        <v>293</v>
      </c>
      <c r="D73" s="331" t="s">
        <v>7</v>
      </c>
      <c r="E73" s="333" t="s">
        <v>19</v>
      </c>
      <c r="F73" s="331" t="s">
        <v>61</v>
      </c>
      <c r="G73" s="29">
        <v>8</v>
      </c>
      <c r="H73" s="331"/>
      <c r="I73" s="331"/>
      <c r="J73" s="29">
        <v>52</v>
      </c>
      <c r="K73" s="29">
        <v>52</v>
      </c>
      <c r="L73" s="29"/>
      <c r="M73" s="29"/>
      <c r="N73" s="29"/>
      <c r="O73" s="331"/>
      <c r="P73" s="331"/>
      <c r="Q73" s="331"/>
      <c r="R73" s="114"/>
      <c r="S73" s="114">
        <v>416</v>
      </c>
      <c r="T73" s="114">
        <f ca="1">IF(Data_Shelter_t[[#This Row],[Status]]="Open",Data_Shelter_t[[#This Row],[HH Covered]],0)</f>
        <v>416</v>
      </c>
      <c r="U73" s="332" t="s">
        <v>149</v>
      </c>
      <c r="V73" s="506" t="str">
        <f ca="1">IFERROR(OFFSET(Camp_List[Status],MATCH(Data_Shelter_t[[#This Row],[Camp Name]],Camp_List[Camp Name],0)-1,0,1,1),"")</f>
        <v>Open</v>
      </c>
      <c r="W73" s="480">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5">
        <f>Data_Shelter_t[[#This Row],['# of Permanent House Built]]+Data_Shelter_t[[#This Row],['# of Individual Shelter Built]]</f>
        <v>0</v>
      </c>
    </row>
    <row r="74" spans="1:25" x14ac:dyDescent="0.25">
      <c r="A74" s="496">
        <v>41548</v>
      </c>
      <c r="B74" s="331" t="s">
        <v>445</v>
      </c>
      <c r="C74" s="331" t="s">
        <v>445</v>
      </c>
      <c r="D74" s="331" t="s">
        <v>7</v>
      </c>
      <c r="E74" s="333" t="s">
        <v>19</v>
      </c>
      <c r="F74" s="331" t="s">
        <v>629</v>
      </c>
      <c r="G74" s="29">
        <v>8</v>
      </c>
      <c r="H74" s="331"/>
      <c r="I74" s="331"/>
      <c r="J74" s="22">
        <v>50</v>
      </c>
      <c r="K74" s="29">
        <v>50</v>
      </c>
      <c r="L74" s="29"/>
      <c r="M74" s="29"/>
      <c r="N74" s="29"/>
      <c r="O74" s="331"/>
      <c r="P74" s="331"/>
      <c r="Q74" s="331"/>
      <c r="R74" s="114"/>
      <c r="S74" s="114">
        <v>400</v>
      </c>
      <c r="T74" s="114">
        <f ca="1">IF(Data_Shelter_t[[#This Row],[Status]]="Open",Data_Shelter_t[[#This Row],[HH Covered]],0)</f>
        <v>400</v>
      </c>
      <c r="U74" s="332" t="s">
        <v>631</v>
      </c>
      <c r="V74" s="506" t="str">
        <f ca="1">IFERROR(OFFSET(Camp_List[Status],MATCH(Data_Shelter_t[[#This Row],[Camp Name]],Camp_List[Camp Name],0)-1,0,1,1),"")</f>
        <v>Open</v>
      </c>
      <c r="W74" s="480">
        <f ca="1">IFERROR(Data_Shelter_t[[#This Row],[HH Covered]]/OFFSET(Camp_List[HH],MATCH(Data_Shelter_t[[#This Row],[Camp Name]],Camp_List[Camp Name],0)-1,0,1,1),"")</f>
        <v>0.39564787339268054</v>
      </c>
      <c r="X74" s="29">
        <f>Data_Shelter_t[[#This Row],['# of Permanent House Planned (Target)]]+Data_Shelter_t[[#This Row],['# of Individual Shelter Planned (Target)]]</f>
        <v>0</v>
      </c>
      <c r="Y74" s="495">
        <f>Data_Shelter_t[[#This Row],['# of Permanent House Built]]+Data_Shelter_t[[#This Row],['# of Individual Shelter Built]]</f>
        <v>0</v>
      </c>
    </row>
    <row r="75" spans="1:25" x14ac:dyDescent="0.25">
      <c r="A75" s="496">
        <v>41548</v>
      </c>
      <c r="B75" s="331" t="s">
        <v>293</v>
      </c>
      <c r="C75" s="331" t="s">
        <v>293</v>
      </c>
      <c r="D75" s="331" t="s">
        <v>7</v>
      </c>
      <c r="E75" s="333" t="s">
        <v>19</v>
      </c>
      <c r="F75" s="331" t="s">
        <v>629</v>
      </c>
      <c r="G75" s="29">
        <v>8</v>
      </c>
      <c r="H75" s="331"/>
      <c r="I75" s="331"/>
      <c r="J75" s="29">
        <v>40</v>
      </c>
      <c r="K75" s="29">
        <v>40</v>
      </c>
      <c r="L75" s="29"/>
      <c r="M75" s="29"/>
      <c r="N75" s="29"/>
      <c r="O75" s="331"/>
      <c r="P75" s="331"/>
      <c r="Q75" s="331"/>
      <c r="R75" s="114"/>
      <c r="S75" s="114">
        <v>320</v>
      </c>
      <c r="T75" s="114">
        <f ca="1">IF(Data_Shelter_t[[#This Row],[Status]]="Open",Data_Shelter_t[[#This Row],[HH Covered]],0)</f>
        <v>320</v>
      </c>
      <c r="U75" s="332" t="s">
        <v>631</v>
      </c>
      <c r="V75" s="506" t="str">
        <f ca="1">IFERROR(OFFSET(Camp_List[Status],MATCH(Data_Shelter_t[[#This Row],[Camp Name]],Camp_List[Camp Name],0)-1,0,1,1),"")</f>
        <v>Open</v>
      </c>
      <c r="W75" s="480">
        <f ca="1">IFERROR(Data_Shelter_t[[#This Row],[HH Covered]]/OFFSET(Camp_List[HH],MATCH(Data_Shelter_t[[#This Row],[Camp Name]],Camp_List[Camp Name],0)-1,0,1,1),"")</f>
        <v>0.31651829871414439</v>
      </c>
      <c r="X75" s="29">
        <f>Data_Shelter_t[[#This Row],['# of Permanent House Planned (Target)]]+Data_Shelter_t[[#This Row],['# of Individual Shelter Planned (Target)]]</f>
        <v>0</v>
      </c>
      <c r="Y75" s="495">
        <f>Data_Shelter_t[[#This Row],['# of Permanent House Built]]+Data_Shelter_t[[#This Row],['# of Individual Shelter Built]]</f>
        <v>0</v>
      </c>
    </row>
    <row r="76" spans="1:25" x14ac:dyDescent="0.25">
      <c r="A76" s="496">
        <v>41548</v>
      </c>
      <c r="B76" s="331" t="s">
        <v>564</v>
      </c>
      <c r="C76" s="331" t="s">
        <v>564</v>
      </c>
      <c r="D76" s="331" t="s">
        <v>7</v>
      </c>
      <c r="E76" s="333" t="s">
        <v>19</v>
      </c>
      <c r="F76" s="331" t="s">
        <v>629</v>
      </c>
      <c r="G76" s="29">
        <v>8</v>
      </c>
      <c r="H76" s="331"/>
      <c r="I76" s="331"/>
      <c r="J76" s="29">
        <v>5</v>
      </c>
      <c r="K76" s="29">
        <v>5</v>
      </c>
      <c r="L76" s="29"/>
      <c r="M76" s="29"/>
      <c r="N76" s="29"/>
      <c r="O76" s="331"/>
      <c r="P76" s="331"/>
      <c r="Q76" s="331"/>
      <c r="R76" s="114"/>
      <c r="S76" s="114">
        <v>40</v>
      </c>
      <c r="T76" s="114">
        <f ca="1">IF(Data_Shelter_t[[#This Row],[Status]]="Open",Data_Shelter_t[[#This Row],[HH Covered]],0)</f>
        <v>40</v>
      </c>
      <c r="U76" s="332" t="s">
        <v>631</v>
      </c>
      <c r="V76" s="506" t="str">
        <f ca="1">IFERROR(OFFSET(Camp_List[Status],MATCH(Data_Shelter_t[[#This Row],[Camp Name]],Camp_List[Camp Name],0)-1,0,1,1),"")</f>
        <v>Open</v>
      </c>
      <c r="W76" s="480">
        <f ca="1">IFERROR(Data_Shelter_t[[#This Row],[HH Covered]]/OFFSET(Camp_List[HH],MATCH(Data_Shelter_t[[#This Row],[Camp Name]],Camp_List[Camp Name],0)-1,0,1,1),"")</f>
        <v>3.9564787339268048E-2</v>
      </c>
      <c r="X76" s="29">
        <f>Data_Shelter_t[[#This Row],['# of Permanent House Planned (Target)]]+Data_Shelter_t[[#This Row],['# of Individual Shelter Planned (Target)]]</f>
        <v>0</v>
      </c>
      <c r="Y76" s="495">
        <f>Data_Shelter_t[[#This Row],['# of Permanent House Built]]+Data_Shelter_t[[#This Row],['# of Individual Shelter Built]]</f>
        <v>0</v>
      </c>
    </row>
    <row r="77" spans="1:25" x14ac:dyDescent="0.25">
      <c r="A77" s="496">
        <v>41548</v>
      </c>
      <c r="B77" s="331" t="s">
        <v>295</v>
      </c>
      <c r="C77" s="331" t="s">
        <v>295</v>
      </c>
      <c r="D77" s="331" t="s">
        <v>7</v>
      </c>
      <c r="E77" s="333" t="s">
        <v>19</v>
      </c>
      <c r="F77" s="331" t="s">
        <v>629</v>
      </c>
      <c r="G77" s="29">
        <v>8</v>
      </c>
      <c r="H77" s="331"/>
      <c r="I77" s="331"/>
      <c r="J77" s="29">
        <v>32</v>
      </c>
      <c r="K77" s="29">
        <v>32</v>
      </c>
      <c r="L77" s="29">
        <v>0</v>
      </c>
      <c r="M77" s="29"/>
      <c r="N77" s="29"/>
      <c r="O77" s="331"/>
      <c r="P77" s="331"/>
      <c r="Q77" s="331"/>
      <c r="R77" s="114"/>
      <c r="S77" s="114">
        <v>256</v>
      </c>
      <c r="T77" s="114">
        <f ca="1">IF(Data_Shelter_t[[#This Row],[Status]]="Open",Data_Shelter_t[[#This Row],[HH Covered]],0)</f>
        <v>256</v>
      </c>
      <c r="U77" s="332" t="s">
        <v>631</v>
      </c>
      <c r="V77" s="506" t="str">
        <f ca="1">IFERROR(OFFSET(Camp_List[Status],MATCH(Data_Shelter_t[[#This Row],[Camp Name]],Camp_List[Camp Name],0)-1,0,1,1),"")</f>
        <v>Open</v>
      </c>
      <c r="W77" s="480">
        <f ca="1">IFERROR(Data_Shelter_t[[#This Row],[HH Covered]]/OFFSET(Camp_List[HH],MATCH(Data_Shelter_t[[#This Row],[Camp Name]],Camp_List[Camp Name],0)-1,0,1,1),"")</f>
        <v>0.25321463897131552</v>
      </c>
      <c r="X77" s="29">
        <f>Data_Shelter_t[[#This Row],['# of Permanent House Planned (Target)]]+Data_Shelter_t[[#This Row],['# of Individual Shelter Planned (Target)]]</f>
        <v>0</v>
      </c>
      <c r="Y77" s="495">
        <f>Data_Shelter_t[[#This Row],['# of Permanent House Built]]+Data_Shelter_t[[#This Row],['# of Individual Shelter Built]]</f>
        <v>0</v>
      </c>
    </row>
    <row r="78" spans="1:25" x14ac:dyDescent="0.25">
      <c r="A78" s="496">
        <v>41548</v>
      </c>
      <c r="B78" s="332" t="s">
        <v>293</v>
      </c>
      <c r="C78" s="332" t="s">
        <v>293</v>
      </c>
      <c r="D78" s="332" t="s">
        <v>7</v>
      </c>
      <c r="E78" s="347" t="s">
        <v>19</v>
      </c>
      <c r="F78" s="332" t="s">
        <v>630</v>
      </c>
      <c r="G78" s="22">
        <v>8</v>
      </c>
      <c r="H78" s="332"/>
      <c r="I78" s="332"/>
      <c r="J78" s="22">
        <v>100</v>
      </c>
      <c r="K78" s="22">
        <v>100</v>
      </c>
      <c r="L78" s="22">
        <v>0</v>
      </c>
      <c r="M78" s="22"/>
      <c r="N78" s="22"/>
      <c r="O78" s="332"/>
      <c r="P78" s="332"/>
      <c r="Q78" s="332"/>
      <c r="R78" s="114"/>
      <c r="S78" s="114">
        <v>800</v>
      </c>
      <c r="T78" s="114">
        <f ca="1">IF(Data_Shelter_t[[#This Row],[Status]]="Open",Data_Shelter_t[[#This Row],[HH Covered]],0)</f>
        <v>800</v>
      </c>
      <c r="U78" s="332" t="s">
        <v>632</v>
      </c>
      <c r="V78" s="506" t="str">
        <f ca="1">IFERROR(OFFSET(Camp_List[Status],MATCH(Data_Shelter_t[[#This Row],[Camp Name]],Camp_List[Camp Name],0)-1,0,1,1),"")</f>
        <v>Open</v>
      </c>
      <c r="W78" s="480">
        <f ca="1">IFERROR(Data_Shelter_t[[#This Row],[HH Covered]]/OFFSET(Camp_List[HH],MATCH(Data_Shelter_t[[#This Row],[Camp Name]],Camp_List[Camp Name],0)-1,0,1,1),"")</f>
        <v>0.6206361520558572</v>
      </c>
      <c r="X78" s="29">
        <f>Data_Shelter_t[[#This Row],['# of Permanent House Planned (Target)]]+Data_Shelter_t[[#This Row],['# of Individual Shelter Planned (Target)]]</f>
        <v>0</v>
      </c>
      <c r="Y78" s="495">
        <f>Data_Shelter_t[[#This Row],['# of Permanent House Built]]+Data_Shelter_t[[#This Row],['# of Individual Shelter Built]]</f>
        <v>0</v>
      </c>
    </row>
    <row r="79" spans="1:25" x14ac:dyDescent="0.25">
      <c r="A79" s="496">
        <v>41548</v>
      </c>
      <c r="B79" s="331" t="s">
        <v>564</v>
      </c>
      <c r="C79" s="331" t="s">
        <v>564</v>
      </c>
      <c r="D79" s="331" t="s">
        <v>7</v>
      </c>
      <c r="E79" s="333" t="s">
        <v>19</v>
      </c>
      <c r="F79" s="331" t="s">
        <v>630</v>
      </c>
      <c r="G79" s="29">
        <v>8</v>
      </c>
      <c r="H79" s="331"/>
      <c r="I79" s="331"/>
      <c r="J79" s="22">
        <v>14</v>
      </c>
      <c r="K79" s="29">
        <v>14</v>
      </c>
      <c r="L79" s="29"/>
      <c r="M79" s="29"/>
      <c r="N79" s="29"/>
      <c r="O79" s="331"/>
      <c r="P79" s="331"/>
      <c r="Q79" s="331"/>
      <c r="R79" s="114"/>
      <c r="S79" s="114">
        <v>112</v>
      </c>
      <c r="T79" s="114">
        <f ca="1">IF(Data_Shelter_t[[#This Row],[Status]]="Open",Data_Shelter_t[[#This Row],[HH Covered]],0)</f>
        <v>112</v>
      </c>
      <c r="U79" s="332" t="s">
        <v>632</v>
      </c>
      <c r="V79" s="506" t="str">
        <f ca="1">IFERROR(OFFSET(Camp_List[Status],MATCH(Data_Shelter_t[[#This Row],[Camp Name]],Camp_List[Camp Name],0)-1,0,1,1),"")</f>
        <v>Open</v>
      </c>
      <c r="W79" s="480">
        <f ca="1">IFERROR(Data_Shelter_t[[#This Row],[HH Covered]]/OFFSET(Camp_List[HH],MATCH(Data_Shelter_t[[#This Row],[Camp Name]],Camp_List[Camp Name],0)-1,0,1,1),"")</f>
        <v>8.6889061287820021E-2</v>
      </c>
      <c r="X79" s="22">
        <f>Data_Shelter_t[[#This Row],['# of Permanent House Planned (Target)]]+Data_Shelter_t[[#This Row],['# of Individual Shelter Planned (Target)]]</f>
        <v>0</v>
      </c>
      <c r="Y79" s="498">
        <f>Data_Shelter_t[[#This Row],['# of Permanent House Built]]+Data_Shelter_t[[#This Row],['# of Individual Shelter Built]]</f>
        <v>0</v>
      </c>
    </row>
    <row r="80" spans="1:25" x14ac:dyDescent="0.25">
      <c r="A80" s="496">
        <v>41548</v>
      </c>
      <c r="B80" s="332" t="s">
        <v>296</v>
      </c>
      <c r="C80" s="332" t="s">
        <v>296</v>
      </c>
      <c r="D80" s="332" t="s">
        <v>7</v>
      </c>
      <c r="E80" s="347" t="s">
        <v>19</v>
      </c>
      <c r="F80" s="332" t="s">
        <v>630</v>
      </c>
      <c r="G80" s="22">
        <v>10</v>
      </c>
      <c r="H80" s="332"/>
      <c r="I80" s="332"/>
      <c r="J80" s="22">
        <v>40</v>
      </c>
      <c r="K80" s="22">
        <v>40</v>
      </c>
      <c r="L80" s="22"/>
      <c r="M80" s="22"/>
      <c r="N80" s="22"/>
      <c r="O80" s="332"/>
      <c r="P80" s="332"/>
      <c r="Q80" s="332"/>
      <c r="R80" s="114"/>
      <c r="S80" s="114">
        <v>400</v>
      </c>
      <c r="T80" s="114">
        <f ca="1">IF(Data_Shelter_t[[#This Row],[Status]]="Open",Data_Shelter_t[[#This Row],[HH Covered]],0)</f>
        <v>400</v>
      </c>
      <c r="U80" s="332" t="s">
        <v>632</v>
      </c>
      <c r="V80" s="506" t="str">
        <f ca="1">IFERROR(OFFSET(Camp_List[Status],MATCH(Data_Shelter_t[[#This Row],[Camp Name]],Camp_List[Camp Name],0)-1,0,1,1),"")</f>
        <v>Open</v>
      </c>
      <c r="W80" s="480">
        <f ca="1">IFERROR(Data_Shelter_t[[#This Row],[HH Covered]]/OFFSET(Camp_List[HH],MATCH(Data_Shelter_t[[#This Row],[Camp Name]],Camp_List[Camp Name],0)-1,0,1,1),"")</f>
        <v>0.3103180760279286</v>
      </c>
      <c r="X80" s="22">
        <f>Data_Shelter_t[[#This Row],['# of Permanent House Planned (Target)]]+Data_Shelter_t[[#This Row],['# of Individual Shelter Planned (Target)]]</f>
        <v>0</v>
      </c>
      <c r="Y80" s="498">
        <f>Data_Shelter_t[[#This Row],['# of Permanent House Built]]+Data_Shelter_t[[#This Row],['# of Individual Shelter Built]]</f>
        <v>0</v>
      </c>
    </row>
    <row r="81" spans="1:25" x14ac:dyDescent="0.25">
      <c r="A81" s="496">
        <v>41548</v>
      </c>
      <c r="B81" s="331" t="s">
        <v>293</v>
      </c>
      <c r="C81" s="331" t="s">
        <v>293</v>
      </c>
      <c r="D81" s="331" t="s">
        <v>7</v>
      </c>
      <c r="E81" s="333" t="s">
        <v>16</v>
      </c>
      <c r="F81" s="331" t="s">
        <v>604</v>
      </c>
      <c r="G81" s="29">
        <v>8</v>
      </c>
      <c r="H81" s="331"/>
      <c r="I81" s="331"/>
      <c r="J81" s="29">
        <v>24</v>
      </c>
      <c r="K81" s="29">
        <v>24</v>
      </c>
      <c r="L81" s="29"/>
      <c r="M81" s="29"/>
      <c r="N81" s="29"/>
      <c r="O81" s="331"/>
      <c r="P81" s="331"/>
      <c r="Q81" s="331"/>
      <c r="R81" s="114"/>
      <c r="S81" s="114">
        <v>192</v>
      </c>
      <c r="T81" s="114">
        <f ca="1">IF(Data_Shelter_t[[#This Row],[Status]]="Open",Data_Shelter_t[[#This Row],[HH Covered]],0)</f>
        <v>192</v>
      </c>
      <c r="U81" s="332" t="s">
        <v>143</v>
      </c>
      <c r="V81" s="506" t="str">
        <f ca="1">IFERROR(OFFSET(Camp_List[Status],MATCH(Data_Shelter_t[[#This Row],[Camp Name]],Camp_List[Camp Name],0)-1,0,1,1),"")</f>
        <v>Open</v>
      </c>
      <c r="W81" s="480">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5">
        <f>Data_Shelter_t[[#This Row],['# of Permanent House Built]]+Data_Shelter_t[[#This Row],['# of Individual Shelter Built]]</f>
        <v>0</v>
      </c>
    </row>
    <row r="82" spans="1:25" x14ac:dyDescent="0.25">
      <c r="A82" s="496">
        <v>41548</v>
      </c>
      <c r="B82" s="331" t="s">
        <v>445</v>
      </c>
      <c r="C82" s="331" t="s">
        <v>445</v>
      </c>
      <c r="D82" s="331" t="s">
        <v>7</v>
      </c>
      <c r="E82" s="333" t="s">
        <v>19</v>
      </c>
      <c r="F82" s="331" t="s">
        <v>63</v>
      </c>
      <c r="G82" s="29">
        <v>8</v>
      </c>
      <c r="H82" s="331"/>
      <c r="I82" s="331"/>
      <c r="J82" s="29">
        <v>41</v>
      </c>
      <c r="K82" s="29">
        <v>41</v>
      </c>
      <c r="L82" s="29"/>
      <c r="M82" s="29"/>
      <c r="N82" s="29"/>
      <c r="O82" s="331"/>
      <c r="P82" s="331"/>
      <c r="Q82" s="331"/>
      <c r="R82" s="114"/>
      <c r="S82" s="114">
        <v>328</v>
      </c>
      <c r="T82" s="114">
        <f ca="1">IF(Data_Shelter_t[[#This Row],[Status]]="Open",Data_Shelter_t[[#This Row],[HH Covered]],0)</f>
        <v>328</v>
      </c>
      <c r="U82" s="332" t="s">
        <v>151</v>
      </c>
      <c r="V82" s="506" t="str">
        <f ca="1">IFERROR(OFFSET(Camp_List[Status],MATCH(Data_Shelter_t[[#This Row],[Camp Name]],Camp_List[Camp Name],0)-1,0,1,1),"")</f>
        <v>Open</v>
      </c>
      <c r="W82" s="480">
        <f ca="1">IFERROR(Data_Shelter_t[[#This Row],[HH Covered]]/OFFSET(Camp_List[HH],MATCH(Data_Shelter_t[[#This Row],[Camp Name]],Camp_List[Camp Name],0)-1,0,1,1),"")</f>
        <v>0.2292103424178896</v>
      </c>
      <c r="X82" s="29">
        <f>Data_Shelter_t[[#This Row],['# of Permanent House Planned (Target)]]+Data_Shelter_t[[#This Row],['# of Individual Shelter Planned (Target)]]</f>
        <v>0</v>
      </c>
      <c r="Y82" s="495">
        <f>Data_Shelter_t[[#This Row],['# of Permanent House Built]]+Data_Shelter_t[[#This Row],['# of Individual Shelter Built]]</f>
        <v>0</v>
      </c>
    </row>
    <row r="83" spans="1:25" x14ac:dyDescent="0.25">
      <c r="A83" s="496">
        <v>41548</v>
      </c>
      <c r="B83" s="331" t="s">
        <v>293</v>
      </c>
      <c r="C83" s="331" t="s">
        <v>293</v>
      </c>
      <c r="D83" s="331" t="s">
        <v>7</v>
      </c>
      <c r="E83" s="333" t="s">
        <v>19</v>
      </c>
      <c r="F83" s="331" t="s">
        <v>63</v>
      </c>
      <c r="G83" s="29">
        <v>8</v>
      </c>
      <c r="H83" s="331"/>
      <c r="I83" s="331"/>
      <c r="J83" s="29">
        <v>141</v>
      </c>
      <c r="K83" s="29">
        <v>141</v>
      </c>
      <c r="L83" s="29"/>
      <c r="M83" s="29"/>
      <c r="N83" s="29"/>
      <c r="O83" s="331"/>
      <c r="P83" s="331"/>
      <c r="Q83" s="331"/>
      <c r="R83" s="114"/>
      <c r="S83" s="114">
        <v>1128</v>
      </c>
      <c r="T83" s="114">
        <f ca="1">IF(Data_Shelter_t[[#This Row],[Status]]="Open",Data_Shelter_t[[#This Row],[HH Covered]],0)</f>
        <v>1128</v>
      </c>
      <c r="U83" s="332" t="s">
        <v>151</v>
      </c>
      <c r="V83" s="506" t="str">
        <f ca="1">IFERROR(OFFSET(Camp_List[Status],MATCH(Data_Shelter_t[[#This Row],[Camp Name]],Camp_List[Camp Name],0)-1,0,1,1),"")</f>
        <v>Open</v>
      </c>
      <c r="W83" s="480">
        <f ca="1">IFERROR(Data_Shelter_t[[#This Row],[HH Covered]]/OFFSET(Camp_List[HH],MATCH(Data_Shelter_t[[#This Row],[Camp Name]],Camp_List[Camp Name],0)-1,0,1,1),"")</f>
        <v>0.7882599580712788</v>
      </c>
      <c r="X83" s="29">
        <f>Data_Shelter_t[[#This Row],['# of Permanent House Planned (Target)]]+Data_Shelter_t[[#This Row],['# of Individual Shelter Planned (Target)]]</f>
        <v>0</v>
      </c>
      <c r="Y83" s="495">
        <f>Data_Shelter_t[[#This Row],['# of Permanent House Built]]+Data_Shelter_t[[#This Row],['# of Individual Shelter Built]]</f>
        <v>0</v>
      </c>
    </row>
    <row r="84" spans="1:25" x14ac:dyDescent="0.25">
      <c r="A84" s="496">
        <v>41548</v>
      </c>
      <c r="B84" s="331" t="s">
        <v>445</v>
      </c>
      <c r="C84" s="331" t="s">
        <v>445</v>
      </c>
      <c r="D84" s="331" t="s">
        <v>7</v>
      </c>
      <c r="E84" s="333" t="s">
        <v>19</v>
      </c>
      <c r="F84" s="331" t="s">
        <v>64</v>
      </c>
      <c r="G84" s="29">
        <v>8</v>
      </c>
      <c r="H84" s="331"/>
      <c r="I84" s="331"/>
      <c r="J84" s="29">
        <v>25</v>
      </c>
      <c r="K84" s="29">
        <v>25</v>
      </c>
      <c r="L84" s="29"/>
      <c r="M84" s="29"/>
      <c r="N84" s="29"/>
      <c r="O84" s="331"/>
      <c r="P84" s="331"/>
      <c r="Q84" s="331"/>
      <c r="R84" s="114"/>
      <c r="S84" s="114">
        <v>200</v>
      </c>
      <c r="T84" s="114">
        <f ca="1">IF(Data_Shelter_t[[#This Row],[Status]]="Open",Data_Shelter_t[[#This Row],[HH Covered]],0)</f>
        <v>200</v>
      </c>
      <c r="U84" s="332" t="s">
        <v>152</v>
      </c>
      <c r="V84" s="506" t="str">
        <f ca="1">IFERROR(OFFSET(Camp_List[Status],MATCH(Data_Shelter_t[[#This Row],[Camp Name]],Camp_List[Camp Name],0)-1,0,1,1),"")</f>
        <v>Open</v>
      </c>
      <c r="W84" s="480">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5">
        <f>Data_Shelter_t[[#This Row],['# of Permanent House Built]]+Data_Shelter_t[[#This Row],['# of Individual Shelter Built]]</f>
        <v>0</v>
      </c>
    </row>
    <row r="85" spans="1:25" x14ac:dyDescent="0.25">
      <c r="A85" s="496">
        <v>41548</v>
      </c>
      <c r="B85" s="331" t="s">
        <v>293</v>
      </c>
      <c r="C85" s="331" t="s">
        <v>293</v>
      </c>
      <c r="D85" s="331" t="s">
        <v>7</v>
      </c>
      <c r="E85" s="333" t="s">
        <v>19</v>
      </c>
      <c r="F85" s="331" t="s">
        <v>64</v>
      </c>
      <c r="G85" s="790">
        <v>8</v>
      </c>
      <c r="H85" s="331"/>
      <c r="I85" s="331"/>
      <c r="J85" s="790">
        <v>75</v>
      </c>
      <c r="K85" s="790">
        <v>75</v>
      </c>
      <c r="L85" s="790"/>
      <c r="M85" s="29"/>
      <c r="N85" s="29"/>
      <c r="O85" s="331"/>
      <c r="P85" s="331"/>
      <c r="Q85" s="331"/>
      <c r="R85" s="114"/>
      <c r="S85" s="114">
        <v>600</v>
      </c>
      <c r="T85" s="114">
        <f ca="1">IF(Data_Shelter_t[[#This Row],[Status]]="Open",Data_Shelter_t[[#This Row],[HH Covered]],0)</f>
        <v>600</v>
      </c>
      <c r="U85" s="332" t="s">
        <v>152</v>
      </c>
      <c r="V85" s="506" t="str">
        <f ca="1">IFERROR(OFFSET(Camp_List[Status],MATCH(Data_Shelter_t[[#This Row],[Camp Name]],Camp_List[Camp Name],0)-1,0,1,1),"")</f>
        <v>Open</v>
      </c>
      <c r="W85" s="480">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5">
        <f>Data_Shelter_t[[#This Row],['# of Permanent House Built]]+Data_Shelter_t[[#This Row],['# of Individual Shelter Built]]</f>
        <v>0</v>
      </c>
    </row>
    <row r="86" spans="1:25" x14ac:dyDescent="0.25">
      <c r="A86" s="496">
        <v>41548</v>
      </c>
      <c r="B86" s="331" t="s">
        <v>293</v>
      </c>
      <c r="C86" s="331" t="s">
        <v>293</v>
      </c>
      <c r="D86" s="331" t="s">
        <v>7</v>
      </c>
      <c r="E86" s="333" t="s">
        <v>16</v>
      </c>
      <c r="F86" s="331" t="s">
        <v>400</v>
      </c>
      <c r="G86" s="790">
        <v>8</v>
      </c>
      <c r="H86" s="331"/>
      <c r="I86" s="331"/>
      <c r="J86" s="790">
        <v>29</v>
      </c>
      <c r="K86" s="790">
        <v>29</v>
      </c>
      <c r="L86" s="790"/>
      <c r="M86" s="29"/>
      <c r="N86" s="29"/>
      <c r="O86" s="331"/>
      <c r="P86" s="331"/>
      <c r="Q86" s="331"/>
      <c r="R86" s="114"/>
      <c r="S86" s="114">
        <v>232</v>
      </c>
      <c r="T86" s="114">
        <f ca="1">IF(Data_Shelter_t[[#This Row],[Status]]="Open",Data_Shelter_t[[#This Row],[HH Covered]],0)</f>
        <v>232</v>
      </c>
      <c r="U86" s="332" t="s">
        <v>605</v>
      </c>
      <c r="V86" s="506" t="str">
        <f ca="1">IFERROR(OFFSET(Camp_List[Status],MATCH(Data_Shelter_t[[#This Row],[Camp Name]],Camp_List[Camp Name],0)-1,0,1,1),"")</f>
        <v>Open</v>
      </c>
      <c r="W86" s="480">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5">
        <f>Data_Shelter_t[[#This Row],['# of Permanent House Built]]+Data_Shelter_t[[#This Row],['# of Individual Shelter Built]]</f>
        <v>0</v>
      </c>
    </row>
    <row r="87" spans="1:25" x14ac:dyDescent="0.25">
      <c r="A87" s="496">
        <v>41548</v>
      </c>
      <c r="B87" s="331" t="s">
        <v>293</v>
      </c>
      <c r="C87" s="331" t="s">
        <v>293</v>
      </c>
      <c r="D87" s="331" t="s">
        <v>7</v>
      </c>
      <c r="E87" s="333" t="s">
        <v>607</v>
      </c>
      <c r="F87" s="331" t="s">
        <v>58</v>
      </c>
      <c r="G87" s="29">
        <v>8</v>
      </c>
      <c r="H87" s="331"/>
      <c r="I87" s="331"/>
      <c r="J87" s="29">
        <v>22</v>
      </c>
      <c r="K87" s="29">
        <v>22</v>
      </c>
      <c r="L87" s="29"/>
      <c r="M87" s="29"/>
      <c r="N87" s="29"/>
      <c r="O87" s="331"/>
      <c r="P87" s="331"/>
      <c r="Q87" s="331"/>
      <c r="R87" s="114"/>
      <c r="S87" s="114">
        <v>176</v>
      </c>
      <c r="T87" s="114">
        <f ca="1">IF(Data_Shelter_t[[#This Row],[Status]]="Open",Data_Shelter_t[[#This Row],[HH Covered]],0)</f>
        <v>176</v>
      </c>
      <c r="U87" s="332" t="s">
        <v>145</v>
      </c>
      <c r="V87" s="506" t="str">
        <f ca="1">IFERROR(OFFSET(Camp_List[Status],MATCH(Data_Shelter_t[[#This Row],[Camp Name]],Camp_List[Camp Name],0)-1,0,1,1),"")</f>
        <v>Open</v>
      </c>
      <c r="W87" s="480">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5">
        <f>Data_Shelter_t[[#This Row],['# of Permanent House Built]]+Data_Shelter_t[[#This Row],['# of Individual Shelter Built]]</f>
        <v>0</v>
      </c>
    </row>
    <row r="88" spans="1:25" x14ac:dyDescent="0.25">
      <c r="A88" s="496">
        <v>41548</v>
      </c>
      <c r="B88" s="331" t="s">
        <v>298</v>
      </c>
      <c r="C88" s="331" t="s">
        <v>298</v>
      </c>
      <c r="D88" s="331" t="s">
        <v>7</v>
      </c>
      <c r="E88" s="333" t="s">
        <v>607</v>
      </c>
      <c r="F88" s="331" t="s">
        <v>58</v>
      </c>
      <c r="G88" s="790">
        <v>8</v>
      </c>
      <c r="H88" s="331"/>
      <c r="I88" s="331"/>
      <c r="J88" s="790">
        <v>31</v>
      </c>
      <c r="K88" s="790">
        <v>31</v>
      </c>
      <c r="L88" s="790"/>
      <c r="M88" s="790"/>
      <c r="N88" s="790"/>
      <c r="O88" s="331"/>
      <c r="P88" s="331"/>
      <c r="Q88" s="331"/>
      <c r="R88" s="114"/>
      <c r="S88" s="114">
        <v>248</v>
      </c>
      <c r="T88" s="114">
        <f ca="1">IF(Data_Shelter_t[[#This Row],[Status]]="Open",Data_Shelter_t[[#This Row],[HH Covered]],0)</f>
        <v>248</v>
      </c>
      <c r="U88" s="332" t="s">
        <v>145</v>
      </c>
      <c r="V88" s="506" t="str">
        <f ca="1">IFERROR(OFFSET(Camp_List[Status],MATCH(Data_Shelter_t[[#This Row],[Camp Name]],Camp_List[Camp Name],0)-1,0,1,1),"")</f>
        <v>Open</v>
      </c>
      <c r="W88" s="480">
        <f ca="1">IFERROR(Data_Shelter_t[[#This Row],[HH Covered]]/OFFSET(Camp_List[HH],MATCH(Data_Shelter_t[[#This Row],[Camp Name]],Camp_List[Camp Name],0)-1,0,1,1),"")</f>
        <v>0.58079625292740045</v>
      </c>
      <c r="X88" s="790">
        <f>Data_Shelter_t[[#This Row],['# of Permanent House Planned (Target)]]+Data_Shelter_t[[#This Row],['# of Individual Shelter Planned (Target)]]</f>
        <v>0</v>
      </c>
      <c r="Y88" s="495">
        <f>Data_Shelter_t[[#This Row],['# of Permanent House Built]]+Data_Shelter_t[[#This Row],['# of Individual Shelter Built]]</f>
        <v>0</v>
      </c>
    </row>
    <row r="89" spans="1:25" x14ac:dyDescent="0.25">
      <c r="A89" s="496">
        <v>41548</v>
      </c>
      <c r="B89" s="331" t="s">
        <v>285</v>
      </c>
      <c r="C89" s="331" t="s">
        <v>285</v>
      </c>
      <c r="D89" s="331" t="s">
        <v>7</v>
      </c>
      <c r="E89" s="333" t="s">
        <v>14</v>
      </c>
      <c r="F89" s="331" t="s">
        <v>42</v>
      </c>
      <c r="G89" s="29">
        <v>8</v>
      </c>
      <c r="H89" s="331"/>
      <c r="I89" s="331"/>
      <c r="J89" s="29">
        <v>98</v>
      </c>
      <c r="K89" s="29">
        <v>98</v>
      </c>
      <c r="L89" s="29"/>
      <c r="M89" s="29"/>
      <c r="N89" s="29"/>
      <c r="O89" s="331"/>
      <c r="P89" s="331"/>
      <c r="Q89" s="331"/>
      <c r="R89" s="114"/>
      <c r="S89" s="114">
        <v>784</v>
      </c>
      <c r="T89" s="114">
        <f ca="1">IF(Data_Shelter_t[[#This Row],[Status]]="Open",Data_Shelter_t[[#This Row],[HH Covered]],0)</f>
        <v>784</v>
      </c>
      <c r="U89" s="332" t="s">
        <v>128</v>
      </c>
      <c r="V89" s="506" t="str">
        <f ca="1">IFERROR(OFFSET(Camp_List[Status],MATCH(Data_Shelter_t[[#This Row],[Camp Name]],Camp_List[Camp Name],0)-1,0,1,1),"")</f>
        <v>Open</v>
      </c>
      <c r="W89" s="480">
        <f ca="1">IFERROR(Data_Shelter_t[[#This Row],[HH Covered]]/OFFSET(Camp_List[HH],MATCH(Data_Shelter_t[[#This Row],[Camp Name]],Camp_List[Camp Name],0)-1,0,1,1),"")</f>
        <v>0.77470355731225293</v>
      </c>
      <c r="X89" s="29">
        <f>Data_Shelter_t[[#This Row],['# of Permanent House Planned (Target)]]+Data_Shelter_t[[#This Row],['# of Individual Shelter Planned (Target)]]</f>
        <v>0</v>
      </c>
      <c r="Y89" s="495">
        <f>Data_Shelter_t[[#This Row],['# of Permanent House Built]]+Data_Shelter_t[[#This Row],['# of Individual Shelter Built]]</f>
        <v>0</v>
      </c>
    </row>
    <row r="90" spans="1:25" x14ac:dyDescent="0.25">
      <c r="A90" s="496">
        <v>41548</v>
      </c>
      <c r="B90" s="331" t="s">
        <v>293</v>
      </c>
      <c r="C90" s="331" t="s">
        <v>293</v>
      </c>
      <c r="D90" s="331" t="s">
        <v>7</v>
      </c>
      <c r="E90" s="333" t="s">
        <v>19</v>
      </c>
      <c r="F90" s="331" t="s">
        <v>628</v>
      </c>
      <c r="G90" s="790">
        <v>8</v>
      </c>
      <c r="H90" s="331"/>
      <c r="I90" s="331"/>
      <c r="J90" s="790">
        <v>78</v>
      </c>
      <c r="K90" s="790">
        <v>78</v>
      </c>
      <c r="L90" s="790"/>
      <c r="M90" s="790"/>
      <c r="N90" s="790"/>
      <c r="O90" s="331"/>
      <c r="P90" s="331"/>
      <c r="Q90" s="331"/>
      <c r="R90" s="114"/>
      <c r="S90" s="114">
        <v>624</v>
      </c>
      <c r="T90" s="114">
        <f ca="1">IF(Data_Shelter_t[[#This Row],[Status]]="Open",Data_Shelter_t[[#This Row],[HH Covered]],0)</f>
        <v>624</v>
      </c>
      <c r="U90" s="332" t="s">
        <v>281</v>
      </c>
      <c r="V90" s="506" t="str">
        <f ca="1">IFERROR(OFFSET(Camp_List[Status],MATCH(Data_Shelter_t[[#This Row],[Camp Name]],Camp_List[Camp Name],0)-1,0,1,1),"")</f>
        <v>Open</v>
      </c>
      <c r="W90" s="480">
        <f ca="1">IFERROR(Data_Shelter_t[[#This Row],[HH Covered]]/OFFSET(Camp_List[HH],MATCH(Data_Shelter_t[[#This Row],[Camp Name]],Camp_List[Camp Name],0)-1,0,1,1),"")</f>
        <v>1.0032154340836013</v>
      </c>
      <c r="X90" s="22">
        <f>Data_Shelter_t[[#This Row],['# of Permanent House Planned (Target)]]+Data_Shelter_t[[#This Row],['# of Individual Shelter Planned (Target)]]</f>
        <v>0</v>
      </c>
      <c r="Y90" s="498">
        <f>Data_Shelter_t[[#This Row],['# of Permanent House Built]]+Data_Shelter_t[[#This Row],['# of Individual Shelter Built]]</f>
        <v>0</v>
      </c>
    </row>
    <row r="91" spans="1:25" x14ac:dyDescent="0.25">
      <c r="A91" s="496">
        <v>41548</v>
      </c>
      <c r="B91" s="331" t="s">
        <v>285</v>
      </c>
      <c r="C91" s="331" t="s">
        <v>285</v>
      </c>
      <c r="D91" s="331" t="s">
        <v>7</v>
      </c>
      <c r="E91" s="333" t="s">
        <v>14</v>
      </c>
      <c r="F91" s="331" t="s">
        <v>41</v>
      </c>
      <c r="G91" s="29">
        <v>8</v>
      </c>
      <c r="H91" s="331"/>
      <c r="I91" s="331"/>
      <c r="J91" s="29">
        <v>169</v>
      </c>
      <c r="K91" s="29">
        <v>169</v>
      </c>
      <c r="L91" s="29"/>
      <c r="M91" s="29"/>
      <c r="N91" s="29"/>
      <c r="O91" s="331"/>
      <c r="P91" s="331"/>
      <c r="Q91" s="331"/>
      <c r="R91" s="114"/>
      <c r="S91" s="114">
        <v>1352</v>
      </c>
      <c r="T91" s="114">
        <f ca="1">IF(Data_Shelter_t[[#This Row],[Status]]="Open",Data_Shelter_t[[#This Row],[HH Covered]],0)</f>
        <v>0</v>
      </c>
      <c r="U91" s="332" t="s">
        <v>127</v>
      </c>
      <c r="V91" s="506" t="str">
        <f ca="1">IFERROR(OFFSET(Camp_List[Status],MATCH(Data_Shelter_t[[#This Row],[Camp Name]],Camp_List[Camp Name],0)-1,0,1,1),"")</f>
        <v/>
      </c>
      <c r="W91" s="480" t="str">
        <f ca="1">IFERROR(Data_Shelter_t[[#This Row],[HH Covered]]/OFFSET(Camp_List[HH],MATCH(Data_Shelter_t[[#This Row],[Camp Name]],Camp_List[Camp Name],0)-1,0,1,1),"")</f>
        <v/>
      </c>
      <c r="X91" s="29">
        <f>Data_Shelter_t[[#This Row],['# of Permanent House Planned (Target)]]+Data_Shelter_t[[#This Row],['# of Individual Shelter Planned (Target)]]</f>
        <v>0</v>
      </c>
      <c r="Y91" s="495">
        <f>Data_Shelter_t[[#This Row],['# of Permanent House Built]]+Data_Shelter_t[[#This Row],['# of Individual Shelter Built]]</f>
        <v>0</v>
      </c>
    </row>
    <row r="92" spans="1:25" x14ac:dyDescent="0.25">
      <c r="A92" s="496">
        <v>41548</v>
      </c>
      <c r="B92" s="331" t="s">
        <v>293</v>
      </c>
      <c r="C92" s="331" t="s">
        <v>293</v>
      </c>
      <c r="D92" s="331" t="s">
        <v>7</v>
      </c>
      <c r="E92" s="333" t="s">
        <v>15</v>
      </c>
      <c r="F92" s="331" t="s">
        <v>47</v>
      </c>
      <c r="G92" s="29">
        <v>8</v>
      </c>
      <c r="H92" s="331"/>
      <c r="I92" s="331"/>
      <c r="J92" s="29">
        <v>9</v>
      </c>
      <c r="K92" s="29">
        <v>9</v>
      </c>
      <c r="L92" s="29"/>
      <c r="M92" s="29"/>
      <c r="N92" s="29"/>
      <c r="O92" s="331"/>
      <c r="P92" s="331"/>
      <c r="Q92" s="331"/>
      <c r="R92" s="114"/>
      <c r="S92" s="114">
        <v>72</v>
      </c>
      <c r="T92" s="114">
        <f ca="1">IF(Data_Shelter_t[[#This Row],[Status]]="Open",Data_Shelter_t[[#This Row],[HH Covered]],0)</f>
        <v>72</v>
      </c>
      <c r="U92" s="332" t="s">
        <v>133</v>
      </c>
      <c r="V92" s="506" t="str">
        <f ca="1">IFERROR(OFFSET(Camp_List[Status],MATCH(Data_Shelter_t[[#This Row],[Camp Name]],Camp_List[Camp Name],0)-1,0,1,1),"")</f>
        <v>Open</v>
      </c>
      <c r="W92" s="480">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5">
        <f>Data_Shelter_t[[#This Row],['# of Permanent House Built]]+Data_Shelter_t[[#This Row],['# of Individual Shelter Built]]</f>
        <v>0</v>
      </c>
    </row>
    <row r="93" spans="1:25" s="5" customFormat="1" x14ac:dyDescent="0.25">
      <c r="A93" s="496">
        <v>41548</v>
      </c>
      <c r="B93" s="331" t="s">
        <v>285</v>
      </c>
      <c r="C93" s="331" t="s">
        <v>285</v>
      </c>
      <c r="D93" s="331" t="s">
        <v>7</v>
      </c>
      <c r="E93" s="333" t="s">
        <v>19</v>
      </c>
      <c r="F93" s="331" t="s">
        <v>633</v>
      </c>
      <c r="G93" s="790">
        <v>8</v>
      </c>
      <c r="H93" s="331"/>
      <c r="I93" s="331"/>
      <c r="J93" s="790">
        <v>80</v>
      </c>
      <c r="K93" s="790">
        <v>80</v>
      </c>
      <c r="L93" s="790"/>
      <c r="M93" s="790"/>
      <c r="N93" s="790"/>
      <c r="O93" s="331"/>
      <c r="P93" s="331"/>
      <c r="Q93" s="331"/>
      <c r="R93" s="114"/>
      <c r="S93" s="114">
        <v>640</v>
      </c>
      <c r="T93" s="114">
        <f ca="1">IF(Data_Shelter_t[[#This Row],[Status]]="Open",Data_Shelter_t[[#This Row],[HH Covered]],0)</f>
        <v>640</v>
      </c>
      <c r="U93" s="332" t="s">
        <v>545</v>
      </c>
      <c r="V93" s="506" t="str">
        <f ca="1">IFERROR(OFFSET(Camp_List[Status],MATCH(Data_Shelter_t[[#This Row],[Camp Name]],Camp_List[Camp Name],0)-1,0,1,1),"")</f>
        <v>Open</v>
      </c>
      <c r="W93" s="480">
        <f ca="1">IFERROR(Data_Shelter_t[[#This Row],[HH Covered]]/OFFSET(Camp_List[HH],MATCH(Data_Shelter_t[[#This Row],[Camp Name]],Camp_List[Camp Name],0)-1,0,1,1),"")</f>
        <v>0.9397944199706314</v>
      </c>
      <c r="X93" s="790">
        <f>Data_Shelter_t[[#This Row],['# of Permanent House Planned (Target)]]+Data_Shelter_t[[#This Row],['# of Individual Shelter Planned (Target)]]</f>
        <v>0</v>
      </c>
      <c r="Y93" s="495">
        <f>Data_Shelter_t[[#This Row],['# of Permanent House Built]]+Data_Shelter_t[[#This Row],['# of Individual Shelter Built]]</f>
        <v>0</v>
      </c>
    </row>
    <row r="94" spans="1:25" s="5" customFormat="1" x14ac:dyDescent="0.25">
      <c r="A94" s="496">
        <v>41548</v>
      </c>
      <c r="B94" s="331" t="s">
        <v>445</v>
      </c>
      <c r="C94" s="331" t="s">
        <v>445</v>
      </c>
      <c r="D94" s="331" t="s">
        <v>7</v>
      </c>
      <c r="E94" s="333" t="s">
        <v>19</v>
      </c>
      <c r="F94" s="331" t="s">
        <v>634</v>
      </c>
      <c r="G94" s="29">
        <v>8</v>
      </c>
      <c r="H94" s="331"/>
      <c r="I94" s="331"/>
      <c r="J94" s="29">
        <v>45</v>
      </c>
      <c r="K94" s="29">
        <v>45</v>
      </c>
      <c r="L94" s="29"/>
      <c r="M94" s="29"/>
      <c r="N94" s="29"/>
      <c r="O94" s="331"/>
      <c r="P94" s="331"/>
      <c r="Q94" s="331"/>
      <c r="R94" s="114"/>
      <c r="S94" s="114">
        <v>360</v>
      </c>
      <c r="T94" s="114">
        <f ca="1">IF(Data_Shelter_t[[#This Row],[Status]]="Open",Data_Shelter_t[[#This Row],[HH Covered]],0)</f>
        <v>360</v>
      </c>
      <c r="U94" s="332" t="s">
        <v>636</v>
      </c>
      <c r="V94" s="506" t="str">
        <f ca="1">IFERROR(OFFSET(Camp_List[Status],MATCH(Data_Shelter_t[[#This Row],[Camp Name]],Camp_List[Camp Name],0)-1,0,1,1),"")</f>
        <v>Open</v>
      </c>
      <c r="W94" s="480">
        <f ca="1">IFERROR(Data_Shelter_t[[#This Row],[HH Covered]]/OFFSET(Camp_List[HH],MATCH(Data_Shelter_t[[#This Row],[Camp Name]],Camp_List[Camp Name],0)-1,0,1,1),"")</f>
        <v>0.13636363636363635</v>
      </c>
      <c r="X94" s="790">
        <f>Data_Shelter_t[[#This Row],['# of Permanent House Planned (Target)]]+Data_Shelter_t[[#This Row],['# of Individual Shelter Planned (Target)]]</f>
        <v>0</v>
      </c>
      <c r="Y94" s="495">
        <f>Data_Shelter_t[[#This Row],['# of Permanent House Built]]+Data_Shelter_t[[#This Row],['# of Individual Shelter Built]]</f>
        <v>0</v>
      </c>
    </row>
    <row r="95" spans="1:25" s="5" customFormat="1" x14ac:dyDescent="0.25">
      <c r="A95" s="496">
        <v>41548</v>
      </c>
      <c r="B95" s="331" t="s">
        <v>293</v>
      </c>
      <c r="C95" s="331" t="s">
        <v>293</v>
      </c>
      <c r="D95" s="331" t="s">
        <v>7</v>
      </c>
      <c r="E95" s="333" t="s">
        <v>19</v>
      </c>
      <c r="F95" s="331" t="s">
        <v>634</v>
      </c>
      <c r="G95" s="29">
        <v>8</v>
      </c>
      <c r="H95" s="331"/>
      <c r="I95" s="331"/>
      <c r="J95" s="29">
        <v>60</v>
      </c>
      <c r="K95" s="29">
        <v>60</v>
      </c>
      <c r="L95" s="22"/>
      <c r="M95" s="29"/>
      <c r="N95" s="29"/>
      <c r="O95" s="331"/>
      <c r="P95" s="331"/>
      <c r="Q95" s="331"/>
      <c r="R95" s="114"/>
      <c r="S95" s="114">
        <v>480</v>
      </c>
      <c r="T95" s="114">
        <f ca="1">IF(Data_Shelter_t[[#This Row],[Status]]="Open",Data_Shelter_t[[#This Row],[HH Covered]],0)</f>
        <v>480</v>
      </c>
      <c r="U95" s="332" t="s">
        <v>636</v>
      </c>
      <c r="V95" s="506" t="str">
        <f ca="1">IFERROR(OFFSET(Camp_List[Status],MATCH(Data_Shelter_t[[#This Row],[Camp Name]],Camp_List[Camp Name],0)-1,0,1,1),"")</f>
        <v>Open</v>
      </c>
      <c r="W95" s="480">
        <f ca="1">IFERROR(Data_Shelter_t[[#This Row],[HH Covered]]/OFFSET(Camp_List[HH],MATCH(Data_Shelter_t[[#This Row],[Camp Name]],Camp_List[Camp Name],0)-1,0,1,1),"")</f>
        <v>0.18181818181818182</v>
      </c>
      <c r="X95" s="790">
        <f>Data_Shelter_t[[#This Row],['# of Permanent House Planned (Target)]]+Data_Shelter_t[[#This Row],['# of Individual Shelter Planned (Target)]]</f>
        <v>0</v>
      </c>
      <c r="Y95" s="495">
        <f>Data_Shelter_t[[#This Row],['# of Permanent House Built]]+Data_Shelter_t[[#This Row],['# of Individual Shelter Built]]</f>
        <v>0</v>
      </c>
    </row>
    <row r="96" spans="1:25" s="5" customFormat="1" x14ac:dyDescent="0.25">
      <c r="A96" s="497">
        <v>41548</v>
      </c>
      <c r="B96" s="332" t="s">
        <v>622</v>
      </c>
      <c r="C96" s="332" t="s">
        <v>622</v>
      </c>
      <c r="D96" s="332" t="s">
        <v>7</v>
      </c>
      <c r="E96" s="347" t="s">
        <v>19</v>
      </c>
      <c r="F96" s="332" t="s">
        <v>634</v>
      </c>
      <c r="G96" s="22">
        <v>8</v>
      </c>
      <c r="H96" s="332"/>
      <c r="I96" s="332"/>
      <c r="J96" s="22">
        <v>115</v>
      </c>
      <c r="K96" s="22">
        <v>115</v>
      </c>
      <c r="L96" s="22"/>
      <c r="M96" s="22"/>
      <c r="N96" s="22"/>
      <c r="O96" s="332"/>
      <c r="P96" s="332"/>
      <c r="Q96" s="332"/>
      <c r="R96" s="114"/>
      <c r="S96" s="114">
        <v>920</v>
      </c>
      <c r="T96" s="114">
        <f ca="1">IF(Data_Shelter_t[[#This Row],[Status]]="Open",Data_Shelter_t[[#This Row],[HH Covered]],0)</f>
        <v>920</v>
      </c>
      <c r="U96" s="332" t="s">
        <v>636</v>
      </c>
      <c r="V96" s="506" t="str">
        <f ca="1">IFERROR(OFFSET(Camp_List[Status],MATCH(Data_Shelter_t[[#This Row],[Camp Name]],Camp_List[Camp Name],0)-1,0,1,1),"")</f>
        <v>Open</v>
      </c>
      <c r="W96" s="480">
        <f ca="1">IFERROR(Data_Shelter_t[[#This Row],[HH Covered]]/OFFSET(Camp_List[HH],MATCH(Data_Shelter_t[[#This Row],[Camp Name]],Camp_List[Camp Name],0)-1,0,1,1),"")</f>
        <v>0.34848484848484851</v>
      </c>
      <c r="X96" s="790">
        <f>Data_Shelter_t[[#This Row],['# of Permanent House Planned (Target)]]+Data_Shelter_t[[#This Row],['# of Individual Shelter Planned (Target)]]</f>
        <v>0</v>
      </c>
      <c r="Y96" s="495">
        <f>Data_Shelter_t[[#This Row],['# of Permanent House Built]]+Data_Shelter_t[[#This Row],['# of Individual Shelter Built]]</f>
        <v>0</v>
      </c>
    </row>
    <row r="97" spans="1:25" s="5" customFormat="1" x14ac:dyDescent="0.25">
      <c r="A97" s="496">
        <v>41548</v>
      </c>
      <c r="B97" s="331" t="s">
        <v>285</v>
      </c>
      <c r="C97" s="331" t="s">
        <v>285</v>
      </c>
      <c r="D97" s="331" t="s">
        <v>7</v>
      </c>
      <c r="E97" s="333" t="s">
        <v>19</v>
      </c>
      <c r="F97" s="331" t="s">
        <v>634</v>
      </c>
      <c r="G97" s="29">
        <v>8</v>
      </c>
      <c r="H97" s="331"/>
      <c r="I97" s="331"/>
      <c r="J97" s="22">
        <v>115</v>
      </c>
      <c r="K97" s="29">
        <v>115</v>
      </c>
      <c r="L97" s="29"/>
      <c r="M97" s="29"/>
      <c r="N97" s="29"/>
      <c r="O97" s="331"/>
      <c r="P97" s="331"/>
      <c r="Q97" s="331"/>
      <c r="R97" s="114"/>
      <c r="S97" s="114">
        <v>920</v>
      </c>
      <c r="T97" s="114">
        <f ca="1">IF(Data_Shelter_t[[#This Row],[Status]]="Open",Data_Shelter_t[[#This Row],[HH Covered]],0)</f>
        <v>920</v>
      </c>
      <c r="U97" s="332" t="s">
        <v>636</v>
      </c>
      <c r="V97" s="506" t="str">
        <f ca="1">IFERROR(OFFSET(Camp_List[Status],MATCH(Data_Shelter_t[[#This Row],[Camp Name]],Camp_List[Camp Name],0)-1,0,1,1),"")</f>
        <v>Open</v>
      </c>
      <c r="W97" s="480">
        <f ca="1">IFERROR(Data_Shelter_t[[#This Row],[HH Covered]]/OFFSET(Camp_List[HH],MATCH(Data_Shelter_t[[#This Row],[Camp Name]],Camp_List[Camp Name],0)-1,0,1,1),"")</f>
        <v>0.34848484848484851</v>
      </c>
      <c r="X97" s="790">
        <f>Data_Shelter_t[[#This Row],['# of Permanent House Planned (Target)]]+Data_Shelter_t[[#This Row],['# of Individual Shelter Planned (Target)]]</f>
        <v>0</v>
      </c>
      <c r="Y97" s="495">
        <f>Data_Shelter_t[[#This Row],['# of Permanent House Built]]+Data_Shelter_t[[#This Row],['# of Individual Shelter Built]]</f>
        <v>0</v>
      </c>
    </row>
    <row r="98" spans="1:25" s="5" customFormat="1" x14ac:dyDescent="0.25">
      <c r="A98" s="496">
        <v>41548</v>
      </c>
      <c r="B98" s="331" t="s">
        <v>293</v>
      </c>
      <c r="C98" s="331" t="s">
        <v>293</v>
      </c>
      <c r="D98" s="331" t="s">
        <v>7</v>
      </c>
      <c r="E98" s="333" t="s">
        <v>19</v>
      </c>
      <c r="F98" s="331" t="s">
        <v>635</v>
      </c>
      <c r="G98" s="29">
        <v>8</v>
      </c>
      <c r="H98" s="331"/>
      <c r="I98" s="331"/>
      <c r="J98" s="29">
        <v>221</v>
      </c>
      <c r="K98" s="29">
        <v>221</v>
      </c>
      <c r="L98" s="22"/>
      <c r="M98" s="29"/>
      <c r="N98" s="29"/>
      <c r="O98" s="331"/>
      <c r="P98" s="331"/>
      <c r="Q98" s="331"/>
      <c r="R98" s="114"/>
      <c r="S98" s="114">
        <v>1768</v>
      </c>
      <c r="T98" s="114">
        <f ca="1">IF(Data_Shelter_t[[#This Row],[Status]]="Open",Data_Shelter_t[[#This Row],[HH Covered]],0)</f>
        <v>1768</v>
      </c>
      <c r="U98" s="332" t="s">
        <v>637</v>
      </c>
      <c r="V98" s="506" t="str">
        <f ca="1">IFERROR(OFFSET(Camp_List[Status],MATCH(Data_Shelter_t[[#This Row],[Camp Name]],Camp_List[Camp Name],0)-1,0,1,1),"")</f>
        <v>Open</v>
      </c>
      <c r="W98" s="480">
        <f ca="1">IFERROR(Data_Shelter_t[[#This Row],[HH Covered]]/OFFSET(Camp_List[HH],MATCH(Data_Shelter_t[[#This Row],[Camp Name]],Camp_List[Camp Name],0)-1,0,1,1),"")</f>
        <v>0.78368794326241131</v>
      </c>
      <c r="X98" s="790">
        <f>Data_Shelter_t[[#This Row],['# of Permanent House Planned (Target)]]+Data_Shelter_t[[#This Row],['# of Individual Shelter Planned (Target)]]</f>
        <v>0</v>
      </c>
      <c r="Y98" s="495">
        <f>Data_Shelter_t[[#This Row],['# of Permanent House Built]]+Data_Shelter_t[[#This Row],['# of Individual Shelter Built]]</f>
        <v>0</v>
      </c>
    </row>
    <row r="99" spans="1:25" s="5" customFormat="1" x14ac:dyDescent="0.25">
      <c r="A99" s="496">
        <v>41548</v>
      </c>
      <c r="B99" s="331" t="s">
        <v>293</v>
      </c>
      <c r="C99" s="331" t="s">
        <v>293</v>
      </c>
      <c r="D99" s="331" t="s">
        <v>7</v>
      </c>
      <c r="E99" s="333" t="s">
        <v>19</v>
      </c>
      <c r="F99" s="331" t="s">
        <v>635</v>
      </c>
      <c r="G99" s="29">
        <v>10</v>
      </c>
      <c r="H99" s="331"/>
      <c r="I99" s="331"/>
      <c r="J99" s="790">
        <v>20</v>
      </c>
      <c r="K99" s="790">
        <v>20</v>
      </c>
      <c r="L99" s="790"/>
      <c r="M99" s="790"/>
      <c r="N99" s="790"/>
      <c r="O99" s="331"/>
      <c r="P99" s="331"/>
      <c r="Q99" s="331"/>
      <c r="R99" s="114"/>
      <c r="S99" s="114">
        <v>200</v>
      </c>
      <c r="T99" s="114">
        <f ca="1">IF(Data_Shelter_t[[#This Row],[Status]]="Open",Data_Shelter_t[[#This Row],[HH Covered]],0)</f>
        <v>200</v>
      </c>
      <c r="U99" s="332" t="s">
        <v>637</v>
      </c>
      <c r="V99" s="506" t="str">
        <f ca="1">IFERROR(OFFSET(Camp_List[Status],MATCH(Data_Shelter_t[[#This Row],[Camp Name]],Camp_List[Camp Name],0)-1,0,1,1),"")</f>
        <v>Open</v>
      </c>
      <c r="W99" s="480">
        <f ca="1">IFERROR(Data_Shelter_t[[#This Row],[HH Covered]]/OFFSET(Camp_List[HH],MATCH(Data_Shelter_t[[#This Row],[Camp Name]],Camp_List[Camp Name],0)-1,0,1,1),"")</f>
        <v>8.8652482269503549E-2</v>
      </c>
      <c r="X99" s="790">
        <f>Data_Shelter_t[[#This Row],['# of Permanent House Planned (Target)]]+Data_Shelter_t[[#This Row],['# of Individual Shelter Planned (Target)]]</f>
        <v>0</v>
      </c>
      <c r="Y99" s="495">
        <f>Data_Shelter_t[[#This Row],['# of Permanent House Built]]+Data_Shelter_t[[#This Row],['# of Individual Shelter Built]]</f>
        <v>0</v>
      </c>
    </row>
    <row r="100" spans="1:25" s="5" customFormat="1" x14ac:dyDescent="0.25">
      <c r="A100" s="496">
        <v>41548</v>
      </c>
      <c r="B100" s="331" t="s">
        <v>285</v>
      </c>
      <c r="C100" s="331" t="s">
        <v>285</v>
      </c>
      <c r="D100" s="331" t="s">
        <v>7</v>
      </c>
      <c r="E100" s="333" t="s">
        <v>19</v>
      </c>
      <c r="F100" s="331" t="s">
        <v>635</v>
      </c>
      <c r="G100" s="29">
        <v>8</v>
      </c>
      <c r="H100" s="331"/>
      <c r="I100" s="331"/>
      <c r="J100" s="29">
        <v>35</v>
      </c>
      <c r="K100" s="29">
        <v>35</v>
      </c>
      <c r="L100" s="29"/>
      <c r="M100" s="29"/>
      <c r="N100" s="29"/>
      <c r="O100" s="331"/>
      <c r="P100" s="331"/>
      <c r="Q100" s="331"/>
      <c r="R100" s="114"/>
      <c r="S100" s="114">
        <v>280</v>
      </c>
      <c r="T100" s="114">
        <f ca="1">IF(Data_Shelter_t[[#This Row],[Status]]="Open",Data_Shelter_t[[#This Row],[HH Covered]],0)</f>
        <v>280</v>
      </c>
      <c r="U100" s="332" t="s">
        <v>637</v>
      </c>
      <c r="V100" s="506" t="str">
        <f ca="1">IFERROR(OFFSET(Camp_List[Status],MATCH(Data_Shelter_t[[#This Row],[Camp Name]],Camp_List[Camp Name],0)-1,0,1,1),"")</f>
        <v>Open</v>
      </c>
      <c r="W100" s="480">
        <f ca="1">IFERROR(Data_Shelter_t[[#This Row],[HH Covered]]/OFFSET(Camp_List[HH],MATCH(Data_Shelter_t[[#This Row],[Camp Name]],Camp_List[Camp Name],0)-1,0,1,1),"")</f>
        <v>0.12411347517730496</v>
      </c>
      <c r="X100" s="790">
        <f>Data_Shelter_t[[#This Row],['# of Permanent House Planned (Target)]]+Data_Shelter_t[[#This Row],['# of Individual Shelter Planned (Target)]]</f>
        <v>0</v>
      </c>
      <c r="Y100" s="495">
        <f>Data_Shelter_t[[#This Row],['# of Permanent House Built]]+Data_Shelter_t[[#This Row],['# of Individual Shelter Built]]</f>
        <v>0</v>
      </c>
    </row>
    <row r="101" spans="1:25" s="5" customFormat="1" x14ac:dyDescent="0.25">
      <c r="A101" s="496">
        <v>41548</v>
      </c>
      <c r="B101" s="331" t="s">
        <v>298</v>
      </c>
      <c r="C101" s="331" t="s">
        <v>298</v>
      </c>
      <c r="D101" s="331" t="s">
        <v>7</v>
      </c>
      <c r="E101" s="333" t="s">
        <v>607</v>
      </c>
      <c r="F101" s="331" t="s">
        <v>474</v>
      </c>
      <c r="G101" s="29">
        <v>8</v>
      </c>
      <c r="H101" s="331"/>
      <c r="I101" s="331"/>
      <c r="J101" s="29">
        <v>7</v>
      </c>
      <c r="K101" s="29">
        <v>7</v>
      </c>
      <c r="L101" s="29"/>
      <c r="M101" s="29"/>
      <c r="N101" s="29"/>
      <c r="O101" s="331"/>
      <c r="P101" s="331"/>
      <c r="Q101" s="331"/>
      <c r="R101" s="114"/>
      <c r="S101" s="114">
        <v>56</v>
      </c>
      <c r="T101" s="114">
        <f ca="1">IF(Data_Shelter_t[[#This Row],[Status]]="Open",Data_Shelter_t[[#This Row],[HH Covered]],0)</f>
        <v>56</v>
      </c>
      <c r="U101" s="332" t="s">
        <v>146</v>
      </c>
      <c r="V101" s="506" t="str">
        <f ca="1">IFERROR(OFFSET(Camp_List[Status],MATCH(Data_Shelter_t[[#This Row],[Camp Name]],Camp_List[Camp Name],0)-1,0,1,1),"")</f>
        <v>Open</v>
      </c>
      <c r="W101" s="480">
        <f ca="1">IFERROR(Data_Shelter_t[[#This Row],[HH Covered]]/OFFSET(Camp_List[HH],MATCH(Data_Shelter_t[[#This Row],[Camp Name]],Camp_List[Camp Name],0)-1,0,1,1),"")</f>
        <v>0.86153846153846159</v>
      </c>
      <c r="X101" s="790">
        <f>Data_Shelter_t[[#This Row],['# of Permanent House Planned (Target)]]+Data_Shelter_t[[#This Row],['# of Individual Shelter Planned (Target)]]</f>
        <v>0</v>
      </c>
      <c r="Y101" s="495">
        <f>Data_Shelter_t[[#This Row],['# of Permanent House Built]]+Data_Shelter_t[[#This Row],['# of Individual Shelter Built]]</f>
        <v>0</v>
      </c>
    </row>
    <row r="102" spans="1:25" s="5" customFormat="1" x14ac:dyDescent="0.25">
      <c r="A102" s="497">
        <v>41548</v>
      </c>
      <c r="B102" s="332" t="s">
        <v>293</v>
      </c>
      <c r="C102" s="332" t="s">
        <v>293</v>
      </c>
      <c r="D102" s="332" t="s">
        <v>7</v>
      </c>
      <c r="E102" s="347" t="s">
        <v>18</v>
      </c>
      <c r="F102" s="332" t="s">
        <v>59</v>
      </c>
      <c r="G102" s="22">
        <v>8</v>
      </c>
      <c r="H102" s="332"/>
      <c r="I102" s="332"/>
      <c r="J102" s="22">
        <v>12</v>
      </c>
      <c r="K102" s="22">
        <v>12</v>
      </c>
      <c r="L102" s="22"/>
      <c r="M102" s="22"/>
      <c r="N102" s="22"/>
      <c r="O102" s="332"/>
      <c r="P102" s="332"/>
      <c r="Q102" s="332"/>
      <c r="R102" s="114"/>
      <c r="S102" s="114">
        <v>96</v>
      </c>
      <c r="T102" s="114">
        <f ca="1">IF(Data_Shelter_t[[#This Row],[Status]]="Open",Data_Shelter_t[[#This Row],[HH Covered]],0)</f>
        <v>96</v>
      </c>
      <c r="U102" s="332" t="s">
        <v>147</v>
      </c>
      <c r="V102" s="506" t="str">
        <f ca="1">IFERROR(OFFSET(Camp_List[Status],MATCH(Data_Shelter_t[[#This Row],[Camp Name]],Camp_List[Camp Name],0)-1,0,1,1),"")</f>
        <v>Open</v>
      </c>
      <c r="W102" s="480">
        <f ca="1">IFERROR(Data_Shelter_t[[#This Row],[HH Covered]]/OFFSET(Camp_List[HH],MATCH(Data_Shelter_t[[#This Row],[Camp Name]],Camp_List[Camp Name],0)-1,0,1,1),"")</f>
        <v>1.6842105263157894</v>
      </c>
      <c r="X102" s="790">
        <f>Data_Shelter_t[[#This Row],['# of Permanent House Planned (Target)]]+Data_Shelter_t[[#This Row],['# of Individual Shelter Planned (Target)]]</f>
        <v>0</v>
      </c>
      <c r="Y102" s="495">
        <f>Data_Shelter_t[[#This Row],['# of Permanent House Built]]+Data_Shelter_t[[#This Row],['# of Individual Shelter Built]]</f>
        <v>0</v>
      </c>
    </row>
    <row r="103" spans="1:25" s="5" customFormat="1" x14ac:dyDescent="0.25">
      <c r="A103" s="496">
        <v>41548</v>
      </c>
      <c r="B103" s="331" t="s">
        <v>288</v>
      </c>
      <c r="C103" s="331" t="s">
        <v>288</v>
      </c>
      <c r="D103" s="331" t="s">
        <v>7</v>
      </c>
      <c r="E103" s="333" t="s">
        <v>19</v>
      </c>
      <c r="F103" s="331" t="s">
        <v>67</v>
      </c>
      <c r="G103" s="790">
        <v>8</v>
      </c>
      <c r="H103" s="331"/>
      <c r="I103" s="331"/>
      <c r="J103" s="790">
        <v>27</v>
      </c>
      <c r="K103" s="790">
        <v>27</v>
      </c>
      <c r="L103" s="790"/>
      <c r="M103" s="790"/>
      <c r="N103" s="790"/>
      <c r="O103" s="331"/>
      <c r="P103" s="331"/>
      <c r="Q103" s="331"/>
      <c r="R103" s="114"/>
      <c r="S103" s="114">
        <v>216</v>
      </c>
      <c r="T103" s="114">
        <f ca="1">IF(Data_Shelter_t[[#This Row],[Status]]="Open",Data_Shelter_t[[#This Row],[HH Covered]],0)</f>
        <v>216</v>
      </c>
      <c r="U103" s="332" t="s">
        <v>155</v>
      </c>
      <c r="V103" s="506" t="str">
        <f ca="1">IFERROR(OFFSET(Camp_List[Status],MATCH(Data_Shelter_t[[#This Row],[Camp Name]],Camp_List[Camp Name],0)-1,0,1,1),"")</f>
        <v>Open</v>
      </c>
      <c r="W103" s="480">
        <f ca="1">IFERROR(Data_Shelter_t[[#This Row],[HH Covered]]/OFFSET(Camp_List[HH],MATCH(Data_Shelter_t[[#This Row],[Camp Name]],Camp_List[Camp Name],0)-1,0,1,1),"")</f>
        <v>8.650380456547857E-2</v>
      </c>
      <c r="X103" s="790">
        <f>Data_Shelter_t[[#This Row],['# of Permanent House Planned (Target)]]+Data_Shelter_t[[#This Row],['# of Individual Shelter Planned (Target)]]</f>
        <v>0</v>
      </c>
      <c r="Y103" s="495">
        <f>Data_Shelter_t[[#This Row],['# of Permanent House Built]]+Data_Shelter_t[[#This Row],['# of Individual Shelter Built]]</f>
        <v>0</v>
      </c>
    </row>
    <row r="104" spans="1:25" s="5" customFormat="1" x14ac:dyDescent="0.25">
      <c r="A104" s="496">
        <v>41548</v>
      </c>
      <c r="B104" s="331" t="s">
        <v>293</v>
      </c>
      <c r="C104" s="331" t="s">
        <v>293</v>
      </c>
      <c r="D104" s="331" t="s">
        <v>7</v>
      </c>
      <c r="E104" s="333" t="s">
        <v>19</v>
      </c>
      <c r="F104" s="331" t="s">
        <v>67</v>
      </c>
      <c r="G104" s="790">
        <v>10</v>
      </c>
      <c r="H104" s="331"/>
      <c r="I104" s="331"/>
      <c r="J104" s="790">
        <v>63</v>
      </c>
      <c r="K104" s="790">
        <v>63</v>
      </c>
      <c r="L104" s="790"/>
      <c r="M104" s="790"/>
      <c r="N104" s="790"/>
      <c r="O104" s="331"/>
      <c r="P104" s="331"/>
      <c r="Q104" s="331"/>
      <c r="R104" s="114"/>
      <c r="S104" s="114">
        <v>630</v>
      </c>
      <c r="T104" s="114">
        <f ca="1">IF(Data_Shelter_t[[#This Row],[Status]]="Open",Data_Shelter_t[[#This Row],[HH Covered]],0)</f>
        <v>630</v>
      </c>
      <c r="U104" s="332" t="s">
        <v>155</v>
      </c>
      <c r="V104" s="506" t="str">
        <f ca="1">IFERROR(OFFSET(Camp_List[Status],MATCH(Data_Shelter_t[[#This Row],[Camp Name]],Camp_List[Camp Name],0)-1,0,1,1),"")</f>
        <v>Open</v>
      </c>
      <c r="W104" s="480">
        <f ca="1">IFERROR(Data_Shelter_t[[#This Row],[HH Covered]]/OFFSET(Camp_List[HH],MATCH(Data_Shelter_t[[#This Row],[Camp Name]],Camp_List[Camp Name],0)-1,0,1,1),"")</f>
        <v>0.25230276331597917</v>
      </c>
      <c r="X104" s="790">
        <f>Data_Shelter_t[[#This Row],['# of Permanent House Planned (Target)]]+Data_Shelter_t[[#This Row],['# of Individual Shelter Planned (Target)]]</f>
        <v>0</v>
      </c>
      <c r="Y104" s="495">
        <f>Data_Shelter_t[[#This Row],['# of Permanent House Built]]+Data_Shelter_t[[#This Row],['# of Individual Shelter Built]]</f>
        <v>0</v>
      </c>
    </row>
    <row r="105" spans="1:25" s="5" customFormat="1" x14ac:dyDescent="0.25">
      <c r="A105" s="496">
        <v>41548</v>
      </c>
      <c r="B105" s="331" t="s">
        <v>297</v>
      </c>
      <c r="C105" s="331" t="s">
        <v>297</v>
      </c>
      <c r="D105" s="331" t="s">
        <v>7</v>
      </c>
      <c r="E105" s="333" t="s">
        <v>19</v>
      </c>
      <c r="F105" s="331" t="s">
        <v>67</v>
      </c>
      <c r="G105" s="790">
        <v>8</v>
      </c>
      <c r="H105" s="331"/>
      <c r="I105" s="331"/>
      <c r="J105" s="790">
        <v>40</v>
      </c>
      <c r="K105" s="790">
        <v>40</v>
      </c>
      <c r="L105" s="790"/>
      <c r="M105" s="790"/>
      <c r="N105" s="790"/>
      <c r="O105" s="331"/>
      <c r="P105" s="331"/>
      <c r="Q105" s="331"/>
      <c r="R105" s="114"/>
      <c r="S105" s="114">
        <v>320</v>
      </c>
      <c r="T105" s="114">
        <f ca="1">IF(Data_Shelter_t[[#This Row],[Status]]="Open",Data_Shelter_t[[#This Row],[HH Covered]],0)</f>
        <v>320</v>
      </c>
      <c r="U105" s="332" t="s">
        <v>155</v>
      </c>
      <c r="V105" s="506" t="str">
        <f ca="1">IFERROR(OFFSET(Camp_List[Status],MATCH(Data_Shelter_t[[#This Row],[Camp Name]],Camp_List[Camp Name],0)-1,0,1,1),"")</f>
        <v>Open</v>
      </c>
      <c r="W105" s="480">
        <f ca="1">IFERROR(Data_Shelter_t[[#This Row],[HH Covered]]/OFFSET(Camp_List[HH],MATCH(Data_Shelter_t[[#This Row],[Camp Name]],Camp_List[Camp Name],0)-1,0,1,1),"")</f>
        <v>0.12815378454144974</v>
      </c>
      <c r="X105" s="790">
        <f>Data_Shelter_t[[#This Row],['# of Permanent House Planned (Target)]]+Data_Shelter_t[[#This Row],['# of Individual Shelter Planned (Target)]]</f>
        <v>0</v>
      </c>
      <c r="Y105" s="495">
        <f>Data_Shelter_t[[#This Row],['# of Permanent House Built]]+Data_Shelter_t[[#This Row],['# of Individual Shelter Built]]</f>
        <v>0</v>
      </c>
    </row>
    <row r="106" spans="1:25" s="5" customFormat="1" x14ac:dyDescent="0.25">
      <c r="A106" s="496">
        <v>41548</v>
      </c>
      <c r="B106" s="331" t="s">
        <v>294</v>
      </c>
      <c r="C106" s="331" t="s">
        <v>294</v>
      </c>
      <c r="D106" s="331" t="s">
        <v>7</v>
      </c>
      <c r="E106" s="333" t="s">
        <v>19</v>
      </c>
      <c r="F106" s="331" t="s">
        <v>67</v>
      </c>
      <c r="G106" s="29">
        <v>8</v>
      </c>
      <c r="H106" s="331"/>
      <c r="I106" s="331"/>
      <c r="J106" s="29">
        <v>60</v>
      </c>
      <c r="K106" s="29">
        <v>60</v>
      </c>
      <c r="L106" s="29"/>
      <c r="M106" s="29"/>
      <c r="N106" s="29"/>
      <c r="O106" s="331"/>
      <c r="P106" s="331"/>
      <c r="Q106" s="331"/>
      <c r="R106" s="114"/>
      <c r="S106" s="114">
        <v>480</v>
      </c>
      <c r="T106" s="114">
        <f ca="1">IF(Data_Shelter_t[[#This Row],[Status]]="Open",Data_Shelter_t[[#This Row],[HH Covered]],0)</f>
        <v>480</v>
      </c>
      <c r="U106" s="332" t="s">
        <v>155</v>
      </c>
      <c r="V106" s="506" t="str">
        <f ca="1">IFERROR(OFFSET(Camp_List[Status],MATCH(Data_Shelter_t[[#This Row],[Camp Name]],Camp_List[Camp Name],0)-1,0,1,1),"")</f>
        <v>Open</v>
      </c>
      <c r="W106" s="480">
        <f ca="1">IFERROR(Data_Shelter_t[[#This Row],[HH Covered]]/OFFSET(Camp_List[HH],MATCH(Data_Shelter_t[[#This Row],[Camp Name]],Camp_List[Camp Name],0)-1,0,1,1),"")</f>
        <v>0.19223067681217462</v>
      </c>
      <c r="X106" s="790">
        <f>Data_Shelter_t[[#This Row],['# of Permanent House Planned (Target)]]+Data_Shelter_t[[#This Row],['# of Individual Shelter Planned (Target)]]</f>
        <v>0</v>
      </c>
      <c r="Y106" s="495">
        <f>Data_Shelter_t[[#This Row],['# of Permanent House Built]]+Data_Shelter_t[[#This Row],['# of Individual Shelter Built]]</f>
        <v>0</v>
      </c>
    </row>
    <row r="107" spans="1:25" s="5" customFormat="1" x14ac:dyDescent="0.25">
      <c r="A107" s="496">
        <v>41548</v>
      </c>
      <c r="B107" s="331" t="s">
        <v>622</v>
      </c>
      <c r="C107" s="331" t="s">
        <v>622</v>
      </c>
      <c r="D107" s="331" t="s">
        <v>7</v>
      </c>
      <c r="E107" s="333" t="s">
        <v>19</v>
      </c>
      <c r="F107" s="331" t="s">
        <v>67</v>
      </c>
      <c r="G107" s="29">
        <v>10</v>
      </c>
      <c r="H107" s="331"/>
      <c r="I107" s="331"/>
      <c r="J107" s="29">
        <v>77</v>
      </c>
      <c r="K107" s="29">
        <v>77</v>
      </c>
      <c r="L107" s="22"/>
      <c r="M107" s="29"/>
      <c r="N107" s="29"/>
      <c r="O107" s="331"/>
      <c r="P107" s="331"/>
      <c r="Q107" s="331"/>
      <c r="R107" s="114"/>
      <c r="S107" s="114">
        <v>770</v>
      </c>
      <c r="T107" s="114">
        <f ca="1">IF(Data_Shelter_t[[#This Row],[Status]]="Open",Data_Shelter_t[[#This Row],[HH Covered]],0)</f>
        <v>770</v>
      </c>
      <c r="U107" s="332" t="s">
        <v>155</v>
      </c>
      <c r="V107" s="506" t="str">
        <f ca="1">IFERROR(OFFSET(Camp_List[Status],MATCH(Data_Shelter_t[[#This Row],[Camp Name]],Camp_List[Camp Name],0)-1,0,1,1),"")</f>
        <v>Open</v>
      </c>
      <c r="W107" s="480">
        <f ca="1">IFERROR(Data_Shelter_t[[#This Row],[HH Covered]]/OFFSET(Camp_List[HH],MATCH(Data_Shelter_t[[#This Row],[Camp Name]],Camp_List[Camp Name],0)-1,0,1,1),"")</f>
        <v>0.30837004405286345</v>
      </c>
      <c r="X107" s="790">
        <f>Data_Shelter_t[[#This Row],['# of Permanent House Planned (Target)]]+Data_Shelter_t[[#This Row],['# of Individual Shelter Planned (Target)]]</f>
        <v>0</v>
      </c>
      <c r="Y107" s="495">
        <f>Data_Shelter_t[[#This Row],['# of Permanent House Built]]+Data_Shelter_t[[#This Row],['# of Individual Shelter Built]]</f>
        <v>0</v>
      </c>
    </row>
    <row r="108" spans="1:25" s="5" customFormat="1" x14ac:dyDescent="0.25">
      <c r="A108" s="496">
        <v>41548</v>
      </c>
      <c r="B108" s="331" t="s">
        <v>285</v>
      </c>
      <c r="C108" s="331" t="s">
        <v>285</v>
      </c>
      <c r="D108" s="331" t="s">
        <v>7</v>
      </c>
      <c r="E108" s="333" t="s">
        <v>19</v>
      </c>
      <c r="F108" s="331" t="s">
        <v>67</v>
      </c>
      <c r="G108" s="29">
        <v>8</v>
      </c>
      <c r="H108" s="331"/>
      <c r="I108" s="331"/>
      <c r="J108" s="29">
        <v>33</v>
      </c>
      <c r="K108" s="29">
        <v>33</v>
      </c>
      <c r="L108" s="29"/>
      <c r="M108" s="29"/>
      <c r="N108" s="29"/>
      <c r="O108" s="331"/>
      <c r="P108" s="331"/>
      <c r="Q108" s="331"/>
      <c r="R108" s="114"/>
      <c r="S108" s="114">
        <v>264</v>
      </c>
      <c r="T108" s="114">
        <f ca="1">IF(Data_Shelter_t[[#This Row],[Status]]="Open",Data_Shelter_t[[#This Row],[HH Covered]],0)</f>
        <v>264</v>
      </c>
      <c r="U108" s="332" t="s">
        <v>155</v>
      </c>
      <c r="V108" s="506" t="str">
        <f ca="1">IFERROR(OFFSET(Camp_List[Status],MATCH(Data_Shelter_t[[#This Row],[Camp Name]],Camp_List[Camp Name],0)-1,0,1,1),"")</f>
        <v>Open</v>
      </c>
      <c r="W108" s="480">
        <f ca="1">IFERROR(Data_Shelter_t[[#This Row],[HH Covered]]/OFFSET(Camp_List[HH],MATCH(Data_Shelter_t[[#This Row],[Camp Name]],Camp_List[Camp Name],0)-1,0,1,1),"")</f>
        <v>0.10572687224669604</v>
      </c>
      <c r="X108" s="790">
        <f>Data_Shelter_t[[#This Row],['# of Permanent House Planned (Target)]]+Data_Shelter_t[[#This Row],['# of Individual Shelter Planned (Target)]]</f>
        <v>0</v>
      </c>
      <c r="Y108" s="495">
        <f>Data_Shelter_t[[#This Row],['# of Permanent House Built]]+Data_Shelter_t[[#This Row],['# of Individual Shelter Built]]</f>
        <v>0</v>
      </c>
    </row>
    <row r="109" spans="1:25" s="5" customFormat="1" x14ac:dyDescent="0.25">
      <c r="A109" s="496">
        <v>41548</v>
      </c>
      <c r="B109" s="331" t="s">
        <v>288</v>
      </c>
      <c r="C109" s="331" t="s">
        <v>288</v>
      </c>
      <c r="D109" s="331" t="s">
        <v>7</v>
      </c>
      <c r="E109" s="333" t="s">
        <v>14</v>
      </c>
      <c r="F109" s="331" t="s">
        <v>43</v>
      </c>
      <c r="G109" s="29">
        <v>8</v>
      </c>
      <c r="H109" s="331"/>
      <c r="I109" s="331"/>
      <c r="J109" s="29">
        <v>106</v>
      </c>
      <c r="K109" s="29">
        <v>106</v>
      </c>
      <c r="L109" s="29"/>
      <c r="M109" s="29"/>
      <c r="N109" s="29"/>
      <c r="O109" s="331"/>
      <c r="P109" s="331"/>
      <c r="Q109" s="331"/>
      <c r="R109" s="114"/>
      <c r="S109" s="114">
        <v>848</v>
      </c>
      <c r="T109" s="114">
        <f ca="1">IF(Data_Shelter_t[[#This Row],[Status]]="Open",Data_Shelter_t[[#This Row],[HH Covered]],0)</f>
        <v>848</v>
      </c>
      <c r="U109" s="332" t="s">
        <v>129</v>
      </c>
      <c r="V109" s="506" t="str">
        <f ca="1">IFERROR(OFFSET(Camp_List[Status],MATCH(Data_Shelter_t[[#This Row],[Camp Name]],Camp_List[Camp Name],0)-1,0,1,1),"")</f>
        <v>Open</v>
      </c>
      <c r="W109" s="480">
        <f ca="1">IFERROR(Data_Shelter_t[[#This Row],[HH Covered]]/OFFSET(Camp_List[HH],MATCH(Data_Shelter_t[[#This Row],[Camp Name]],Camp_List[Camp Name],0)-1,0,1,1),"")</f>
        <v>1.5880149812734083</v>
      </c>
      <c r="X109" s="790">
        <f>Data_Shelter_t[[#This Row],['# of Permanent House Planned (Target)]]+Data_Shelter_t[[#This Row],['# of Individual Shelter Planned (Target)]]</f>
        <v>0</v>
      </c>
      <c r="Y109" s="495">
        <f>Data_Shelter_t[[#This Row],['# of Permanent House Built]]+Data_Shelter_t[[#This Row],['# of Individual Shelter Built]]</f>
        <v>0</v>
      </c>
    </row>
    <row r="110" spans="1:25" s="5" customFormat="1" x14ac:dyDescent="0.25">
      <c r="A110" s="496">
        <v>41548</v>
      </c>
      <c r="B110" s="331" t="s">
        <v>285</v>
      </c>
      <c r="C110" s="331" t="s">
        <v>285</v>
      </c>
      <c r="D110" s="331" t="s">
        <v>7</v>
      </c>
      <c r="E110" s="333" t="s">
        <v>866</v>
      </c>
      <c r="F110" s="331" t="s">
        <v>38</v>
      </c>
      <c r="G110" s="29">
        <v>8</v>
      </c>
      <c r="H110" s="331"/>
      <c r="I110" s="331"/>
      <c r="J110" s="29">
        <v>89</v>
      </c>
      <c r="K110" s="29">
        <v>89</v>
      </c>
      <c r="L110" s="29"/>
      <c r="M110" s="29"/>
      <c r="N110" s="29"/>
      <c r="O110" s="331"/>
      <c r="P110" s="331"/>
      <c r="Q110" s="331"/>
      <c r="R110" s="114"/>
      <c r="S110" s="114">
        <v>712</v>
      </c>
      <c r="T110" s="114">
        <f ca="1">IF(Data_Shelter_t[[#This Row],[Status]]="Open",Data_Shelter_t[[#This Row],[HH Covered]],0)</f>
        <v>712</v>
      </c>
      <c r="U110" s="332" t="s">
        <v>124</v>
      </c>
      <c r="V110" s="506" t="str">
        <f ca="1">IFERROR(OFFSET(Camp_List[Status],MATCH(Data_Shelter_t[[#This Row],[Camp Name]],Camp_List[Camp Name],0)-1,0,1,1),"")</f>
        <v>Open</v>
      </c>
      <c r="W110" s="480">
        <f ca="1">IFERROR(Data_Shelter_t[[#This Row],[HH Covered]]/OFFSET(Camp_List[HH],MATCH(Data_Shelter_t[[#This Row],[Camp Name]],Camp_List[Camp Name],0)-1,0,1,1),"")</f>
        <v>1.0200573065902578</v>
      </c>
      <c r="X110" s="790">
        <f>Data_Shelter_t[[#This Row],['# of Permanent House Planned (Target)]]+Data_Shelter_t[[#This Row],['# of Individual Shelter Planned (Target)]]</f>
        <v>0</v>
      </c>
      <c r="Y110" s="495">
        <f>Data_Shelter_t[[#This Row],['# of Permanent House Built]]+Data_Shelter_t[[#This Row],['# of Individual Shelter Built]]</f>
        <v>0</v>
      </c>
    </row>
    <row r="111" spans="1:25" s="5" customFormat="1" x14ac:dyDescent="0.25">
      <c r="A111" s="496">
        <v>41548</v>
      </c>
      <c r="B111" s="331" t="s">
        <v>445</v>
      </c>
      <c r="C111" s="331" t="s">
        <v>445</v>
      </c>
      <c r="D111" s="331" t="s">
        <v>7</v>
      </c>
      <c r="E111" s="333" t="s">
        <v>19</v>
      </c>
      <c r="F111" s="331" t="s">
        <v>70</v>
      </c>
      <c r="G111" s="29">
        <v>8</v>
      </c>
      <c r="H111" s="331"/>
      <c r="I111" s="331"/>
      <c r="J111" s="29">
        <v>63</v>
      </c>
      <c r="K111" s="29">
        <v>63</v>
      </c>
      <c r="L111" s="29">
        <v>0</v>
      </c>
      <c r="M111" s="29"/>
      <c r="N111" s="29"/>
      <c r="O111" s="331"/>
      <c r="P111" s="331"/>
      <c r="Q111" s="331"/>
      <c r="R111" s="114"/>
      <c r="S111" s="114">
        <v>504</v>
      </c>
      <c r="T111" s="114">
        <f ca="1">IF(Data_Shelter_t[[#This Row],[Status]]="Open",Data_Shelter_t[[#This Row],[HH Covered]],0)</f>
        <v>504</v>
      </c>
      <c r="U111" s="332" t="s">
        <v>158</v>
      </c>
      <c r="V111" s="506" t="str">
        <f ca="1">IFERROR(OFFSET(Camp_List[Status],MATCH(Data_Shelter_t[[#This Row],[Camp Name]],Camp_List[Camp Name],0)-1,0,1,1),"")</f>
        <v>Open</v>
      </c>
      <c r="W111" s="480">
        <f ca="1">IFERROR(Data_Shelter_t[[#This Row],[HH Covered]]/OFFSET(Camp_List[HH],MATCH(Data_Shelter_t[[#This Row],[Camp Name]],Camp_List[Camp Name],0)-1,0,1,1),"")</f>
        <v>0.50551654964894688</v>
      </c>
      <c r="X111" s="790">
        <f>Data_Shelter_t[[#This Row],['# of Permanent House Planned (Target)]]+Data_Shelter_t[[#This Row],['# of Individual Shelter Planned (Target)]]</f>
        <v>0</v>
      </c>
      <c r="Y111" s="495">
        <f>Data_Shelter_t[[#This Row],['# of Permanent House Built]]+Data_Shelter_t[[#This Row],['# of Individual Shelter Built]]</f>
        <v>0</v>
      </c>
    </row>
    <row r="112" spans="1:25" s="5" customFormat="1" x14ac:dyDescent="0.25">
      <c r="A112" s="496">
        <v>41548</v>
      </c>
      <c r="B112" s="331" t="s">
        <v>293</v>
      </c>
      <c r="C112" s="331" t="s">
        <v>293</v>
      </c>
      <c r="D112" s="331" t="s">
        <v>7</v>
      </c>
      <c r="E112" s="333" t="s">
        <v>19</v>
      </c>
      <c r="F112" s="331" t="s">
        <v>70</v>
      </c>
      <c r="G112" s="29">
        <v>8</v>
      </c>
      <c r="H112" s="331"/>
      <c r="I112" s="331"/>
      <c r="J112" s="29">
        <v>60</v>
      </c>
      <c r="K112" s="29">
        <v>60</v>
      </c>
      <c r="L112" s="29"/>
      <c r="M112" s="29"/>
      <c r="N112" s="29"/>
      <c r="O112" s="331"/>
      <c r="P112" s="331"/>
      <c r="Q112" s="331"/>
      <c r="R112" s="114"/>
      <c r="S112" s="114">
        <v>480</v>
      </c>
      <c r="T112" s="114">
        <f ca="1">IF(Data_Shelter_t[[#This Row],[Status]]="Open",Data_Shelter_t[[#This Row],[HH Covered]],0)</f>
        <v>480</v>
      </c>
      <c r="U112" s="332" t="s">
        <v>158</v>
      </c>
      <c r="V112" s="506" t="str">
        <f ca="1">IFERROR(OFFSET(Camp_List[Status],MATCH(Data_Shelter_t[[#This Row],[Camp Name]],Camp_List[Camp Name],0)-1,0,1,1),"")</f>
        <v>Open</v>
      </c>
      <c r="W112" s="480">
        <f ca="1">IFERROR(Data_Shelter_t[[#This Row],[HH Covered]]/OFFSET(Camp_List[HH],MATCH(Data_Shelter_t[[#This Row],[Camp Name]],Camp_List[Camp Name],0)-1,0,1,1),"")</f>
        <v>0.48144433299899697</v>
      </c>
      <c r="X112" s="790">
        <f>Data_Shelter_t[[#This Row],['# of Permanent House Planned (Target)]]+Data_Shelter_t[[#This Row],['# of Individual Shelter Planned (Target)]]</f>
        <v>0</v>
      </c>
      <c r="Y112" s="495">
        <f>Data_Shelter_t[[#This Row],['# of Permanent House Built]]+Data_Shelter_t[[#This Row],['# of Individual Shelter Built]]</f>
        <v>0</v>
      </c>
    </row>
    <row r="113" spans="1:25" s="5" customFormat="1" x14ac:dyDescent="0.25">
      <c r="A113" s="496">
        <v>41548</v>
      </c>
      <c r="B113" s="331" t="s">
        <v>622</v>
      </c>
      <c r="C113" s="331" t="s">
        <v>622</v>
      </c>
      <c r="D113" s="331" t="s">
        <v>7</v>
      </c>
      <c r="E113" s="333" t="s">
        <v>19</v>
      </c>
      <c r="F113" s="331" t="s">
        <v>635</v>
      </c>
      <c r="G113" s="29">
        <v>8</v>
      </c>
      <c r="H113" s="331"/>
      <c r="I113" s="331"/>
      <c r="J113" s="29">
        <v>9</v>
      </c>
      <c r="K113" s="29">
        <v>9</v>
      </c>
      <c r="L113" s="29"/>
      <c r="M113" s="29"/>
      <c r="N113" s="29"/>
      <c r="O113" s="331"/>
      <c r="P113" s="331"/>
      <c r="Q113" s="331"/>
      <c r="R113" s="114"/>
      <c r="S113" s="114">
        <v>72</v>
      </c>
      <c r="T113" s="114">
        <f ca="1">IF(Data_Shelter_t[[#This Row],[Status]]="Open",Data_Shelter_t[[#This Row],[HH Covered]],0)</f>
        <v>72</v>
      </c>
      <c r="U113" s="332" t="s">
        <v>637</v>
      </c>
      <c r="V113" s="506" t="str">
        <f ca="1">IFERROR(OFFSET(Camp_List[Status],MATCH(Data_Shelter_t[[#This Row],[Camp Name]],Camp_List[Camp Name],0)-1,0,1,1),"")</f>
        <v>Open</v>
      </c>
      <c r="W113" s="480">
        <f ca="1">IFERROR(Data_Shelter_t[[#This Row],[HH Covered]]/OFFSET(Camp_List[HH],MATCH(Data_Shelter_t[[#This Row],[Camp Name]],Camp_List[Camp Name],0)-1,0,1,1),"")</f>
        <v>3.1914893617021274E-2</v>
      </c>
      <c r="X113" s="790">
        <f>Data_Shelter_t[[#This Row],['# of Permanent House Planned (Target)]]+Data_Shelter_t[[#This Row],['# of Individual Shelter Planned (Target)]]</f>
        <v>0</v>
      </c>
      <c r="Y113" s="495">
        <f>Data_Shelter_t[[#This Row],['# of Permanent House Built]]+Data_Shelter_t[[#This Row],['# of Individual Shelter Built]]</f>
        <v>0</v>
      </c>
    </row>
    <row r="114" spans="1:25" s="5" customFormat="1" x14ac:dyDescent="0.25">
      <c r="A114" s="497">
        <v>41548</v>
      </c>
      <c r="B114" s="332" t="s">
        <v>293</v>
      </c>
      <c r="C114" s="332" t="s">
        <v>293</v>
      </c>
      <c r="D114" s="332" t="s">
        <v>7</v>
      </c>
      <c r="E114" s="347" t="s">
        <v>14</v>
      </c>
      <c r="F114" s="332" t="s">
        <v>39</v>
      </c>
      <c r="G114" s="22">
        <v>10</v>
      </c>
      <c r="H114" s="332"/>
      <c r="I114" s="332"/>
      <c r="J114" s="22">
        <v>3</v>
      </c>
      <c r="K114" s="22">
        <v>3</v>
      </c>
      <c r="L114" s="22"/>
      <c r="M114" s="22"/>
      <c r="N114" s="22"/>
      <c r="O114" s="332"/>
      <c r="P114" s="332"/>
      <c r="Q114" s="332"/>
      <c r="R114" s="114"/>
      <c r="S114" s="114">
        <v>30</v>
      </c>
      <c r="T114" s="114">
        <f ca="1">IF(Data_Shelter_t[[#This Row],[Status]]="Open",Data_Shelter_t[[#This Row],[HH Covered]],0)</f>
        <v>0</v>
      </c>
      <c r="U114" s="332" t="s">
        <v>125</v>
      </c>
      <c r="V114" s="506" t="str">
        <f ca="1">IFERROR(OFFSET(Camp_List[Status],MATCH(Data_Shelter_t[[#This Row],[Camp Name]],Camp_List[Camp Name],0)-1,0,1,1),"")</f>
        <v>Relocated</v>
      </c>
      <c r="W114" s="480">
        <f ca="1">IFERROR(Data_Shelter_t[[#This Row],[HH Covered]]/OFFSET(Camp_List[HH],MATCH(Data_Shelter_t[[#This Row],[Camp Name]],Camp_List[Camp Name],0)-1,0,1,1),"")</f>
        <v>1.4285714285714286</v>
      </c>
      <c r="X114" s="790">
        <f>Data_Shelter_t[[#This Row],['# of Permanent House Planned (Target)]]+Data_Shelter_t[[#This Row],['# of Individual Shelter Planned (Target)]]</f>
        <v>0</v>
      </c>
      <c r="Y114" s="495">
        <f>Data_Shelter_t[[#This Row],['# of Permanent House Built]]+Data_Shelter_t[[#This Row],['# of Individual Shelter Built]]</f>
        <v>0</v>
      </c>
    </row>
    <row r="115" spans="1:25" s="5" customFormat="1" x14ac:dyDescent="0.25">
      <c r="A115" s="496">
        <v>41548</v>
      </c>
      <c r="B115" s="331" t="s">
        <v>285</v>
      </c>
      <c r="C115" s="331" t="s">
        <v>285</v>
      </c>
      <c r="D115" s="331" t="s">
        <v>7</v>
      </c>
      <c r="E115" s="333" t="s">
        <v>866</v>
      </c>
      <c r="F115" s="331" t="s">
        <v>37</v>
      </c>
      <c r="G115" s="29">
        <v>8</v>
      </c>
      <c r="H115" s="331"/>
      <c r="I115" s="331"/>
      <c r="J115" s="29">
        <v>6</v>
      </c>
      <c r="K115" s="29">
        <v>6</v>
      </c>
      <c r="L115" s="29"/>
      <c r="M115" s="29"/>
      <c r="N115" s="29"/>
      <c r="O115" s="331"/>
      <c r="P115" s="331"/>
      <c r="Q115" s="331"/>
      <c r="R115" s="114"/>
      <c r="S115" s="114">
        <v>48</v>
      </c>
      <c r="T115" s="114">
        <f ca="1">IF(Data_Shelter_t[[#This Row],[Status]]="Open",Data_Shelter_t[[#This Row],[HH Covered]],0)</f>
        <v>0</v>
      </c>
      <c r="U115" s="332" t="s">
        <v>123</v>
      </c>
      <c r="V115" s="506" t="str">
        <f ca="1">IFERROR(OFFSET(Camp_List[Status],MATCH(Data_Shelter_t[[#This Row],[Camp Name]],Camp_List[Camp Name],0)-1,0,1,1),"")</f>
        <v>Relocated</v>
      </c>
      <c r="W115" s="480">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498">
        <f>Data_Shelter_t[[#This Row],['# of Permanent House Built]]+Data_Shelter_t[[#This Row],['# of Individual Shelter Built]]</f>
        <v>0</v>
      </c>
    </row>
    <row r="116" spans="1:25" s="5" customFormat="1" x14ac:dyDescent="0.25">
      <c r="A116" s="496">
        <v>41548</v>
      </c>
      <c r="B116" s="331" t="s">
        <v>293</v>
      </c>
      <c r="C116" s="331" t="s">
        <v>293</v>
      </c>
      <c r="D116" s="331" t="s">
        <v>7</v>
      </c>
      <c r="E116" s="333" t="s">
        <v>15</v>
      </c>
      <c r="F116" s="331" t="s">
        <v>54</v>
      </c>
      <c r="G116" s="29">
        <v>8</v>
      </c>
      <c r="H116" s="331"/>
      <c r="I116" s="331"/>
      <c r="J116" s="29">
        <v>10</v>
      </c>
      <c r="K116" s="29">
        <v>10</v>
      </c>
      <c r="L116" s="29"/>
      <c r="M116" s="29"/>
      <c r="N116" s="29"/>
      <c r="O116" s="331"/>
      <c r="P116" s="331"/>
      <c r="Q116" s="331"/>
      <c r="R116" s="114"/>
      <c r="S116" s="114">
        <v>80</v>
      </c>
      <c r="T116" s="114">
        <f ca="1">IF(Data_Shelter_t[[#This Row],[Status]]="Open",Data_Shelter_t[[#This Row],[HH Covered]],0)</f>
        <v>0</v>
      </c>
      <c r="U116" s="332" t="s">
        <v>140</v>
      </c>
      <c r="V116" s="506" t="str">
        <f ca="1">IFERROR(OFFSET(Camp_List[Status],MATCH(Data_Shelter_t[[#This Row],[Camp Name]],Camp_List[Camp Name],0)-1,0,1,1),"")</f>
        <v>Relocated</v>
      </c>
      <c r="W116" s="480">
        <f ca="1">IFERROR(Data_Shelter_t[[#This Row],[HH Covered]]/OFFSET(Camp_List[HH],MATCH(Data_Shelter_t[[#This Row],[Camp Name]],Camp_List[Camp Name],0)-1,0,1,1),"")</f>
        <v>0.82474226804123707</v>
      </c>
      <c r="X116" s="790">
        <f>Data_Shelter_t[[#This Row],['# of Permanent House Planned (Target)]]+Data_Shelter_t[[#This Row],['# of Individual Shelter Planned (Target)]]</f>
        <v>0</v>
      </c>
      <c r="Y116" s="495">
        <f>Data_Shelter_t[[#This Row],['# of Permanent House Built]]+Data_Shelter_t[[#This Row],['# of Individual Shelter Built]]</f>
        <v>0</v>
      </c>
    </row>
    <row r="117" spans="1:25" s="5" customFormat="1" x14ac:dyDescent="0.25">
      <c r="A117" s="496">
        <v>41548</v>
      </c>
      <c r="B117" s="331" t="s">
        <v>293</v>
      </c>
      <c r="C117" s="331" t="s">
        <v>293</v>
      </c>
      <c r="D117" s="331" t="s">
        <v>7</v>
      </c>
      <c r="E117" s="333" t="s">
        <v>19</v>
      </c>
      <c r="F117" s="331" t="s">
        <v>78</v>
      </c>
      <c r="G117" s="29">
        <v>10</v>
      </c>
      <c r="H117" s="331"/>
      <c r="I117" s="331"/>
      <c r="J117" s="29">
        <v>22</v>
      </c>
      <c r="K117" s="29">
        <v>22</v>
      </c>
      <c r="L117" s="29"/>
      <c r="M117" s="29"/>
      <c r="N117" s="29"/>
      <c r="O117" s="331"/>
      <c r="P117" s="331"/>
      <c r="Q117" s="331"/>
      <c r="R117" s="114"/>
      <c r="S117" s="114">
        <v>220</v>
      </c>
      <c r="T117" s="114">
        <f ca="1">IF(Data_Shelter_t[[#This Row],[Status]]="Open",Data_Shelter_t[[#This Row],[HH Covered]],0)</f>
        <v>0</v>
      </c>
      <c r="U117" s="332" t="s">
        <v>166</v>
      </c>
      <c r="V117" s="506" t="str">
        <f ca="1">IFERROR(OFFSET(Camp_List[Status],MATCH(Data_Shelter_t[[#This Row],[Camp Name]],Camp_List[Camp Name],0)-1,0,1,1),"")</f>
        <v>Relocated</v>
      </c>
      <c r="W117" s="480">
        <f ca="1">IFERROR(Data_Shelter_t[[#This Row],[HH Covered]]/OFFSET(Camp_List[HH],MATCH(Data_Shelter_t[[#This Row],[Camp Name]],Camp_List[Camp Name],0)-1,0,1,1),"")</f>
        <v>3.0555555555555554</v>
      </c>
      <c r="X117" s="790">
        <f>Data_Shelter_t[[#This Row],['# of Permanent House Planned (Target)]]+Data_Shelter_t[[#This Row],['# of Individual Shelter Planned (Target)]]</f>
        <v>0</v>
      </c>
      <c r="Y117" s="495">
        <f>Data_Shelter_t[[#This Row],['# of Permanent House Built]]+Data_Shelter_t[[#This Row],['# of Individual Shelter Built]]</f>
        <v>0</v>
      </c>
    </row>
    <row r="118" spans="1:25" s="5" customFormat="1" x14ac:dyDescent="0.25">
      <c r="A118" s="496">
        <v>41548</v>
      </c>
      <c r="B118" s="331" t="s">
        <v>285</v>
      </c>
      <c r="C118" s="331" t="s">
        <v>285</v>
      </c>
      <c r="D118" s="331" t="s">
        <v>7</v>
      </c>
      <c r="E118" s="333" t="s">
        <v>19</v>
      </c>
      <c r="F118" s="331" t="s">
        <v>245</v>
      </c>
      <c r="G118" s="29">
        <v>8</v>
      </c>
      <c r="H118" s="331"/>
      <c r="I118" s="331"/>
      <c r="J118" s="29">
        <v>22</v>
      </c>
      <c r="K118" s="29">
        <v>22</v>
      </c>
      <c r="L118" s="29"/>
      <c r="M118" s="29"/>
      <c r="N118" s="29"/>
      <c r="O118" s="331"/>
      <c r="P118" s="331"/>
      <c r="Q118" s="331"/>
      <c r="R118" s="114"/>
      <c r="S118" s="114">
        <v>176</v>
      </c>
      <c r="T118" s="114">
        <f ca="1">IF(Data_Shelter_t[[#This Row],[Status]]="Open",Data_Shelter_t[[#This Row],[HH Covered]],0)</f>
        <v>0</v>
      </c>
      <c r="U118" s="332" t="s">
        <v>282</v>
      </c>
      <c r="V118" s="506" t="str">
        <f ca="1">IFERROR(OFFSET(Camp_List[Status],MATCH(Data_Shelter_t[[#This Row],[Camp Name]],Camp_List[Camp Name],0)-1,0,1,1),"")</f>
        <v>Relocated</v>
      </c>
      <c r="W118" s="480">
        <f ca="1">IFERROR(Data_Shelter_t[[#This Row],[HH Covered]]/OFFSET(Camp_List[HH],MATCH(Data_Shelter_t[[#This Row],[Camp Name]],Camp_List[Camp Name],0)-1,0,1,1),"")</f>
        <v>1.1655629139072847</v>
      </c>
      <c r="X118" s="790">
        <f>Data_Shelter_t[[#This Row],['# of Permanent House Planned (Target)]]+Data_Shelter_t[[#This Row],['# of Individual Shelter Planned (Target)]]</f>
        <v>0</v>
      </c>
      <c r="Y118" s="495">
        <f>Data_Shelter_t[[#This Row],['# of Permanent House Built]]+Data_Shelter_t[[#This Row],['# of Individual Shelter Built]]</f>
        <v>0</v>
      </c>
    </row>
    <row r="119" spans="1:25" s="5" customFormat="1" x14ac:dyDescent="0.25">
      <c r="A119" s="496">
        <v>41548</v>
      </c>
      <c r="B119" s="331" t="s">
        <v>293</v>
      </c>
      <c r="C119" s="331" t="s">
        <v>293</v>
      </c>
      <c r="D119" s="331" t="s">
        <v>7</v>
      </c>
      <c r="E119" s="333" t="s">
        <v>14</v>
      </c>
      <c r="F119" s="331" t="s">
        <v>39</v>
      </c>
      <c r="G119" s="29">
        <v>1</v>
      </c>
      <c r="H119" s="331"/>
      <c r="I119" s="331"/>
      <c r="J119" s="29"/>
      <c r="K119" s="29"/>
      <c r="L119" s="29"/>
      <c r="M119" s="29">
        <v>21</v>
      </c>
      <c r="N119" s="29">
        <v>21</v>
      </c>
      <c r="O119" s="331"/>
      <c r="P119" s="331"/>
      <c r="Q119" s="331"/>
      <c r="R119" s="114"/>
      <c r="S119" s="114">
        <v>21</v>
      </c>
      <c r="T119" s="114">
        <f ca="1">IF(Data_Shelter_t[[#This Row],[Status]]="Open",Data_Shelter_t[[#This Row],[HH Covered]],0)</f>
        <v>0</v>
      </c>
      <c r="U119" s="332" t="s">
        <v>125</v>
      </c>
      <c r="V119" s="506" t="str">
        <f ca="1">IFERROR(OFFSET(Camp_List[Status],MATCH(Data_Shelter_t[[#This Row],[Camp Name]],Camp_List[Camp Name],0)-1,0,1,1),"")</f>
        <v>Relocated</v>
      </c>
      <c r="W119" s="480">
        <f ca="1">IFERROR(Data_Shelter_t[[#This Row],[HH Covered]]/OFFSET(Camp_List[HH],MATCH(Data_Shelter_t[[#This Row],[Camp Name]],Camp_List[Camp Name],0)-1,0,1,1),"")</f>
        <v>1</v>
      </c>
      <c r="X119" s="790">
        <f>Data_Shelter_t[[#This Row],['# of Permanent House Planned (Target)]]+Data_Shelter_t[[#This Row],['# of Individual Shelter Planned (Target)]]</f>
        <v>21</v>
      </c>
      <c r="Y119" s="498">
        <f>Data_Shelter_t[[#This Row],['# of Permanent House Built]]+Data_Shelter_t[[#This Row],['# of Individual Shelter Built]]</f>
        <v>21</v>
      </c>
    </row>
    <row r="120" spans="1:25" s="5" customFormat="1" x14ac:dyDescent="0.25">
      <c r="A120" s="496">
        <v>41548</v>
      </c>
      <c r="B120" s="331" t="s">
        <v>293</v>
      </c>
      <c r="C120" s="331" t="s">
        <v>293</v>
      </c>
      <c r="D120" s="331" t="s">
        <v>7</v>
      </c>
      <c r="E120" s="333" t="s">
        <v>19</v>
      </c>
      <c r="F120" s="331" t="s">
        <v>638</v>
      </c>
      <c r="G120" s="29">
        <v>1</v>
      </c>
      <c r="H120" s="331"/>
      <c r="I120" s="331"/>
      <c r="J120" s="29"/>
      <c r="K120" s="29"/>
      <c r="L120" s="29"/>
      <c r="M120" s="29">
        <v>250</v>
      </c>
      <c r="N120" s="29">
        <v>250</v>
      </c>
      <c r="O120" s="331"/>
      <c r="P120" s="331"/>
      <c r="Q120" s="331"/>
      <c r="R120" s="114"/>
      <c r="S120" s="114">
        <v>250</v>
      </c>
      <c r="T120" s="114">
        <f ca="1">IF(Data_Shelter_t[[#This Row],[Status]]="Open",Data_Shelter_t[[#This Row],[HH Covered]],0)</f>
        <v>0</v>
      </c>
      <c r="U120" s="332" t="s">
        <v>640</v>
      </c>
      <c r="V120" s="506" t="str">
        <f ca="1">IFERROR(OFFSET(Camp_List[Status],MATCH(Data_Shelter_t[[#This Row],[Camp Name]],Camp_List[Camp Name],0)-1,0,1,1),"")</f>
        <v>Relocated</v>
      </c>
      <c r="W120" s="480">
        <f ca="1">IFERROR(Data_Shelter_t[[#This Row],[HH Covered]]/OFFSET(Camp_List[HH],MATCH(Data_Shelter_t[[#This Row],[Camp Name]],Camp_List[Camp Name],0)-1,0,1,1),"")</f>
        <v>1.0040160642570282</v>
      </c>
      <c r="X120" s="790">
        <f>Data_Shelter_t[[#This Row],['# of Permanent House Planned (Target)]]+Data_Shelter_t[[#This Row],['# of Individual Shelter Planned (Target)]]</f>
        <v>250</v>
      </c>
      <c r="Y120" s="498">
        <f>Data_Shelter_t[[#This Row],['# of Permanent House Built]]+Data_Shelter_t[[#This Row],['# of Individual Shelter Built]]</f>
        <v>250</v>
      </c>
    </row>
    <row r="121" spans="1:25" s="5" customFormat="1" x14ac:dyDescent="0.25">
      <c r="A121" s="496">
        <v>41548</v>
      </c>
      <c r="B121" s="331" t="s">
        <v>293</v>
      </c>
      <c r="C121" s="331" t="s">
        <v>293</v>
      </c>
      <c r="D121" s="331" t="s">
        <v>7</v>
      </c>
      <c r="E121" s="333" t="s">
        <v>19</v>
      </c>
      <c r="F121" s="331" t="s">
        <v>639</v>
      </c>
      <c r="G121" s="29">
        <v>1</v>
      </c>
      <c r="H121" s="331"/>
      <c r="I121" s="331"/>
      <c r="J121" s="29"/>
      <c r="K121" s="29"/>
      <c r="L121" s="29"/>
      <c r="M121" s="29">
        <v>419</v>
      </c>
      <c r="N121" s="29">
        <v>419</v>
      </c>
      <c r="O121" s="331"/>
      <c r="P121" s="331"/>
      <c r="Q121" s="331"/>
      <c r="R121" s="114"/>
      <c r="S121" s="114">
        <v>419</v>
      </c>
      <c r="T121" s="114">
        <f ca="1">IF(Data_Shelter_t[[#This Row],[Status]]="Open",Data_Shelter_t[[#This Row],[HH Covered]],0)</f>
        <v>0</v>
      </c>
      <c r="U121" s="332" t="s">
        <v>641</v>
      </c>
      <c r="V121" s="506" t="str">
        <f ca="1">IFERROR(OFFSET(Camp_List[Status],MATCH(Data_Shelter_t[[#This Row],[Camp Name]],Camp_List[Camp Name],0)-1,0,1,1),"")</f>
        <v>Relocated</v>
      </c>
      <c r="W121" s="480">
        <f ca="1">IFERROR(Data_Shelter_t[[#This Row],[HH Covered]]/OFFSET(Camp_List[HH],MATCH(Data_Shelter_t[[#This Row],[Camp Name]],Camp_List[Camp Name],0)-1,0,1,1),"")</f>
        <v>1.0023923444976077</v>
      </c>
      <c r="X121" s="790">
        <f>Data_Shelter_t[[#This Row],['# of Permanent House Planned (Target)]]+Data_Shelter_t[[#This Row],['# of Individual Shelter Planned (Target)]]</f>
        <v>419</v>
      </c>
      <c r="Y121" s="498">
        <f>Data_Shelter_t[[#This Row],['# of Permanent House Built]]+Data_Shelter_t[[#This Row],['# of Individual Shelter Built]]</f>
        <v>419</v>
      </c>
    </row>
    <row r="122" spans="1:25" s="5" customFormat="1" x14ac:dyDescent="0.25">
      <c r="A122" s="496">
        <v>41548</v>
      </c>
      <c r="B122" s="331" t="s">
        <v>293</v>
      </c>
      <c r="C122" s="331" t="s">
        <v>293</v>
      </c>
      <c r="D122" s="331" t="s">
        <v>7</v>
      </c>
      <c r="E122" s="333" t="s">
        <v>15</v>
      </c>
      <c r="F122" s="331" t="s">
        <v>46</v>
      </c>
      <c r="G122" s="29">
        <v>8</v>
      </c>
      <c r="H122" s="331"/>
      <c r="I122" s="331"/>
      <c r="J122" s="29">
        <v>2</v>
      </c>
      <c r="K122" s="29">
        <v>2</v>
      </c>
      <c r="L122" s="29"/>
      <c r="M122" s="29"/>
      <c r="N122" s="29"/>
      <c r="O122" s="331"/>
      <c r="P122" s="331"/>
      <c r="Q122" s="331"/>
      <c r="R122" s="114"/>
      <c r="S122" s="114">
        <v>16</v>
      </c>
      <c r="T122" s="114">
        <f ca="1">IF(Data_Shelter_t[[#This Row],[Status]]="Open",Data_Shelter_t[[#This Row],[HH Covered]],0)</f>
        <v>0</v>
      </c>
      <c r="U122" s="332" t="s">
        <v>132</v>
      </c>
      <c r="V122" s="506" t="str">
        <f ca="1">IFERROR(OFFSET(Camp_List[Status],MATCH(Data_Shelter_t[[#This Row],[Camp Name]],Camp_List[Camp Name],0)-1,0,1,1),"")</f>
        <v>Returned</v>
      </c>
      <c r="W122" s="480">
        <f ca="1">IFERROR(Data_Shelter_t[[#This Row],[HH Covered]]/OFFSET(Camp_List[HH],MATCH(Data_Shelter_t[[#This Row],[Camp Name]],Camp_List[Camp Name],0)-1,0,1,1),"")</f>
        <v>0.66666666666666663</v>
      </c>
      <c r="X122" s="790">
        <f>Data_Shelter_t[[#This Row],['# of Permanent House Planned (Target)]]+Data_Shelter_t[[#This Row],['# of Individual Shelter Planned (Target)]]</f>
        <v>0</v>
      </c>
      <c r="Y122" s="495">
        <f>Data_Shelter_t[[#This Row],['# of Permanent House Built]]+Data_Shelter_t[[#This Row],['# of Individual Shelter Built]]</f>
        <v>0</v>
      </c>
    </row>
    <row r="123" spans="1:25" s="5" customFormat="1" x14ac:dyDescent="0.25">
      <c r="A123" s="496">
        <v>41548</v>
      </c>
      <c r="B123" s="331" t="s">
        <v>293</v>
      </c>
      <c r="C123" s="331" t="s">
        <v>293</v>
      </c>
      <c r="D123" s="331" t="s">
        <v>7</v>
      </c>
      <c r="E123" s="333" t="s">
        <v>15</v>
      </c>
      <c r="F123" s="331" t="s">
        <v>49</v>
      </c>
      <c r="G123" s="29">
        <v>8</v>
      </c>
      <c r="H123" s="331"/>
      <c r="I123" s="331"/>
      <c r="J123" s="29">
        <v>2</v>
      </c>
      <c r="K123" s="29">
        <v>2</v>
      </c>
      <c r="L123" s="29"/>
      <c r="M123" s="29"/>
      <c r="N123" s="29"/>
      <c r="O123" s="331"/>
      <c r="P123" s="331"/>
      <c r="Q123" s="331"/>
      <c r="R123" s="114"/>
      <c r="S123" s="114">
        <v>16</v>
      </c>
      <c r="T123" s="114">
        <f ca="1">IF(Data_Shelter_t[[#This Row],[Status]]="Open",Data_Shelter_t[[#This Row],[HH Covered]],0)</f>
        <v>0</v>
      </c>
      <c r="U123" s="332" t="s">
        <v>135</v>
      </c>
      <c r="V123" s="506" t="str">
        <f ca="1">IFERROR(OFFSET(Camp_List[Status],MATCH(Data_Shelter_t[[#This Row],[Camp Name]],Camp_List[Camp Name],0)-1,0,1,1),"")</f>
        <v>Returned</v>
      </c>
      <c r="W123" s="480">
        <f ca="1">IFERROR(Data_Shelter_t[[#This Row],[HH Covered]]/OFFSET(Camp_List[HH],MATCH(Data_Shelter_t[[#This Row],[Camp Name]],Camp_List[Camp Name],0)-1,0,1,1),"")</f>
        <v>1.1428571428571428</v>
      </c>
      <c r="X123" s="790">
        <f>Data_Shelter_t[[#This Row],['# of Permanent House Planned (Target)]]+Data_Shelter_t[[#This Row],['# of Individual Shelter Planned (Target)]]</f>
        <v>0</v>
      </c>
      <c r="Y123" s="495">
        <f>Data_Shelter_t[[#This Row],['# of Permanent House Built]]+Data_Shelter_t[[#This Row],['# of Individual Shelter Built]]</f>
        <v>0</v>
      </c>
    </row>
    <row r="124" spans="1:25" s="5" customFormat="1" x14ac:dyDescent="0.25">
      <c r="A124" s="496">
        <v>41548</v>
      </c>
      <c r="B124" s="331" t="s">
        <v>293</v>
      </c>
      <c r="C124" s="331" t="s">
        <v>293</v>
      </c>
      <c r="D124" s="331" t="s">
        <v>7</v>
      </c>
      <c r="E124" s="333" t="s">
        <v>16</v>
      </c>
      <c r="F124" s="331" t="s">
        <v>56</v>
      </c>
      <c r="G124" s="29">
        <v>8</v>
      </c>
      <c r="H124" s="331"/>
      <c r="I124" s="331"/>
      <c r="J124" s="29">
        <v>4</v>
      </c>
      <c r="K124" s="29">
        <v>4</v>
      </c>
      <c r="L124" s="29"/>
      <c r="M124" s="29"/>
      <c r="N124" s="29"/>
      <c r="O124" s="331"/>
      <c r="P124" s="331"/>
      <c r="Q124" s="331"/>
      <c r="R124" s="114"/>
      <c r="S124" s="114">
        <v>32</v>
      </c>
      <c r="T124" s="114">
        <f ca="1">IF(Data_Shelter_t[[#This Row],[Status]]="Open",Data_Shelter_t[[#This Row],[HH Covered]],0)</f>
        <v>0</v>
      </c>
      <c r="U124" s="332" t="s">
        <v>142</v>
      </c>
      <c r="V124" s="506" t="str">
        <f ca="1">IFERROR(OFFSET(Camp_List[Status],MATCH(Data_Shelter_t[[#This Row],[Camp Name]],Camp_List[Camp Name],0)-1,0,1,1),"")</f>
        <v>Returned</v>
      </c>
      <c r="W124" s="480">
        <f ca="1">IFERROR(Data_Shelter_t[[#This Row],[HH Covered]]/OFFSET(Camp_List[HH],MATCH(Data_Shelter_t[[#This Row],[Camp Name]],Camp_List[Camp Name],0)-1,0,1,1),"")</f>
        <v>1</v>
      </c>
      <c r="X124" s="790">
        <f>Data_Shelter_t[[#This Row],['# of Permanent House Planned (Target)]]+Data_Shelter_t[[#This Row],['# of Individual Shelter Planned (Target)]]</f>
        <v>0</v>
      </c>
      <c r="Y124" s="495">
        <f>Data_Shelter_t[[#This Row],['# of Permanent House Built]]+Data_Shelter_t[[#This Row],['# of Individual Shelter Built]]</f>
        <v>0</v>
      </c>
    </row>
    <row r="125" spans="1:25" s="5" customFormat="1" x14ac:dyDescent="0.25">
      <c r="A125" s="496">
        <v>41548</v>
      </c>
      <c r="B125" s="331" t="s">
        <v>293</v>
      </c>
      <c r="C125" s="331" t="s">
        <v>293</v>
      </c>
      <c r="D125" s="331" t="s">
        <v>7</v>
      </c>
      <c r="E125" s="333" t="s">
        <v>15</v>
      </c>
      <c r="F125" s="331" t="s">
        <v>48</v>
      </c>
      <c r="G125" s="29">
        <v>8</v>
      </c>
      <c r="H125" s="331"/>
      <c r="I125" s="331"/>
      <c r="J125" s="29">
        <v>7</v>
      </c>
      <c r="K125" s="29">
        <v>7</v>
      </c>
      <c r="L125" s="29"/>
      <c r="M125" s="29"/>
      <c r="N125" s="29"/>
      <c r="O125" s="331"/>
      <c r="P125" s="331"/>
      <c r="Q125" s="331"/>
      <c r="R125" s="114"/>
      <c r="S125" s="114">
        <v>56</v>
      </c>
      <c r="T125" s="114">
        <f ca="1">IF(Data_Shelter_t[[#This Row],[Status]]="Open",Data_Shelter_t[[#This Row],[HH Covered]],0)</f>
        <v>0</v>
      </c>
      <c r="U125" s="332" t="s">
        <v>134</v>
      </c>
      <c r="V125" s="506" t="str">
        <f ca="1">IFERROR(OFFSET(Camp_List[Status],MATCH(Data_Shelter_t[[#This Row],[Camp Name]],Camp_List[Camp Name],0)-1,0,1,1),"")</f>
        <v>Returned</v>
      </c>
      <c r="W125" s="480">
        <f ca="1">IFERROR(Data_Shelter_t[[#This Row],[HH Covered]]/OFFSET(Camp_List[HH],MATCH(Data_Shelter_t[[#This Row],[Camp Name]],Camp_List[Camp Name],0)-1,0,1,1),"")</f>
        <v>0.60869565217391308</v>
      </c>
      <c r="X125" s="790">
        <f>Data_Shelter_t[[#This Row],['# of Permanent House Planned (Target)]]+Data_Shelter_t[[#This Row],['# of Individual Shelter Planned (Target)]]</f>
        <v>0</v>
      </c>
      <c r="Y125" s="495">
        <f>Data_Shelter_t[[#This Row],['# of Permanent House Built]]+Data_Shelter_t[[#This Row],['# of Individual Shelter Built]]</f>
        <v>0</v>
      </c>
    </row>
    <row r="126" spans="1:25" s="5" customFormat="1" x14ac:dyDescent="0.25">
      <c r="A126" s="496">
        <v>41548</v>
      </c>
      <c r="B126" s="332" t="s">
        <v>293</v>
      </c>
      <c r="C126" s="332" t="s">
        <v>293</v>
      </c>
      <c r="D126" s="331" t="s">
        <v>7</v>
      </c>
      <c r="E126" s="347" t="s">
        <v>11</v>
      </c>
      <c r="F126" s="332" t="s">
        <v>30</v>
      </c>
      <c r="G126" s="22">
        <v>8</v>
      </c>
      <c r="H126" s="331"/>
      <c r="I126" s="331"/>
      <c r="J126" s="22">
        <v>10</v>
      </c>
      <c r="K126" s="22">
        <v>10</v>
      </c>
      <c r="L126" s="22"/>
      <c r="M126" s="29"/>
      <c r="N126" s="29"/>
      <c r="O126" s="331"/>
      <c r="P126" s="331"/>
      <c r="Q126" s="331"/>
      <c r="R126" s="114"/>
      <c r="S126" s="114">
        <v>80</v>
      </c>
      <c r="T126" s="114">
        <f ca="1">IF(Data_Shelter_t[[#This Row],[Status]]="Open",Data_Shelter_t[[#This Row],[HH Covered]],0)</f>
        <v>0</v>
      </c>
      <c r="U126" s="332" t="s">
        <v>116</v>
      </c>
      <c r="V126" s="506" t="str">
        <f ca="1">IFERROR(OFFSET(Camp_List[Status],MATCH(Data_Shelter_t[[#This Row],[Camp Name]],Camp_List[Camp Name],0)-1,0,1,1),"")</f>
        <v>Returned</v>
      </c>
      <c r="W126" s="480">
        <f ca="1">IFERROR(Data_Shelter_t[[#This Row],[HH Covered]]/OFFSET(Camp_List[HH],MATCH(Data_Shelter_t[[#This Row],[Camp Name]],Camp_List[Camp Name],0)-1,0,1,1),"")</f>
        <v>0.93023255813953487</v>
      </c>
      <c r="X126" s="790">
        <f>Data_Shelter_t[[#This Row],['# of Permanent House Planned (Target)]]+Data_Shelter_t[[#This Row],['# of Individual Shelter Planned (Target)]]</f>
        <v>0</v>
      </c>
      <c r="Y126" s="495">
        <f>Data_Shelter_t[[#This Row],['# of Permanent House Built]]+Data_Shelter_t[[#This Row],['# of Individual Shelter Built]]</f>
        <v>0</v>
      </c>
    </row>
    <row r="127" spans="1:25" s="5" customFormat="1" x14ac:dyDescent="0.25">
      <c r="A127" s="496">
        <v>41548</v>
      </c>
      <c r="B127" s="331" t="s">
        <v>293</v>
      </c>
      <c r="C127" s="331" t="s">
        <v>293</v>
      </c>
      <c r="D127" s="331" t="s">
        <v>7</v>
      </c>
      <c r="E127" s="333" t="s">
        <v>15</v>
      </c>
      <c r="F127" s="331" t="s">
        <v>51</v>
      </c>
      <c r="G127" s="29">
        <v>8</v>
      </c>
      <c r="H127" s="331"/>
      <c r="I127" s="331"/>
      <c r="J127" s="29">
        <v>10</v>
      </c>
      <c r="K127" s="29">
        <v>10</v>
      </c>
      <c r="L127" s="29"/>
      <c r="M127" s="29"/>
      <c r="N127" s="29"/>
      <c r="O127" s="331"/>
      <c r="P127" s="331"/>
      <c r="Q127" s="331"/>
      <c r="R127" s="114"/>
      <c r="S127" s="114">
        <v>80</v>
      </c>
      <c r="T127" s="114">
        <f ca="1">IF(Data_Shelter_t[[#This Row],[Status]]="Open",Data_Shelter_t[[#This Row],[HH Covered]],0)</f>
        <v>0</v>
      </c>
      <c r="U127" s="332" t="s">
        <v>137</v>
      </c>
      <c r="V127" s="506" t="str">
        <f ca="1">IFERROR(OFFSET(Camp_List[Status],MATCH(Data_Shelter_t[[#This Row],[Camp Name]],Camp_List[Camp Name],0)-1,0,1,1),"")</f>
        <v>Returned</v>
      </c>
      <c r="W127" s="480">
        <f ca="1">IFERROR(Data_Shelter_t[[#This Row],[HH Covered]]/OFFSET(Camp_List[HH],MATCH(Data_Shelter_t[[#This Row],[Camp Name]],Camp_List[Camp Name],0)-1,0,1,1),"")</f>
        <v>0.68965517241379315</v>
      </c>
      <c r="X127" s="790">
        <f>Data_Shelter_t[[#This Row],['# of Permanent House Planned (Target)]]+Data_Shelter_t[[#This Row],['# of Individual Shelter Planned (Target)]]</f>
        <v>0</v>
      </c>
      <c r="Y127" s="495">
        <f>Data_Shelter_t[[#This Row],['# of Permanent House Built]]+Data_Shelter_t[[#This Row],['# of Individual Shelter Built]]</f>
        <v>0</v>
      </c>
    </row>
    <row r="128" spans="1:25" s="5" customFormat="1" x14ac:dyDescent="0.25">
      <c r="A128" s="496">
        <v>41548</v>
      </c>
      <c r="B128" s="331" t="s">
        <v>293</v>
      </c>
      <c r="C128" s="331" t="s">
        <v>293</v>
      </c>
      <c r="D128" s="331" t="s">
        <v>7</v>
      </c>
      <c r="E128" s="333" t="s">
        <v>15</v>
      </c>
      <c r="F128" s="331" t="s">
        <v>50</v>
      </c>
      <c r="G128" s="29">
        <v>8</v>
      </c>
      <c r="H128" s="331"/>
      <c r="I128" s="331"/>
      <c r="J128" s="29">
        <v>29</v>
      </c>
      <c r="K128" s="29">
        <v>29</v>
      </c>
      <c r="L128" s="29"/>
      <c r="M128" s="29"/>
      <c r="N128" s="29"/>
      <c r="O128" s="331"/>
      <c r="P128" s="331"/>
      <c r="Q128" s="331"/>
      <c r="R128" s="114"/>
      <c r="S128" s="114">
        <v>232</v>
      </c>
      <c r="T128" s="114">
        <f ca="1">IF(Data_Shelter_t[[#This Row],[Status]]="Open",Data_Shelter_t[[#This Row],[HH Covered]],0)</f>
        <v>0</v>
      </c>
      <c r="U128" s="332" t="s">
        <v>136</v>
      </c>
      <c r="V128" s="506" t="str">
        <f ca="1">IFERROR(OFFSET(Camp_List[Status],MATCH(Data_Shelter_t[[#This Row],[Camp Name]],Camp_List[Camp Name],0)-1,0,1,1),"")</f>
        <v>Returned</v>
      </c>
      <c r="W128" s="480">
        <f ca="1">IFERROR(Data_Shelter_t[[#This Row],[HH Covered]]/OFFSET(Camp_List[HH],MATCH(Data_Shelter_t[[#This Row],[Camp Name]],Camp_List[Camp Name],0)-1,0,1,1),"")</f>
        <v>0.98305084745762716</v>
      </c>
      <c r="X128" s="790">
        <f>Data_Shelter_t[[#This Row],['# of Permanent House Planned (Target)]]+Data_Shelter_t[[#This Row],['# of Individual Shelter Planned (Target)]]</f>
        <v>0</v>
      </c>
      <c r="Y128" s="495">
        <f>Data_Shelter_t[[#This Row],['# of Permanent House Built]]+Data_Shelter_t[[#This Row],['# of Individual Shelter Built]]</f>
        <v>0</v>
      </c>
    </row>
    <row r="129" spans="1:25" s="5" customFormat="1" x14ac:dyDescent="0.25">
      <c r="A129" s="496">
        <v>41548</v>
      </c>
      <c r="B129" s="331" t="s">
        <v>293</v>
      </c>
      <c r="C129" s="331" t="s">
        <v>293</v>
      </c>
      <c r="D129" s="331" t="s">
        <v>7</v>
      </c>
      <c r="E129" s="333" t="s">
        <v>15</v>
      </c>
      <c r="F129" s="331" t="s">
        <v>44</v>
      </c>
      <c r="G129" s="29">
        <v>8</v>
      </c>
      <c r="H129" s="331"/>
      <c r="I129" s="331"/>
      <c r="J129" s="29">
        <v>2</v>
      </c>
      <c r="K129" s="29">
        <v>2</v>
      </c>
      <c r="L129" s="29"/>
      <c r="M129" s="29"/>
      <c r="N129" s="29"/>
      <c r="O129" s="331"/>
      <c r="P129" s="331"/>
      <c r="Q129" s="331"/>
      <c r="R129" s="114"/>
      <c r="S129" s="114">
        <v>16</v>
      </c>
      <c r="T129" s="114">
        <f ca="1">IF(Data_Shelter_t[[#This Row],[Status]]="Open",Data_Shelter_t[[#This Row],[HH Covered]],0)</f>
        <v>0</v>
      </c>
      <c r="U129" s="332" t="s">
        <v>130</v>
      </c>
      <c r="V129" s="506" t="str">
        <f ca="1">IFERROR(OFFSET(Camp_List[Status],MATCH(Data_Shelter_t[[#This Row],[Camp Name]],Camp_List[Camp Name],0)-1,0,1,1),"")</f>
        <v>Returned</v>
      </c>
      <c r="W129" s="480">
        <f ca="1">IFERROR(Data_Shelter_t[[#This Row],[HH Covered]]/OFFSET(Camp_List[HH],MATCH(Data_Shelter_t[[#This Row],[Camp Name]],Camp_List[Camp Name],0)-1,0,1,1),"")</f>
        <v>0.88888888888888884</v>
      </c>
      <c r="X129" s="790">
        <f>Data_Shelter_t[[#This Row],['# of Permanent House Planned (Target)]]+Data_Shelter_t[[#This Row],['# of Individual Shelter Planned (Target)]]</f>
        <v>0</v>
      </c>
      <c r="Y129" s="495">
        <f>Data_Shelter_t[[#This Row],['# of Permanent House Built]]+Data_Shelter_t[[#This Row],['# of Individual Shelter Built]]</f>
        <v>0</v>
      </c>
    </row>
    <row r="130" spans="1:25" s="5" customFormat="1" x14ac:dyDescent="0.25">
      <c r="A130" s="496">
        <v>41548</v>
      </c>
      <c r="B130" s="331" t="s">
        <v>293</v>
      </c>
      <c r="C130" s="331" t="s">
        <v>293</v>
      </c>
      <c r="D130" s="331" t="s">
        <v>7</v>
      </c>
      <c r="E130" s="333" t="s">
        <v>16</v>
      </c>
      <c r="F130" s="331" t="s">
        <v>55</v>
      </c>
      <c r="G130" s="29">
        <v>8</v>
      </c>
      <c r="H130" s="331"/>
      <c r="I130" s="331"/>
      <c r="J130" s="29">
        <v>7</v>
      </c>
      <c r="K130" s="29">
        <v>7</v>
      </c>
      <c r="L130" s="29"/>
      <c r="M130" s="29"/>
      <c r="N130" s="29"/>
      <c r="O130" s="331"/>
      <c r="P130" s="331"/>
      <c r="Q130" s="331"/>
      <c r="R130" s="114"/>
      <c r="S130" s="114">
        <v>56</v>
      </c>
      <c r="T130" s="114">
        <f ca="1">IF(Data_Shelter_t[[#This Row],[Status]]="Open",Data_Shelter_t[[#This Row],[HH Covered]],0)</f>
        <v>0</v>
      </c>
      <c r="U130" s="332" t="s">
        <v>141</v>
      </c>
      <c r="V130" s="506" t="str">
        <f ca="1">IFERROR(OFFSET(Camp_List[Status],MATCH(Data_Shelter_t[[#This Row],[Camp Name]],Camp_List[Camp Name],0)-1,0,1,1),"")</f>
        <v>Returned</v>
      </c>
      <c r="W130" s="480">
        <f ca="1">IFERROR(Data_Shelter_t[[#This Row],[HH Covered]]/OFFSET(Camp_List[HH],MATCH(Data_Shelter_t[[#This Row],[Camp Name]],Camp_List[Camp Name],0)-1,0,1,1),"")</f>
        <v>1.037037037037037</v>
      </c>
      <c r="X130" s="790">
        <f>Data_Shelter_t[[#This Row],['# of Permanent House Planned (Target)]]+Data_Shelter_t[[#This Row],['# of Individual Shelter Planned (Target)]]</f>
        <v>0</v>
      </c>
      <c r="Y130" s="495">
        <f>Data_Shelter_t[[#This Row],['# of Permanent House Built]]+Data_Shelter_t[[#This Row],['# of Individual Shelter Built]]</f>
        <v>0</v>
      </c>
    </row>
    <row r="131" spans="1:25" s="5" customFormat="1" x14ac:dyDescent="0.25">
      <c r="A131" s="496">
        <v>41548</v>
      </c>
      <c r="B131" s="331" t="s">
        <v>293</v>
      </c>
      <c r="C131" s="331" t="s">
        <v>293</v>
      </c>
      <c r="D131" s="331" t="s">
        <v>7</v>
      </c>
      <c r="E131" s="333" t="s">
        <v>1002</v>
      </c>
      <c r="F131" s="331" t="s">
        <v>33</v>
      </c>
      <c r="G131" s="790">
        <v>8</v>
      </c>
      <c r="H131" s="331"/>
      <c r="I131" s="331"/>
      <c r="J131" s="790">
        <v>26</v>
      </c>
      <c r="K131" s="790">
        <v>26</v>
      </c>
      <c r="L131" s="790"/>
      <c r="M131" s="790"/>
      <c r="N131" s="790"/>
      <c r="O131" s="331"/>
      <c r="P131" s="331"/>
      <c r="Q131" s="331"/>
      <c r="R131" s="114"/>
      <c r="S131" s="114">
        <v>208</v>
      </c>
      <c r="T131" s="114">
        <f ca="1">IF(Data_Shelter_t[[#This Row],[Status]]="Open",Data_Shelter_t[[#This Row],[HH Covered]],0)</f>
        <v>0</v>
      </c>
      <c r="U131" s="332" t="s">
        <v>119</v>
      </c>
      <c r="V131" s="506" t="str">
        <f ca="1">IFERROR(OFFSET(Camp_List[Status],MATCH(Data_Shelter_t[[#This Row],[Camp Name]],Camp_List[Camp Name],0)-1,0,1,1),"")</f>
        <v>Returned</v>
      </c>
      <c r="W131" s="480">
        <f ca="1">IFERROR(Data_Shelter_t[[#This Row],[HH Covered]]/OFFSET(Camp_List[HH],MATCH(Data_Shelter_t[[#This Row],[Camp Name]],Camp_List[Camp Name],0)-1,0,1,1),"")</f>
        <v>1.0196078431372548</v>
      </c>
      <c r="X131" s="790">
        <f>Data_Shelter_t[[#This Row],['# of Permanent House Planned (Target)]]+Data_Shelter_t[[#This Row],['# of Individual Shelter Planned (Target)]]</f>
        <v>0</v>
      </c>
      <c r="Y131" s="495">
        <f>Data_Shelter_t[[#This Row],['# of Permanent House Built]]+Data_Shelter_t[[#This Row],['# of Individual Shelter Built]]</f>
        <v>0</v>
      </c>
    </row>
    <row r="132" spans="1:25" s="5" customFormat="1" x14ac:dyDescent="0.25">
      <c r="A132" s="496">
        <v>41548</v>
      </c>
      <c r="B132" s="331" t="s">
        <v>293</v>
      </c>
      <c r="C132" s="331" t="s">
        <v>293</v>
      </c>
      <c r="D132" s="331" t="s">
        <v>7</v>
      </c>
      <c r="E132" s="333" t="s">
        <v>11</v>
      </c>
      <c r="F132" s="331" t="s">
        <v>25</v>
      </c>
      <c r="G132" s="790">
        <v>8</v>
      </c>
      <c r="H132" s="331"/>
      <c r="I132" s="331"/>
      <c r="J132" s="790">
        <v>2</v>
      </c>
      <c r="K132" s="790">
        <v>2</v>
      </c>
      <c r="L132" s="790"/>
      <c r="M132" s="790"/>
      <c r="N132" s="790"/>
      <c r="O132" s="331"/>
      <c r="P132" s="331"/>
      <c r="Q132" s="331"/>
      <c r="R132" s="114"/>
      <c r="S132" s="114">
        <v>16</v>
      </c>
      <c r="T132" s="114">
        <f ca="1">IF(Data_Shelter_t[[#This Row],[Status]]="Open",Data_Shelter_t[[#This Row],[HH Covered]],0)</f>
        <v>0</v>
      </c>
      <c r="U132" s="332" t="s">
        <v>111</v>
      </c>
      <c r="V132" s="506" t="str">
        <f ca="1">IFERROR(OFFSET(Camp_List[Status],MATCH(Data_Shelter_t[[#This Row],[Camp Name]],Camp_List[Camp Name],0)-1,0,1,1),"")</f>
        <v>Returned</v>
      </c>
      <c r="W132" s="480">
        <f ca="1">IFERROR(Data_Shelter_t[[#This Row],[HH Covered]]/OFFSET(Camp_List[HH],MATCH(Data_Shelter_t[[#This Row],[Camp Name]],Camp_List[Camp Name],0)-1,0,1,1),"")</f>
        <v>0.84210526315789469</v>
      </c>
      <c r="X132" s="790">
        <f>Data_Shelter_t[[#This Row],['# of Permanent House Planned (Target)]]+Data_Shelter_t[[#This Row],['# of Individual Shelter Planned (Target)]]</f>
        <v>0</v>
      </c>
      <c r="Y132" s="495">
        <f>Data_Shelter_t[[#This Row],['# of Permanent House Built]]+Data_Shelter_t[[#This Row],['# of Individual Shelter Built]]</f>
        <v>0</v>
      </c>
    </row>
    <row r="133" spans="1:25" s="5" customFormat="1" x14ac:dyDescent="0.25">
      <c r="A133" s="496">
        <v>41548</v>
      </c>
      <c r="B133" s="332" t="s">
        <v>293</v>
      </c>
      <c r="C133" s="332" t="s">
        <v>293</v>
      </c>
      <c r="D133" s="331" t="s">
        <v>7</v>
      </c>
      <c r="E133" s="347" t="s">
        <v>11</v>
      </c>
      <c r="F133" s="332" t="s">
        <v>32</v>
      </c>
      <c r="G133" s="22">
        <v>8</v>
      </c>
      <c r="H133" s="331"/>
      <c r="I133" s="331"/>
      <c r="J133" s="22">
        <v>28</v>
      </c>
      <c r="K133" s="22">
        <v>28</v>
      </c>
      <c r="L133" s="22"/>
      <c r="M133" s="790"/>
      <c r="N133" s="790"/>
      <c r="O133" s="331"/>
      <c r="P133" s="331"/>
      <c r="Q133" s="331"/>
      <c r="R133" s="114"/>
      <c r="S133" s="114">
        <v>224</v>
      </c>
      <c r="T133" s="114">
        <f ca="1">IF(Data_Shelter_t[[#This Row],[Status]]="Open",Data_Shelter_t[[#This Row],[HH Covered]],0)</f>
        <v>0</v>
      </c>
      <c r="U133" s="332" t="s">
        <v>118</v>
      </c>
      <c r="V133" s="506" t="str">
        <f ca="1">IFERROR(OFFSET(Camp_List[Status],MATCH(Data_Shelter_t[[#This Row],[Camp Name]],Camp_List[Camp Name],0)-1,0,1,1),"")</f>
        <v>Returned</v>
      </c>
      <c r="W133" s="480">
        <f ca="1">IFERROR(Data_Shelter_t[[#This Row],[HH Covered]]/OFFSET(Camp_List[HH],MATCH(Data_Shelter_t[[#This Row],[Camp Name]],Camp_List[Camp Name],0)-1,0,1,1),"")</f>
        <v>0.99555555555555553</v>
      </c>
      <c r="X133" s="790">
        <f>Data_Shelter_t[[#This Row],['# of Permanent House Planned (Target)]]+Data_Shelter_t[[#This Row],['# of Individual Shelter Planned (Target)]]</f>
        <v>0</v>
      </c>
      <c r="Y133" s="495">
        <f>Data_Shelter_t[[#This Row],['# of Permanent House Built]]+Data_Shelter_t[[#This Row],['# of Individual Shelter Built]]</f>
        <v>0</v>
      </c>
    </row>
    <row r="134" spans="1:25" s="5" customFormat="1" x14ac:dyDescent="0.25">
      <c r="A134" s="496">
        <v>41548</v>
      </c>
      <c r="B134" s="332" t="s">
        <v>293</v>
      </c>
      <c r="C134" s="332" t="s">
        <v>293</v>
      </c>
      <c r="D134" s="331" t="s">
        <v>7</v>
      </c>
      <c r="E134" s="347" t="s">
        <v>11</v>
      </c>
      <c r="F134" s="332" t="s">
        <v>27</v>
      </c>
      <c r="G134" s="22">
        <v>8</v>
      </c>
      <c r="H134" s="331"/>
      <c r="I134" s="331"/>
      <c r="J134" s="22">
        <v>10</v>
      </c>
      <c r="K134" s="22">
        <v>10</v>
      </c>
      <c r="L134" s="22"/>
      <c r="M134" s="790"/>
      <c r="N134" s="790"/>
      <c r="O134" s="331"/>
      <c r="P134" s="331"/>
      <c r="Q134" s="331"/>
      <c r="R134" s="114"/>
      <c r="S134" s="114">
        <v>80</v>
      </c>
      <c r="T134" s="114">
        <f ca="1">IF(Data_Shelter_t[[#This Row],[Status]]="Open",Data_Shelter_t[[#This Row],[HH Covered]],0)</f>
        <v>0</v>
      </c>
      <c r="U134" s="332" t="s">
        <v>113</v>
      </c>
      <c r="V134" s="506" t="str">
        <f ca="1">IFERROR(OFFSET(Camp_List[Status],MATCH(Data_Shelter_t[[#This Row],[Camp Name]],Camp_List[Camp Name],0)-1,0,1,1),"")</f>
        <v>Returned</v>
      </c>
      <c r="W134" s="480">
        <f ca="1">IFERROR(Data_Shelter_t[[#This Row],[HH Covered]]/OFFSET(Camp_List[HH],MATCH(Data_Shelter_t[[#This Row],[Camp Name]],Camp_List[Camp Name],0)-1,0,1,1),"")</f>
        <v>0.93023255813953487</v>
      </c>
      <c r="X134" s="790">
        <f>Data_Shelter_t[[#This Row],['# of Permanent House Planned (Target)]]+Data_Shelter_t[[#This Row],['# of Individual Shelter Planned (Target)]]</f>
        <v>0</v>
      </c>
      <c r="Y134" s="495">
        <f>Data_Shelter_t[[#This Row],['# of Permanent House Built]]+Data_Shelter_t[[#This Row],['# of Individual Shelter Built]]</f>
        <v>0</v>
      </c>
    </row>
    <row r="135" spans="1:25" s="5" customFormat="1" x14ac:dyDescent="0.25">
      <c r="A135" s="496">
        <v>41548</v>
      </c>
      <c r="B135" s="331" t="s">
        <v>293</v>
      </c>
      <c r="C135" s="331" t="s">
        <v>293</v>
      </c>
      <c r="D135" s="331" t="s">
        <v>7</v>
      </c>
      <c r="E135" s="333" t="s">
        <v>15</v>
      </c>
      <c r="F135" s="331" t="s">
        <v>53</v>
      </c>
      <c r="G135" s="790">
        <v>8</v>
      </c>
      <c r="H135" s="331"/>
      <c r="I135" s="331"/>
      <c r="J135" s="790">
        <v>18</v>
      </c>
      <c r="K135" s="790">
        <v>18</v>
      </c>
      <c r="L135" s="790"/>
      <c r="M135" s="790"/>
      <c r="N135" s="790"/>
      <c r="O135" s="331"/>
      <c r="P135" s="331"/>
      <c r="Q135" s="331"/>
      <c r="R135" s="114"/>
      <c r="S135" s="114">
        <v>144</v>
      </c>
      <c r="T135" s="114">
        <f ca="1">IF(Data_Shelter_t[[#This Row],[Status]]="Open",Data_Shelter_t[[#This Row],[HH Covered]],0)</f>
        <v>0</v>
      </c>
      <c r="U135" s="332" t="s">
        <v>139</v>
      </c>
      <c r="V135" s="506" t="str">
        <f ca="1">IFERROR(OFFSET(Camp_List[Status],MATCH(Data_Shelter_t[[#This Row],[Camp Name]],Camp_List[Camp Name],0)-1,0,1,1),"")</f>
        <v>Returned</v>
      </c>
      <c r="W135" s="480">
        <f ca="1">IFERROR(Data_Shelter_t[[#This Row],[HH Covered]]/OFFSET(Camp_List[HH],MATCH(Data_Shelter_t[[#This Row],[Camp Name]],Camp_List[Camp Name],0)-1,0,1,1),"")</f>
        <v>1</v>
      </c>
      <c r="X135" s="790">
        <f>Data_Shelter_t[[#This Row],['# of Permanent House Planned (Target)]]+Data_Shelter_t[[#This Row],['# of Individual Shelter Planned (Target)]]</f>
        <v>0</v>
      </c>
      <c r="Y135" s="495">
        <f>Data_Shelter_t[[#This Row],['# of Permanent House Built]]+Data_Shelter_t[[#This Row],['# of Individual Shelter Built]]</f>
        <v>0</v>
      </c>
    </row>
    <row r="136" spans="1:25" s="5" customFormat="1" x14ac:dyDescent="0.25">
      <c r="A136" s="500">
        <v>41548</v>
      </c>
      <c r="B136" s="334" t="s">
        <v>293</v>
      </c>
      <c r="C136" s="334" t="s">
        <v>293</v>
      </c>
      <c r="D136" s="334" t="s">
        <v>7</v>
      </c>
      <c r="E136" s="335" t="s">
        <v>15</v>
      </c>
      <c r="F136" s="334" t="s">
        <v>45</v>
      </c>
      <c r="G136" s="118">
        <v>8</v>
      </c>
      <c r="H136" s="334"/>
      <c r="I136" s="334"/>
      <c r="J136" s="118">
        <v>8</v>
      </c>
      <c r="K136" s="118">
        <v>8</v>
      </c>
      <c r="L136" s="118"/>
      <c r="M136" s="118"/>
      <c r="N136" s="118"/>
      <c r="O136" s="334"/>
      <c r="P136" s="334"/>
      <c r="Q136" s="334"/>
      <c r="R136" s="475"/>
      <c r="S136" s="475">
        <v>64</v>
      </c>
      <c r="T136" s="475">
        <f ca="1">IF(Data_Shelter_t[[#This Row],[Status]]="Open",Data_Shelter_t[[#This Row],[HH Covered]],0)</f>
        <v>0</v>
      </c>
      <c r="U136" s="476" t="s">
        <v>131</v>
      </c>
      <c r="V136" s="514" t="str">
        <f ca="1">IFERROR(OFFSET(Camp_List[Status],MATCH(Data_Shelter_t[[#This Row],[Camp Name]],Camp_List[Camp Name],0)-1,0,1,1),"")</f>
        <v>Returned</v>
      </c>
      <c r="W136" s="480">
        <f ca="1">IFERROR(Data_Shelter_t[[#This Row],[HH Covered]]/OFFSET(Camp_List[HH],MATCH(Data_Shelter_t[[#This Row],[Camp Name]],Camp_List[Camp Name],0)-1,0,1,1),"")</f>
        <v>1.0158730158730158</v>
      </c>
      <c r="X136" s="118">
        <f>Data_Shelter_t[[#This Row],['# of Permanent House Planned (Target)]]+Data_Shelter_t[[#This Row],['# of Individual Shelter Planned (Target)]]</f>
        <v>0</v>
      </c>
      <c r="Y136" s="200">
        <f>Data_Shelter_t[[#This Row],['# of Permanent House Built]]+Data_Shelter_t[[#This Row],['# of Individual Shelter Built]]</f>
        <v>0</v>
      </c>
    </row>
    <row r="137" spans="1:25" s="5" customFormat="1" x14ac:dyDescent="0.25">
      <c r="A137" s="496">
        <v>41548</v>
      </c>
      <c r="B137" s="331" t="s">
        <v>293</v>
      </c>
      <c r="C137" s="331" t="s">
        <v>293</v>
      </c>
      <c r="D137" s="331" t="s">
        <v>7</v>
      </c>
      <c r="E137" s="333" t="s">
        <v>11</v>
      </c>
      <c r="F137" s="331" t="s">
        <v>26</v>
      </c>
      <c r="G137" s="790">
        <v>8</v>
      </c>
      <c r="H137" s="331"/>
      <c r="I137" s="331"/>
      <c r="J137" s="790">
        <v>14</v>
      </c>
      <c r="K137" s="790">
        <v>14</v>
      </c>
      <c r="L137" s="790"/>
      <c r="M137" s="790"/>
      <c r="N137" s="790"/>
      <c r="O137" s="331"/>
      <c r="P137" s="331"/>
      <c r="Q137" s="331"/>
      <c r="R137" s="114"/>
      <c r="S137" s="114">
        <v>112</v>
      </c>
      <c r="T137" s="114">
        <f ca="1">IF(Data_Shelter_t[[#This Row],[Status]]="Open",Data_Shelter_t[[#This Row],[HH Covered]],0)</f>
        <v>0</v>
      </c>
      <c r="U137" s="332" t="s">
        <v>112</v>
      </c>
      <c r="V137" s="506" t="str">
        <f ca="1">IFERROR(OFFSET(Camp_List[Status],MATCH(Data_Shelter_t[[#This Row],[Camp Name]],Camp_List[Camp Name],0)-1,0,1,1),"")</f>
        <v>Returned</v>
      </c>
      <c r="W137" s="480">
        <f ca="1">IFERROR(Data_Shelter_t[[#This Row],[HH Covered]]/OFFSET(Camp_List[HH],MATCH(Data_Shelter_t[[#This Row],[Camp Name]],Camp_List[Camp Name],0)-1,0,1,1),"")</f>
        <v>0.55172413793103448</v>
      </c>
      <c r="X137" s="790">
        <f>Data_Shelter_t[[#This Row],['# of Permanent House Planned (Target)]]+Data_Shelter_t[[#This Row],['# of Individual Shelter Planned (Target)]]</f>
        <v>0</v>
      </c>
      <c r="Y137" s="495">
        <f>Data_Shelter_t[[#This Row],['# of Permanent House Built]]+Data_Shelter_t[[#This Row],['# of Individual Shelter Built]]</f>
        <v>0</v>
      </c>
    </row>
    <row r="138" spans="1:25" s="5" customFormat="1" x14ac:dyDescent="0.25">
      <c r="A138" s="497">
        <v>41548</v>
      </c>
      <c r="B138" s="332" t="s">
        <v>293</v>
      </c>
      <c r="C138" s="332" t="s">
        <v>293</v>
      </c>
      <c r="D138" s="332" t="s">
        <v>7</v>
      </c>
      <c r="E138" s="347" t="s">
        <v>11</v>
      </c>
      <c r="F138" s="332" t="s">
        <v>29</v>
      </c>
      <c r="G138" s="22">
        <v>8</v>
      </c>
      <c r="H138" s="332"/>
      <c r="I138" s="332"/>
      <c r="J138" s="22">
        <v>20</v>
      </c>
      <c r="K138" s="22">
        <v>20</v>
      </c>
      <c r="L138" s="22"/>
      <c r="M138" s="22"/>
      <c r="N138" s="22"/>
      <c r="O138" s="332"/>
      <c r="P138" s="332"/>
      <c r="Q138" s="332"/>
      <c r="R138" s="114"/>
      <c r="S138" s="114">
        <v>160</v>
      </c>
      <c r="T138" s="114">
        <f ca="1">IF(Data_Shelter_t[[#This Row],[Status]]="Open",Data_Shelter_t[[#This Row],[HH Covered]],0)</f>
        <v>0</v>
      </c>
      <c r="U138" s="332" t="s">
        <v>115</v>
      </c>
      <c r="V138" s="506" t="str">
        <f ca="1">IFERROR(OFFSET(Camp_List[Status],MATCH(Data_Shelter_t[[#This Row],[Camp Name]],Camp_List[Camp Name],0)-1,0,1,1),"")</f>
        <v>Returned</v>
      </c>
      <c r="W138" s="480">
        <f ca="1">IFERROR(Data_Shelter_t[[#This Row],[HH Covered]]/OFFSET(Camp_List[HH],MATCH(Data_Shelter_t[[#This Row],[Camp Name]],Camp_List[Camp Name],0)-1,0,1,1),"")</f>
        <v>0.58181818181818179</v>
      </c>
      <c r="X138" s="790">
        <f>Data_Shelter_t[[#This Row],['# of Permanent House Planned (Target)]]+Data_Shelter_t[[#This Row],['# of Individual Shelter Planned (Target)]]</f>
        <v>0</v>
      </c>
      <c r="Y138" s="495">
        <f>Data_Shelter_t[[#This Row],['# of Permanent House Built]]+Data_Shelter_t[[#This Row],['# of Individual Shelter Built]]</f>
        <v>0</v>
      </c>
    </row>
    <row r="139" spans="1:25" s="5" customFormat="1" x14ac:dyDescent="0.25">
      <c r="A139" s="496">
        <v>41548</v>
      </c>
      <c r="B139" s="331" t="s">
        <v>293</v>
      </c>
      <c r="C139" s="331" t="s">
        <v>293</v>
      </c>
      <c r="D139" s="331" t="s">
        <v>7</v>
      </c>
      <c r="E139" s="333" t="s">
        <v>1002</v>
      </c>
      <c r="F139" s="331" t="s">
        <v>34</v>
      </c>
      <c r="G139" s="790">
        <v>8</v>
      </c>
      <c r="H139" s="331"/>
      <c r="I139" s="331"/>
      <c r="J139" s="790">
        <v>46</v>
      </c>
      <c r="K139" s="790">
        <v>46</v>
      </c>
      <c r="L139" s="790"/>
      <c r="M139" s="790"/>
      <c r="N139" s="790"/>
      <c r="O139" s="331"/>
      <c r="P139" s="331"/>
      <c r="Q139" s="331"/>
      <c r="R139" s="114"/>
      <c r="S139" s="114">
        <v>368</v>
      </c>
      <c r="T139" s="114">
        <f ca="1">IF(Data_Shelter_t[[#This Row],[Status]]="Open",Data_Shelter_t[[#This Row],[HH Covered]],0)</f>
        <v>0</v>
      </c>
      <c r="U139" s="332" t="s">
        <v>120</v>
      </c>
      <c r="V139" s="506" t="str">
        <f ca="1">IFERROR(OFFSET(Camp_List[Status],MATCH(Data_Shelter_t[[#This Row],[Camp Name]],Camp_List[Camp Name],0)-1,0,1,1),"")</f>
        <v>Returned</v>
      </c>
      <c r="W139" s="480">
        <f ca="1">IFERROR(Data_Shelter_t[[#This Row],[HH Covered]]/OFFSET(Camp_List[HH],MATCH(Data_Shelter_t[[#This Row],[Camp Name]],Camp_List[Camp Name],0)-1,0,1,1),"")</f>
        <v>1.0082191780821919</v>
      </c>
      <c r="X139" s="790">
        <f>Data_Shelter_t[[#This Row],['# of Permanent House Planned (Target)]]+Data_Shelter_t[[#This Row],['# of Individual Shelter Planned (Target)]]</f>
        <v>0</v>
      </c>
      <c r="Y139" s="495">
        <f>Data_Shelter_t[[#This Row],['# of Permanent House Built]]+Data_Shelter_t[[#This Row],['# of Individual Shelter Built]]</f>
        <v>0</v>
      </c>
    </row>
    <row r="140" spans="1:25" s="5" customFormat="1" x14ac:dyDescent="0.25">
      <c r="A140" s="496">
        <v>41548</v>
      </c>
      <c r="B140" s="331" t="s">
        <v>293</v>
      </c>
      <c r="C140" s="331" t="s">
        <v>293</v>
      </c>
      <c r="D140" s="331" t="s">
        <v>7</v>
      </c>
      <c r="E140" s="333" t="s">
        <v>15</v>
      </c>
      <c r="F140" s="331" t="s">
        <v>52</v>
      </c>
      <c r="G140" s="790">
        <v>8</v>
      </c>
      <c r="H140" s="331"/>
      <c r="I140" s="331"/>
      <c r="J140" s="790">
        <v>14</v>
      </c>
      <c r="K140" s="790">
        <v>14</v>
      </c>
      <c r="L140" s="790"/>
      <c r="M140" s="790"/>
      <c r="N140" s="790"/>
      <c r="O140" s="331"/>
      <c r="P140" s="331"/>
      <c r="Q140" s="331"/>
      <c r="R140" s="114"/>
      <c r="S140" s="114">
        <v>112</v>
      </c>
      <c r="T140" s="114">
        <f ca="1">IF(Data_Shelter_t[[#This Row],[Status]]="Open",Data_Shelter_t[[#This Row],[HH Covered]],0)</f>
        <v>0</v>
      </c>
      <c r="U140" s="332" t="s">
        <v>138</v>
      </c>
      <c r="V140" s="506" t="str">
        <f ca="1">IFERROR(OFFSET(Camp_List[Status],MATCH(Data_Shelter_t[[#This Row],[Camp Name]],Camp_List[Camp Name],0)-1,0,1,1),"")</f>
        <v>Returned</v>
      </c>
      <c r="W140" s="480">
        <f ca="1">IFERROR(Data_Shelter_t[[#This Row],[HH Covered]]/OFFSET(Camp_List[HH],MATCH(Data_Shelter_t[[#This Row],[Camp Name]],Camp_List[Camp Name],0)-1,0,1,1),"")</f>
        <v>1</v>
      </c>
      <c r="X140" s="790">
        <f>Data_Shelter_t[[#This Row],['# of Permanent House Planned (Target)]]+Data_Shelter_t[[#This Row],['# of Individual Shelter Planned (Target)]]</f>
        <v>0</v>
      </c>
      <c r="Y140" s="495">
        <f>Data_Shelter_t[[#This Row],['# of Permanent House Built]]+Data_Shelter_t[[#This Row],['# of Individual Shelter Built]]</f>
        <v>0</v>
      </c>
    </row>
    <row r="141" spans="1:25" s="5" customFormat="1" x14ac:dyDescent="0.25">
      <c r="A141" s="494">
        <v>41509</v>
      </c>
      <c r="B141" s="346" t="s">
        <v>293</v>
      </c>
      <c r="C141" s="346" t="s">
        <v>293</v>
      </c>
      <c r="D141" s="346" t="s">
        <v>7</v>
      </c>
      <c r="E141" s="348" t="s">
        <v>14</v>
      </c>
      <c r="F141" s="346" t="s">
        <v>42</v>
      </c>
      <c r="G141" s="79">
        <v>8</v>
      </c>
      <c r="H141" s="346"/>
      <c r="I141" s="346"/>
      <c r="J141" s="79">
        <v>9</v>
      </c>
      <c r="K141" s="79">
        <v>9</v>
      </c>
      <c r="L141" s="79"/>
      <c r="M141" s="79"/>
      <c r="N141" s="79"/>
      <c r="O141" s="346"/>
      <c r="P141" s="346"/>
      <c r="Q141" s="346"/>
      <c r="R141" s="114"/>
      <c r="S141" s="114">
        <v>72</v>
      </c>
      <c r="T141" s="114">
        <f ca="1">IF(Data_Shelter_t[[#This Row],[Status]]="Open",Data_Shelter_t[[#This Row],[HH Covered]],0)</f>
        <v>72</v>
      </c>
      <c r="U141" s="332" t="s">
        <v>128</v>
      </c>
      <c r="V141" s="506" t="str">
        <f ca="1">IFERROR(OFFSET(Camp_List[Status],MATCH(Data_Shelter_t[[#This Row],[Camp Name]],Camp_List[Camp Name],0)-1,0,1,1),"")</f>
        <v>Open</v>
      </c>
      <c r="W141" s="480">
        <f ca="1">IFERROR(Data_Shelter_t[[#This Row],[HH Covered]]/OFFSET(Camp_List[HH],MATCH(Data_Shelter_t[[#This Row],[Camp Name]],Camp_List[Camp Name],0)-1,0,1,1),"")</f>
        <v>7.1146245059288543E-2</v>
      </c>
      <c r="X141" s="790">
        <f>Data_Shelter_t[[#This Row],['# of Permanent House Planned (Target)]]+Data_Shelter_t[[#This Row],['# of Individual Shelter Planned (Target)]]</f>
        <v>0</v>
      </c>
      <c r="Y141" s="495">
        <f>Data_Shelter_t[[#This Row],['# of Permanent House Built]]+Data_Shelter_t[[#This Row],['# of Individual Shelter Built]]</f>
        <v>0</v>
      </c>
    </row>
    <row r="142" spans="1:25" s="5" customFormat="1" x14ac:dyDescent="0.25">
      <c r="A142" s="502" t="s">
        <v>5</v>
      </c>
      <c r="B142" s="118"/>
      <c r="C142" s="118"/>
      <c r="D142" s="118"/>
      <c r="E142" s="503"/>
      <c r="F142" s="118"/>
      <c r="G142" s="118"/>
      <c r="H142" s="118">
        <f>SUBTOTAL(109,Data_Shelter_t['#ofFamilyTentPlanned(Target)])</f>
        <v>127</v>
      </c>
      <c r="I142" s="118">
        <f>SUBTOTAL(109,Data_Shelter_t['#ofFamilyTentDistributed])</f>
        <v>127</v>
      </c>
      <c r="J142" s="118">
        <f>SUBTOTAL(109,Data_Shelter_t['# of Temporary Shelter Planned (Target)])</f>
        <v>2839</v>
      </c>
      <c r="K142" s="118">
        <f>SUBTOTAL(109,Data_Shelter_t['# of Temporary Shelter Built])</f>
        <v>2839</v>
      </c>
      <c r="L142" s="118">
        <f>SUBTOTAL(109,Data_Shelter_t['# of Temporary Shelter Under Construction])</f>
        <v>0</v>
      </c>
      <c r="M142" s="118">
        <f>SUBTOTAL(109,Data_Shelter_t['# of Permanent House Planned (Target)])</f>
        <v>1584</v>
      </c>
      <c r="N142" s="118">
        <f>SUBTOTAL(109,Data_Shelter_t['# of Permanent House Built])</f>
        <v>1380</v>
      </c>
      <c r="O142" s="118">
        <f>SUBTOTAL(109,Data_Shelter_t['#of Permanent House Under Construction])</f>
        <v>0</v>
      </c>
      <c r="P142" s="118">
        <f>SUBTOTAL(109,Data_Shelter_t['# of Individual Shelter Planned (Target)])</f>
        <v>4948</v>
      </c>
      <c r="Q142" s="475">
        <f>SUBTOTAL(109,Data_Shelter_t['# of Individual Shelter Built])</f>
        <v>1763</v>
      </c>
      <c r="R142" s="475">
        <f>SUBTOTAL(109,Data_Shelter_t['#of Individual Shelter Under Construction])</f>
        <v>1005</v>
      </c>
      <c r="S142" s="475">
        <f>SUBTOTAL(109,Data_Shelter_t[HH Covered])</f>
        <v>26305</v>
      </c>
      <c r="T142" s="475">
        <f ca="1">SUBTOTAL(109,Data_Shelter_t[HH Covered 2])</f>
        <v>19296</v>
      </c>
      <c r="U142" s="501"/>
      <c r="V142" s="490"/>
      <c r="W142" s="118"/>
      <c r="X142" s="501"/>
      <c r="Y142" s="504">
        <f>SUBTOTAL(109,Data_Shelter_t[Built])</f>
        <v>3143</v>
      </c>
    </row>
    <row r="143" spans="1:25" s="5" customFormat="1" x14ac:dyDescent="0.25">
      <c r="A143" s="224"/>
      <c r="E143" s="75"/>
      <c r="W143" s="225"/>
    </row>
    <row r="144" spans="1:25" s="5" customFormat="1" x14ac:dyDescent="0.25">
      <c r="A144" s="224"/>
      <c r="E144" s="75"/>
      <c r="W144" s="225"/>
    </row>
    <row r="145" spans="1:26" s="5" customFormat="1" x14ac:dyDescent="0.25">
      <c r="A145" s="224"/>
      <c r="E145" s="75"/>
      <c r="W145" s="225"/>
    </row>
    <row r="146" spans="1:26" s="5" customFormat="1" x14ac:dyDescent="0.25">
      <c r="A146" s="224"/>
      <c r="E146" s="75"/>
      <c r="W146" s="225"/>
    </row>
    <row r="147" spans="1:26" s="5" customFormat="1" x14ac:dyDescent="0.25">
      <c r="A147" s="224"/>
      <c r="E147" s="75"/>
      <c r="R147" s="5">
        <v>757</v>
      </c>
      <c r="T147" s="5">
        <v>0</v>
      </c>
      <c r="W147" s="225"/>
    </row>
    <row r="148" spans="1:26" s="5" customFormat="1" x14ac:dyDescent="0.25">
      <c r="A148" s="224"/>
      <c r="E148" s="75"/>
      <c r="R148" s="5">
        <v>248</v>
      </c>
      <c r="T148" s="5">
        <v>0</v>
      </c>
      <c r="W148" s="225"/>
    </row>
    <row r="149" spans="1:26" s="5" customFormat="1" x14ac:dyDescent="0.25">
      <c r="A149" s="224"/>
      <c r="E149" s="75"/>
      <c r="T149" s="5">
        <v>0</v>
      </c>
      <c r="W149" s="225"/>
    </row>
    <row r="150" spans="1:26" s="5" customFormat="1" x14ac:dyDescent="0.25">
      <c r="A150" s="224"/>
      <c r="E150" s="75"/>
      <c r="W150" s="225"/>
    </row>
    <row r="151" spans="1:26" s="5" customFormat="1" x14ac:dyDescent="0.25">
      <c r="A151" s="224"/>
      <c r="E151" s="75"/>
      <c r="W151" s="225"/>
    </row>
    <row r="152" spans="1:26" x14ac:dyDescent="0.25">
      <c r="A152" s="224"/>
      <c r="B152" s="5"/>
      <c r="C152" s="5"/>
      <c r="D152" s="5"/>
      <c r="E152" s="75"/>
      <c r="F152" s="5"/>
      <c r="G152" s="5"/>
      <c r="H152" s="5"/>
      <c r="I152" s="5"/>
      <c r="J152" s="5"/>
      <c r="K152" s="5"/>
      <c r="L152" s="5"/>
      <c r="M152" s="5"/>
      <c r="N152" s="5"/>
      <c r="O152" s="5"/>
      <c r="P152" s="5"/>
      <c r="Q152" s="5"/>
      <c r="R152" s="5"/>
      <c r="S152" s="5"/>
      <c r="T152" s="5"/>
      <c r="U152" s="5"/>
      <c r="W152" s="225"/>
      <c r="X152" s="5"/>
      <c r="Y152" s="5"/>
      <c r="Z152" s="5"/>
    </row>
    <row r="153" spans="1:26" x14ac:dyDescent="0.25">
      <c r="A153" s="224"/>
      <c r="B153" s="5"/>
      <c r="C153" s="5"/>
      <c r="D153" s="5"/>
      <c r="E153" s="75"/>
      <c r="F153" s="5"/>
      <c r="G153" s="5"/>
      <c r="H153" s="5"/>
      <c r="I153" s="5"/>
      <c r="J153" s="5"/>
      <c r="K153" s="5"/>
      <c r="L153" s="5"/>
      <c r="M153" s="5"/>
      <c r="N153" s="5"/>
      <c r="O153" s="5"/>
      <c r="P153" s="5"/>
      <c r="Q153" s="5"/>
      <c r="R153" s="5"/>
      <c r="S153" s="5"/>
      <c r="T153" s="5"/>
      <c r="U153" s="5"/>
      <c r="W153" s="225"/>
      <c r="X153" s="5"/>
      <c r="Y153" s="5"/>
      <c r="Z153" s="5"/>
    </row>
    <row r="154" spans="1:26" x14ac:dyDescent="0.25">
      <c r="A154" s="224"/>
      <c r="B154" s="5"/>
      <c r="C154" s="5"/>
      <c r="D154" s="5"/>
      <c r="E154" s="75"/>
      <c r="F154" s="5"/>
      <c r="G154" s="5"/>
      <c r="H154" s="5"/>
      <c r="I154" s="5"/>
      <c r="J154" s="5"/>
      <c r="K154" s="5"/>
      <c r="L154" s="5"/>
      <c r="M154" s="5"/>
      <c r="N154" s="5"/>
      <c r="O154" s="5"/>
      <c r="P154" s="5"/>
      <c r="Q154" s="5"/>
      <c r="R154" s="5"/>
      <c r="S154" s="5"/>
      <c r="T154" s="5"/>
      <c r="U154" s="5"/>
      <c r="W154" s="225"/>
      <c r="X154" s="5"/>
      <c r="Y154" s="5"/>
      <c r="Z154" s="5"/>
    </row>
    <row r="155" spans="1:26" x14ac:dyDescent="0.25">
      <c r="A155" s="224"/>
      <c r="B155" s="5"/>
      <c r="C155" s="5"/>
      <c r="D155" s="5"/>
      <c r="E155" s="75"/>
      <c r="F155" s="5"/>
      <c r="G155" s="5"/>
      <c r="H155" s="5"/>
      <c r="I155" s="5"/>
      <c r="J155" s="5"/>
      <c r="K155" s="5"/>
      <c r="L155" s="5"/>
      <c r="M155" s="5"/>
      <c r="N155" s="5"/>
      <c r="O155" s="5"/>
      <c r="P155" s="5"/>
      <c r="Q155" s="5"/>
      <c r="R155" s="5"/>
      <c r="S155" s="5"/>
      <c r="T155" s="5"/>
      <c r="U155" s="5"/>
      <c r="W155" s="225"/>
      <c r="X155" s="5"/>
      <c r="Y155" s="5"/>
      <c r="Z155" s="5"/>
    </row>
    <row r="156" spans="1:26" x14ac:dyDescent="0.25">
      <c r="A156" s="224"/>
      <c r="B156" s="5"/>
      <c r="C156" s="5"/>
      <c r="D156" s="5"/>
      <c r="E156" s="75"/>
      <c r="F156" s="5"/>
      <c r="G156" s="5"/>
      <c r="H156" s="5"/>
      <c r="I156" s="5"/>
      <c r="J156" s="5"/>
      <c r="K156" s="5"/>
      <c r="L156" s="5"/>
      <c r="M156" s="5"/>
      <c r="N156" s="5"/>
      <c r="O156" s="5"/>
      <c r="P156" s="5"/>
      <c r="Q156" s="5"/>
      <c r="R156" s="5"/>
      <c r="S156" s="5"/>
      <c r="T156" s="5"/>
      <c r="U156" s="5"/>
      <c r="W156" s="225"/>
      <c r="X156" s="5"/>
      <c r="Y156" s="5"/>
      <c r="Z156" s="5"/>
    </row>
    <row r="157" spans="1:26" x14ac:dyDescent="0.25">
      <c r="A157" s="224"/>
      <c r="B157" s="5"/>
      <c r="C157" s="5"/>
      <c r="D157" s="5"/>
      <c r="E157" s="75"/>
      <c r="F157" s="5"/>
      <c r="G157" s="5"/>
      <c r="H157" s="5"/>
      <c r="I157" s="5"/>
      <c r="J157" s="5"/>
      <c r="K157" s="5"/>
      <c r="L157" s="5"/>
      <c r="M157" s="5"/>
      <c r="N157" s="5"/>
      <c r="O157" s="5"/>
      <c r="P157" s="5"/>
      <c r="Q157" s="5"/>
      <c r="R157" s="5"/>
      <c r="S157" s="5"/>
      <c r="T157" s="5"/>
      <c r="U157" s="5"/>
      <c r="W157" s="225"/>
      <c r="X157" s="5"/>
      <c r="Y157" s="5"/>
      <c r="Z157" s="5"/>
    </row>
    <row r="158" spans="1:26" x14ac:dyDescent="0.25">
      <c r="A158" s="224"/>
      <c r="B158" s="5"/>
      <c r="C158" s="5"/>
      <c r="D158" s="5"/>
      <c r="E158" s="75"/>
      <c r="F158" s="5"/>
      <c r="G158" s="5"/>
      <c r="H158" s="5"/>
      <c r="I158" s="5"/>
      <c r="J158" s="5"/>
      <c r="K158" s="5"/>
      <c r="L158" s="5"/>
      <c r="M158" s="5"/>
      <c r="N158" s="5"/>
      <c r="O158" s="5"/>
      <c r="P158" s="5"/>
      <c r="Q158" s="5"/>
      <c r="R158" s="5"/>
      <c r="S158" s="5"/>
      <c r="T158" s="5"/>
      <c r="U158" s="5"/>
      <c r="W158" s="225"/>
      <c r="X158" s="5"/>
      <c r="Y158" s="5"/>
      <c r="Z158" s="5"/>
    </row>
    <row r="159" spans="1:26" x14ac:dyDescent="0.25">
      <c r="A159" s="224"/>
      <c r="B159" s="5"/>
      <c r="C159" s="5"/>
      <c r="D159" s="5"/>
      <c r="E159" s="75"/>
      <c r="F159" s="5"/>
      <c r="G159" s="5"/>
      <c r="H159" s="5"/>
      <c r="I159" s="5"/>
      <c r="J159" s="5"/>
      <c r="K159" s="5"/>
      <c r="L159" s="5"/>
      <c r="M159" s="5"/>
      <c r="N159" s="5"/>
      <c r="O159" s="5"/>
      <c r="P159" s="5"/>
      <c r="Q159" s="5"/>
      <c r="R159" s="5"/>
      <c r="S159" s="5"/>
      <c r="T159" s="5"/>
      <c r="U159" s="5"/>
      <c r="W159" s="225"/>
      <c r="X159" s="5"/>
      <c r="Y159" s="5"/>
      <c r="Z159" s="5"/>
    </row>
    <row r="160" spans="1:26" x14ac:dyDescent="0.25">
      <c r="A160" s="224"/>
      <c r="B160" s="5"/>
      <c r="C160" s="5"/>
      <c r="D160" s="5"/>
      <c r="E160" s="75"/>
      <c r="F160" s="5"/>
      <c r="G160" s="5"/>
      <c r="H160" s="5"/>
      <c r="I160" s="5"/>
      <c r="J160" s="5"/>
      <c r="K160" s="5"/>
      <c r="L160" s="5"/>
      <c r="M160" s="5"/>
      <c r="N160" s="5"/>
      <c r="O160" s="5"/>
      <c r="P160" s="5"/>
      <c r="Q160" s="5"/>
      <c r="R160" s="5"/>
      <c r="S160" s="5"/>
      <c r="T160" s="5"/>
      <c r="U160" s="5"/>
      <c r="W160" s="225"/>
      <c r="X160" s="5"/>
      <c r="Y160" s="5"/>
      <c r="Z160" s="5"/>
    </row>
    <row r="161" spans="1:26" x14ac:dyDescent="0.25">
      <c r="A161" s="224"/>
      <c r="B161" s="5"/>
      <c r="C161" s="5"/>
      <c r="D161" s="5"/>
      <c r="E161" s="75"/>
      <c r="F161" s="5"/>
      <c r="G161" s="5"/>
      <c r="H161" s="5"/>
      <c r="I161" s="5"/>
      <c r="J161" s="5"/>
      <c r="K161" s="5"/>
      <c r="L161" s="5"/>
      <c r="M161" s="5"/>
      <c r="N161" s="5"/>
      <c r="O161" s="5"/>
      <c r="P161" s="5"/>
      <c r="Q161" s="5"/>
      <c r="R161" s="5"/>
      <c r="S161" s="5"/>
      <c r="T161" s="5"/>
      <c r="U161" s="5"/>
      <c r="W161" s="225"/>
      <c r="X161" s="5"/>
      <c r="Y161" s="5"/>
      <c r="Z161" s="5"/>
    </row>
    <row r="162" spans="1:26" x14ac:dyDescent="0.25">
      <c r="A162" s="224"/>
      <c r="B162" s="5"/>
      <c r="C162" s="5"/>
      <c r="D162" s="5"/>
      <c r="E162" s="75"/>
      <c r="F162" s="5"/>
      <c r="G162" s="5"/>
      <c r="H162" s="5"/>
      <c r="I162" s="5"/>
      <c r="J162" s="5"/>
      <c r="K162" s="5"/>
      <c r="L162" s="5"/>
      <c r="M162" s="5"/>
      <c r="N162" s="5"/>
      <c r="O162" s="5"/>
      <c r="P162" s="5"/>
      <c r="Q162" s="5"/>
      <c r="R162" s="5"/>
      <c r="S162" s="5"/>
      <c r="T162" s="5"/>
      <c r="U162" s="5"/>
      <c r="W162" s="225"/>
      <c r="X162" s="5"/>
      <c r="Y162" s="5"/>
      <c r="Z162" s="5"/>
    </row>
    <row r="163" spans="1:26" x14ac:dyDescent="0.25">
      <c r="A163" s="224"/>
      <c r="B163" s="5"/>
      <c r="C163" s="5"/>
      <c r="D163" s="5"/>
      <c r="E163" s="75"/>
      <c r="F163" s="5"/>
      <c r="G163" s="5"/>
      <c r="H163" s="5"/>
      <c r="I163" s="5"/>
      <c r="J163" s="5"/>
      <c r="K163" s="5"/>
      <c r="L163" s="5"/>
      <c r="M163" s="5"/>
      <c r="N163" s="5"/>
      <c r="O163" s="5"/>
      <c r="P163" s="5"/>
      <c r="Q163" s="5"/>
      <c r="R163" s="5"/>
      <c r="S163" s="5"/>
      <c r="T163" s="5"/>
      <c r="U163" s="5"/>
      <c r="W163" s="225"/>
      <c r="X163" s="5"/>
      <c r="Y163" s="5"/>
      <c r="Z163" s="5"/>
    </row>
    <row r="164" spans="1:26" x14ac:dyDescent="0.25">
      <c r="A164" s="224"/>
      <c r="B164" s="5"/>
      <c r="C164" s="5"/>
      <c r="D164" s="5"/>
      <c r="E164" s="75"/>
      <c r="F164" s="5"/>
      <c r="G164" s="5"/>
      <c r="H164" s="5"/>
      <c r="I164" s="5"/>
      <c r="J164" s="5"/>
      <c r="K164" s="5"/>
      <c r="L164" s="5"/>
      <c r="M164" s="5"/>
      <c r="N164" s="5"/>
      <c r="O164" s="5"/>
      <c r="P164" s="5"/>
      <c r="Q164" s="5"/>
      <c r="R164" s="5"/>
      <c r="S164" s="5"/>
      <c r="T164" s="5"/>
      <c r="U164" s="5"/>
      <c r="W164" s="225"/>
      <c r="X164" s="5"/>
      <c r="Y164" s="5"/>
      <c r="Z164" s="5"/>
    </row>
    <row r="165" spans="1:26" x14ac:dyDescent="0.25">
      <c r="A165" s="224"/>
      <c r="B165" s="5"/>
      <c r="C165" s="5"/>
      <c r="D165" s="5"/>
      <c r="E165" s="75"/>
      <c r="F165" s="5"/>
      <c r="G165" s="5"/>
      <c r="H165" s="5"/>
      <c r="I165" s="5"/>
      <c r="J165" s="5"/>
      <c r="K165" s="5"/>
      <c r="L165" s="5"/>
      <c r="M165" s="5"/>
      <c r="N165" s="5"/>
      <c r="O165" s="5"/>
      <c r="P165" s="5"/>
      <c r="Q165" s="5"/>
      <c r="R165" s="5"/>
      <c r="S165" s="5"/>
      <c r="T165" s="5"/>
      <c r="U165" s="5"/>
      <c r="W165" s="225"/>
      <c r="X165" s="5"/>
      <c r="Y165" s="5"/>
    </row>
    <row r="166" spans="1:26" x14ac:dyDescent="0.25">
      <c r="A166" s="224"/>
      <c r="B166" s="5"/>
      <c r="C166" s="5"/>
      <c r="D166" s="5"/>
      <c r="E166" s="75"/>
      <c r="F166" s="5"/>
      <c r="G166" s="5"/>
      <c r="H166" s="5"/>
      <c r="I166" s="5"/>
      <c r="J166" s="5"/>
      <c r="K166" s="5"/>
      <c r="L166" s="5"/>
      <c r="M166" s="5"/>
      <c r="N166" s="5"/>
      <c r="O166" s="5"/>
      <c r="P166" s="5"/>
      <c r="Q166" s="5"/>
      <c r="R166" s="5"/>
      <c r="S166" s="5"/>
      <c r="T166" s="5"/>
      <c r="U166" s="5"/>
      <c r="W166" s="225"/>
      <c r="X166" s="5"/>
      <c r="Y166" s="5"/>
    </row>
    <row r="167" spans="1:26" x14ac:dyDescent="0.25">
      <c r="A167" s="224"/>
      <c r="B167" s="5"/>
      <c r="C167" s="5"/>
      <c r="D167" s="5"/>
      <c r="E167" s="75"/>
      <c r="F167" s="5"/>
      <c r="G167" s="5"/>
      <c r="H167" s="5"/>
      <c r="I167" s="5"/>
      <c r="J167" s="5"/>
      <c r="K167" s="5"/>
      <c r="L167" s="5"/>
      <c r="M167" s="5"/>
      <c r="N167" s="5"/>
      <c r="O167" s="5"/>
      <c r="P167" s="5"/>
      <c r="Q167" s="5"/>
      <c r="R167" s="5"/>
      <c r="S167" s="5"/>
      <c r="T167" s="5"/>
      <c r="U167" s="5"/>
      <c r="W167" s="225"/>
      <c r="X167" s="5"/>
    </row>
    <row r="168" spans="1:26" x14ac:dyDescent="0.25">
      <c r="A168" s="224"/>
      <c r="B168" s="5"/>
      <c r="C168" s="5"/>
      <c r="D168" s="5"/>
      <c r="E168" s="75"/>
      <c r="F168" s="5"/>
      <c r="G168" s="5"/>
      <c r="H168" s="5"/>
      <c r="I168" s="5"/>
      <c r="J168" s="5"/>
      <c r="K168" s="5"/>
      <c r="L168" s="5"/>
      <c r="M168" s="5"/>
      <c r="N168" s="5"/>
      <c r="O168" s="5"/>
      <c r="P168" s="5"/>
      <c r="Q168" s="5"/>
      <c r="R168" s="5"/>
      <c r="S168" s="5"/>
      <c r="T168" s="5"/>
      <c r="U168" s="5"/>
      <c r="W168" s="225"/>
      <c r="X168" s="5"/>
    </row>
    <row r="169" spans="1:26" x14ac:dyDescent="0.25">
      <c r="A169" s="224"/>
      <c r="B169" s="5"/>
      <c r="C169" s="5"/>
      <c r="D169" s="5"/>
      <c r="E169" s="75"/>
      <c r="F169" s="5"/>
      <c r="G169" s="5"/>
      <c r="H169" s="5"/>
      <c r="I169" s="5"/>
      <c r="J169" s="5"/>
      <c r="K169" s="5"/>
      <c r="L169" s="5"/>
      <c r="M169" s="5"/>
      <c r="N169" s="5"/>
      <c r="O169" s="5"/>
      <c r="P169" s="5"/>
      <c r="Q169" s="5"/>
      <c r="R169" s="5"/>
      <c r="S169" s="5"/>
      <c r="T169" s="5"/>
      <c r="U169" s="5"/>
      <c r="W169" s="225"/>
      <c r="X169" s="5"/>
    </row>
    <row r="170" spans="1:26" x14ac:dyDescent="0.25">
      <c r="A170" s="224"/>
      <c r="B170" s="5"/>
      <c r="C170" s="5"/>
      <c r="D170" s="5"/>
      <c r="E170" s="75"/>
      <c r="F170" s="5"/>
      <c r="G170" s="5"/>
      <c r="H170" s="5"/>
      <c r="I170" s="5"/>
      <c r="J170" s="5"/>
      <c r="K170" s="5"/>
      <c r="L170" s="5"/>
      <c r="M170" s="5"/>
      <c r="N170" s="5"/>
      <c r="O170" s="5"/>
      <c r="P170" s="5"/>
      <c r="Q170" s="5"/>
      <c r="R170" s="5"/>
      <c r="S170" s="5"/>
      <c r="T170" s="5"/>
      <c r="U170" s="5"/>
      <c r="W170" s="225"/>
      <c r="X170" s="5"/>
    </row>
    <row r="171" spans="1:26" x14ac:dyDescent="0.25">
      <c r="A171" s="224"/>
      <c r="B171" s="5"/>
      <c r="C171" s="5"/>
      <c r="D171" s="5"/>
      <c r="E171" s="75"/>
      <c r="F171" s="5"/>
      <c r="G171" s="5"/>
      <c r="H171" s="5"/>
      <c r="I171" s="5"/>
      <c r="J171" s="5"/>
      <c r="K171" s="5"/>
      <c r="L171" s="5"/>
      <c r="M171" s="5"/>
      <c r="N171" s="5"/>
      <c r="O171" s="5"/>
      <c r="P171" s="5"/>
      <c r="Q171" s="5"/>
      <c r="R171" s="5"/>
      <c r="S171" s="5"/>
      <c r="T171" s="5"/>
      <c r="U171" s="5"/>
      <c r="W171" s="225"/>
      <c r="X171" s="5"/>
    </row>
    <row r="172" spans="1:26" x14ac:dyDescent="0.25">
      <c r="A172" s="224"/>
      <c r="B172" s="5"/>
      <c r="C172" s="5"/>
      <c r="D172" s="5"/>
      <c r="E172" s="75"/>
      <c r="F172" s="5"/>
      <c r="G172" s="5"/>
      <c r="H172" s="5"/>
      <c r="I172" s="5"/>
      <c r="J172" s="5"/>
      <c r="K172" s="5"/>
      <c r="L172" s="5"/>
      <c r="M172" s="5"/>
      <c r="N172" s="5"/>
      <c r="O172" s="5"/>
      <c r="P172" s="5"/>
      <c r="Q172" s="5"/>
      <c r="R172" s="5"/>
      <c r="S172" s="5"/>
      <c r="T172" s="5"/>
      <c r="U172" s="5"/>
      <c r="W172" s="225"/>
      <c r="X172" s="5"/>
    </row>
    <row r="173" spans="1:26" x14ac:dyDescent="0.25">
      <c r="A173" s="224"/>
      <c r="B173" s="5"/>
      <c r="C173" s="5"/>
      <c r="D173" s="5"/>
      <c r="E173" s="75"/>
      <c r="F173" s="5"/>
      <c r="G173" s="5"/>
      <c r="H173" s="5"/>
      <c r="I173" s="5"/>
      <c r="J173" s="5"/>
      <c r="K173" s="5"/>
      <c r="L173" s="5"/>
      <c r="M173" s="5"/>
      <c r="N173" s="5"/>
      <c r="O173" s="5"/>
      <c r="P173" s="5"/>
      <c r="Q173" s="5"/>
      <c r="R173" s="5"/>
      <c r="S173" s="5"/>
      <c r="T173" s="5"/>
      <c r="U173" s="5"/>
      <c r="W173" s="225"/>
      <c r="X173" s="5"/>
    </row>
    <row r="174" spans="1:26" x14ac:dyDescent="0.25">
      <c r="A174" s="224"/>
      <c r="B174" s="5"/>
      <c r="C174" s="5"/>
      <c r="D174" s="5"/>
      <c r="E174" s="75"/>
      <c r="F174" s="5"/>
      <c r="G174" s="5"/>
      <c r="H174" s="5"/>
      <c r="I174" s="5"/>
      <c r="J174" s="5"/>
      <c r="K174" s="5"/>
      <c r="L174" s="5"/>
      <c r="M174" s="5"/>
      <c r="N174" s="5"/>
      <c r="O174" s="5"/>
      <c r="P174" s="5"/>
      <c r="Q174" s="5"/>
      <c r="R174" s="5"/>
      <c r="S174" s="5"/>
      <c r="T174" s="5"/>
      <c r="U174" s="5"/>
      <c r="W174" s="225"/>
      <c r="X174" s="5"/>
    </row>
    <row r="175" spans="1:26" x14ac:dyDescent="0.25">
      <c r="A175" s="224"/>
      <c r="B175" s="5"/>
      <c r="C175" s="5"/>
      <c r="D175" s="5"/>
      <c r="E175" s="75"/>
      <c r="F175" s="5"/>
      <c r="G175" s="5"/>
      <c r="H175" s="5"/>
      <c r="I175" s="5"/>
      <c r="J175" s="5"/>
      <c r="K175" s="5"/>
      <c r="L175" s="5"/>
      <c r="M175" s="5"/>
      <c r="N175" s="5"/>
      <c r="O175" s="5"/>
      <c r="P175" s="5"/>
      <c r="Q175" s="5"/>
      <c r="R175" s="5"/>
      <c r="S175" s="5"/>
      <c r="T175" s="5"/>
      <c r="U175" s="5"/>
      <c r="W175" s="225"/>
      <c r="X175" s="5"/>
    </row>
    <row r="176" spans="1:26" x14ac:dyDescent="0.25">
      <c r="A176" s="224"/>
      <c r="B176" s="5"/>
      <c r="C176" s="5"/>
      <c r="D176" s="5"/>
      <c r="E176" s="75"/>
      <c r="F176" s="5"/>
      <c r="G176" s="5"/>
      <c r="H176" s="5"/>
      <c r="I176" s="5"/>
      <c r="J176" s="5"/>
      <c r="K176" s="5"/>
      <c r="L176" s="5"/>
      <c r="M176" s="5"/>
      <c r="N176" s="5"/>
      <c r="O176" s="5"/>
      <c r="P176" s="5"/>
      <c r="Q176" s="5"/>
      <c r="R176" s="5"/>
      <c r="S176" s="5"/>
      <c r="T176" s="5"/>
      <c r="U176" s="5"/>
      <c r="W176" s="225"/>
      <c r="X176" s="5"/>
    </row>
    <row r="177" spans="1:24" x14ac:dyDescent="0.25">
      <c r="A177" s="224"/>
      <c r="B177" s="5"/>
      <c r="C177" s="5"/>
      <c r="D177" s="5"/>
      <c r="E177" s="75"/>
      <c r="F177" s="5"/>
      <c r="G177" s="5"/>
      <c r="H177" s="5"/>
      <c r="I177" s="5"/>
      <c r="J177" s="5"/>
      <c r="K177" s="5"/>
      <c r="L177" s="5"/>
      <c r="M177" s="5"/>
      <c r="N177" s="5"/>
      <c r="O177" s="5"/>
      <c r="P177" s="5"/>
      <c r="Q177" s="5"/>
      <c r="R177" s="5"/>
      <c r="S177" s="5"/>
      <c r="T177" s="5"/>
      <c r="U177" s="5"/>
      <c r="W177" s="225"/>
      <c r="X177" s="5"/>
    </row>
    <row r="178" spans="1:24" x14ac:dyDescent="0.25">
      <c r="A178" s="224"/>
      <c r="B178" s="5"/>
      <c r="C178" s="5"/>
      <c r="D178" s="5"/>
      <c r="E178" s="75"/>
      <c r="F178" s="5"/>
      <c r="G178" s="5"/>
      <c r="H178" s="5"/>
      <c r="I178" s="5"/>
      <c r="J178" s="5"/>
      <c r="K178" s="5"/>
      <c r="L178" s="5"/>
      <c r="M178" s="5"/>
      <c r="N178" s="5"/>
      <c r="O178" s="5"/>
      <c r="P178" s="5"/>
      <c r="Q178" s="5"/>
      <c r="R178" s="5"/>
      <c r="S178" s="5"/>
      <c r="T178" s="5"/>
      <c r="U178" s="5"/>
      <c r="W178" s="225"/>
      <c r="X178" s="5"/>
    </row>
    <row r="179" spans="1:24" x14ac:dyDescent="0.25">
      <c r="A179" s="224"/>
      <c r="B179" s="5"/>
      <c r="C179" s="5"/>
      <c r="D179" s="5"/>
      <c r="E179" s="75"/>
      <c r="F179" s="5"/>
      <c r="G179" s="5"/>
      <c r="H179" s="5"/>
      <c r="I179" s="5"/>
      <c r="J179" s="5"/>
      <c r="K179" s="5"/>
      <c r="L179" s="5"/>
      <c r="M179" s="5"/>
      <c r="N179" s="5"/>
      <c r="O179" s="5"/>
      <c r="P179" s="5"/>
      <c r="Q179" s="5"/>
      <c r="R179" s="5"/>
      <c r="S179" s="5"/>
      <c r="T179" s="5"/>
      <c r="U179" s="5"/>
      <c r="W179" s="225"/>
      <c r="X179" s="5"/>
    </row>
    <row r="180" spans="1:24" x14ac:dyDescent="0.25">
      <c r="A180" s="224"/>
      <c r="B180" s="5"/>
      <c r="C180" s="5"/>
      <c r="D180" s="5"/>
      <c r="E180" s="75"/>
      <c r="F180" s="5"/>
      <c r="G180" s="5"/>
      <c r="H180" s="5"/>
      <c r="I180" s="5"/>
      <c r="J180" s="5"/>
      <c r="K180" s="5"/>
      <c r="L180" s="5"/>
      <c r="M180" s="5"/>
      <c r="N180" s="5"/>
      <c r="O180" s="5"/>
      <c r="P180" s="5"/>
      <c r="Q180" s="5"/>
      <c r="R180" s="5"/>
      <c r="S180" s="5"/>
      <c r="T180" s="5"/>
      <c r="U180" s="5"/>
      <c r="W180" s="225"/>
      <c r="X180" s="5"/>
    </row>
    <row r="181" spans="1:24" x14ac:dyDescent="0.25">
      <c r="A181" s="224"/>
      <c r="B181" s="5"/>
      <c r="C181" s="5"/>
      <c r="D181" s="5"/>
      <c r="E181" s="75"/>
      <c r="F181" s="5"/>
      <c r="G181" s="5"/>
      <c r="H181" s="5"/>
      <c r="I181" s="5"/>
      <c r="J181" s="5"/>
      <c r="K181" s="5"/>
      <c r="L181" s="5"/>
      <c r="M181" s="5"/>
      <c r="N181" s="5"/>
      <c r="O181" s="5"/>
      <c r="P181" s="5"/>
      <c r="Q181" s="5"/>
      <c r="R181" s="5"/>
      <c r="S181" s="5"/>
      <c r="T181" s="5"/>
      <c r="U181" s="5"/>
      <c r="W181" s="225"/>
      <c r="X181" s="5"/>
    </row>
    <row r="182" spans="1:24" x14ac:dyDescent="0.25">
      <c r="A182" s="224"/>
      <c r="B182" s="5"/>
      <c r="C182" s="5"/>
      <c r="D182" s="5"/>
      <c r="E182" s="75"/>
      <c r="F182" s="5"/>
      <c r="G182" s="5"/>
      <c r="H182" s="5"/>
      <c r="I182" s="5"/>
      <c r="J182" s="5"/>
      <c r="K182" s="5"/>
      <c r="L182" s="5"/>
      <c r="M182" s="5"/>
      <c r="N182" s="5"/>
      <c r="O182" s="5"/>
      <c r="P182" s="5"/>
      <c r="Q182" s="5"/>
      <c r="R182" s="5"/>
      <c r="S182" s="5"/>
      <c r="T182" s="5"/>
      <c r="U182" s="5"/>
      <c r="W182" s="225"/>
      <c r="X182" s="5"/>
    </row>
    <row r="183" spans="1:24" x14ac:dyDescent="0.25">
      <c r="A183" s="224"/>
      <c r="B183" s="5"/>
      <c r="C183" s="5"/>
      <c r="D183" s="5"/>
      <c r="E183" s="75"/>
      <c r="F183" s="5"/>
      <c r="G183" s="5"/>
      <c r="H183" s="5"/>
      <c r="I183" s="5"/>
      <c r="J183" s="5"/>
      <c r="K183" s="5"/>
      <c r="L183" s="5"/>
      <c r="M183" s="5"/>
      <c r="N183" s="5"/>
      <c r="O183" s="5"/>
      <c r="P183" s="5"/>
      <c r="Q183" s="5"/>
      <c r="R183" s="5"/>
      <c r="S183" s="5"/>
      <c r="T183" s="5"/>
      <c r="U183" s="5"/>
      <c r="W183" s="225"/>
      <c r="X183" s="5"/>
    </row>
    <row r="184" spans="1:24" x14ac:dyDescent="0.25">
      <c r="A184" s="224"/>
      <c r="B184" s="5"/>
      <c r="C184" s="5"/>
      <c r="D184" s="5"/>
      <c r="E184" s="75"/>
      <c r="F184" s="5"/>
      <c r="G184" s="5"/>
      <c r="H184" s="5"/>
      <c r="I184" s="5"/>
      <c r="J184" s="5"/>
      <c r="K184" s="5"/>
      <c r="L184" s="5"/>
      <c r="M184" s="5"/>
      <c r="N184" s="5"/>
      <c r="O184" s="5"/>
      <c r="P184" s="5"/>
      <c r="Q184" s="5"/>
      <c r="R184" s="5"/>
      <c r="S184" s="5"/>
      <c r="T184" s="5"/>
      <c r="U184" s="5"/>
      <c r="W184" s="225"/>
      <c r="X184" s="5"/>
    </row>
    <row r="185" spans="1:24" x14ac:dyDescent="0.25">
      <c r="A185" s="224"/>
      <c r="B185" s="5"/>
      <c r="C185" s="5"/>
      <c r="D185" s="5"/>
      <c r="E185" s="75"/>
      <c r="F185" s="5"/>
      <c r="G185" s="5"/>
      <c r="H185" s="5"/>
      <c r="I185" s="5"/>
      <c r="J185" s="5"/>
      <c r="K185" s="5"/>
      <c r="L185" s="5"/>
      <c r="M185" s="5"/>
      <c r="N185" s="5"/>
      <c r="O185" s="5"/>
      <c r="P185" s="5"/>
      <c r="Q185" s="5"/>
      <c r="R185" s="5"/>
      <c r="S185" s="5"/>
      <c r="T185" s="5"/>
      <c r="U185" s="5"/>
      <c r="W185" s="225"/>
      <c r="X185" s="5"/>
    </row>
    <row r="186" spans="1:24" x14ac:dyDescent="0.25">
      <c r="A186" s="224"/>
      <c r="B186" s="5"/>
      <c r="C186" s="5"/>
      <c r="D186" s="5"/>
      <c r="E186" s="75"/>
      <c r="F186" s="5"/>
      <c r="G186" s="5"/>
      <c r="H186" s="5"/>
      <c r="I186" s="5"/>
      <c r="J186" s="5"/>
      <c r="K186" s="5"/>
      <c r="L186" s="5"/>
      <c r="M186" s="5"/>
      <c r="N186" s="5"/>
      <c r="O186" s="5"/>
      <c r="P186" s="5"/>
      <c r="Q186" s="5"/>
      <c r="R186" s="5"/>
      <c r="S186" s="5"/>
      <c r="T186" s="5"/>
      <c r="U186" s="5"/>
      <c r="W186" s="225"/>
      <c r="X186" s="5"/>
    </row>
    <row r="187" spans="1:24" x14ac:dyDescent="0.25">
      <c r="A187" s="224"/>
      <c r="B187" s="5"/>
      <c r="C187" s="5"/>
      <c r="D187" s="5"/>
      <c r="E187" s="75"/>
      <c r="F187" s="5"/>
      <c r="G187" s="5"/>
      <c r="H187" s="5"/>
      <c r="I187" s="5"/>
      <c r="J187" s="5"/>
      <c r="K187" s="5"/>
      <c r="L187" s="5"/>
      <c r="M187" s="5"/>
      <c r="N187" s="5"/>
      <c r="O187" s="5"/>
      <c r="P187" s="5"/>
      <c r="Q187" s="5"/>
      <c r="R187" s="5"/>
      <c r="S187" s="5"/>
      <c r="T187" s="5"/>
      <c r="U187" s="5"/>
      <c r="W187" s="225"/>
      <c r="X187" s="5"/>
    </row>
    <row r="188" spans="1:24" x14ac:dyDescent="0.25">
      <c r="A188" s="224"/>
      <c r="B188" s="5"/>
      <c r="C188" s="5"/>
      <c r="D188" s="5"/>
      <c r="E188" s="75"/>
      <c r="F188" s="5"/>
      <c r="G188" s="5"/>
      <c r="H188" s="5"/>
      <c r="I188" s="5"/>
      <c r="J188" s="5"/>
      <c r="K188" s="5"/>
      <c r="L188" s="5"/>
      <c r="M188" s="5"/>
      <c r="N188" s="5"/>
      <c r="O188" s="5"/>
      <c r="P188" s="5"/>
      <c r="Q188" s="5"/>
      <c r="R188" s="5"/>
      <c r="S188" s="5"/>
      <c r="T188" s="5"/>
      <c r="U188" s="5"/>
      <c r="W188" s="225"/>
      <c r="X188" s="5"/>
    </row>
    <row r="189" spans="1:24" x14ac:dyDescent="0.25">
      <c r="A189" s="224"/>
      <c r="B189" s="5"/>
      <c r="C189" s="5"/>
      <c r="D189" s="5"/>
      <c r="E189" s="75"/>
      <c r="F189" s="5"/>
      <c r="G189" s="5"/>
      <c r="H189" s="5"/>
      <c r="I189" s="5"/>
      <c r="J189" s="5"/>
      <c r="K189" s="5"/>
      <c r="L189" s="5"/>
      <c r="M189" s="5"/>
      <c r="N189" s="5"/>
      <c r="O189" s="5"/>
      <c r="P189" s="5"/>
      <c r="Q189" s="5"/>
      <c r="R189" s="5"/>
      <c r="S189" s="5"/>
      <c r="T189" s="5"/>
      <c r="U189" s="5"/>
      <c r="W189" s="225"/>
      <c r="X189" s="5"/>
    </row>
    <row r="190" spans="1:24" x14ac:dyDescent="0.25">
      <c r="A190" s="224"/>
      <c r="B190" s="5"/>
      <c r="C190" s="5"/>
      <c r="D190" s="5"/>
      <c r="E190" s="75"/>
      <c r="F190" s="5"/>
      <c r="G190" s="5"/>
      <c r="H190" s="5"/>
      <c r="I190" s="5"/>
      <c r="J190" s="5"/>
      <c r="K190" s="5"/>
      <c r="L190" s="5"/>
      <c r="M190" s="5"/>
      <c r="N190" s="5"/>
      <c r="O190" s="5"/>
      <c r="P190" s="5"/>
      <c r="Q190" s="5"/>
      <c r="R190" s="5"/>
      <c r="S190" s="5"/>
      <c r="T190" s="5"/>
      <c r="U190" s="5"/>
      <c r="W190" s="225"/>
      <c r="X190" s="5"/>
    </row>
    <row r="191" spans="1:24" x14ac:dyDescent="0.25">
      <c r="A191" s="224"/>
      <c r="B191" s="5"/>
      <c r="C191" s="5"/>
      <c r="D191" s="5"/>
      <c r="E191" s="75"/>
      <c r="F191" s="5"/>
      <c r="G191" s="5"/>
      <c r="H191" s="5"/>
      <c r="I191" s="5"/>
      <c r="J191" s="5"/>
      <c r="K191" s="5"/>
      <c r="L191" s="5"/>
      <c r="M191" s="5"/>
      <c r="N191" s="5"/>
      <c r="O191" s="5"/>
      <c r="P191" s="5"/>
      <c r="Q191" s="5"/>
      <c r="R191" s="5"/>
      <c r="S191" s="5"/>
      <c r="T191" s="5"/>
      <c r="U191" s="5"/>
      <c r="W191" s="225"/>
      <c r="X191" s="5"/>
    </row>
    <row r="192" spans="1:24" x14ac:dyDescent="0.25">
      <c r="A192" s="224"/>
      <c r="B192" s="5"/>
      <c r="C192" s="5"/>
      <c r="D192" s="5"/>
      <c r="E192" s="75"/>
      <c r="F192" s="5"/>
      <c r="G192" s="5"/>
      <c r="H192" s="5"/>
      <c r="I192" s="5"/>
      <c r="J192" s="5"/>
      <c r="K192" s="5"/>
      <c r="L192" s="5"/>
      <c r="M192" s="5"/>
      <c r="N192" s="5"/>
      <c r="O192" s="5"/>
      <c r="P192" s="5"/>
      <c r="Q192" s="5"/>
      <c r="R192" s="5"/>
      <c r="S192" s="5"/>
      <c r="T192" s="5"/>
      <c r="U192" s="5"/>
      <c r="W192" s="225"/>
      <c r="X192" s="5"/>
    </row>
    <row r="193" spans="1:24" x14ac:dyDescent="0.25">
      <c r="A193" s="224"/>
      <c r="B193" s="5"/>
      <c r="C193" s="5"/>
      <c r="D193" s="5"/>
      <c r="E193" s="75"/>
      <c r="F193" s="5"/>
      <c r="G193" s="5"/>
      <c r="H193" s="5"/>
      <c r="I193" s="5"/>
      <c r="J193" s="5"/>
      <c r="K193" s="5"/>
      <c r="L193" s="5"/>
      <c r="M193" s="5"/>
      <c r="N193" s="5"/>
      <c r="O193" s="5"/>
      <c r="P193" s="5"/>
      <c r="Q193" s="5"/>
      <c r="R193" s="5"/>
      <c r="S193" s="5"/>
      <c r="T193" s="5"/>
      <c r="U193" s="5"/>
      <c r="W193" s="225"/>
      <c r="X193" s="5"/>
    </row>
    <row r="194" spans="1:24" x14ac:dyDescent="0.25">
      <c r="A194" s="224"/>
      <c r="B194" s="5"/>
      <c r="C194" s="5"/>
      <c r="D194" s="5"/>
      <c r="E194" s="75"/>
      <c r="F194" s="5"/>
      <c r="G194" s="5"/>
      <c r="H194" s="5"/>
      <c r="I194" s="5"/>
      <c r="J194" s="5"/>
      <c r="K194" s="5"/>
      <c r="L194" s="5"/>
      <c r="M194" s="5"/>
      <c r="N194" s="5"/>
      <c r="O194" s="5"/>
      <c r="P194" s="5"/>
      <c r="Q194" s="5"/>
      <c r="R194" s="5"/>
      <c r="S194" s="5"/>
      <c r="T194" s="5"/>
      <c r="U194" s="5"/>
      <c r="W194" s="225"/>
      <c r="X194" s="5"/>
    </row>
    <row r="195" spans="1:24" x14ac:dyDescent="0.25">
      <c r="A195" s="224"/>
      <c r="B195" s="5"/>
      <c r="C195" s="5"/>
      <c r="D195" s="5"/>
      <c r="E195" s="75"/>
      <c r="F195" s="5"/>
      <c r="G195" s="5"/>
      <c r="H195" s="5"/>
      <c r="I195" s="5"/>
      <c r="J195" s="5"/>
      <c r="K195" s="5"/>
      <c r="L195" s="5"/>
      <c r="M195" s="5"/>
      <c r="N195" s="5"/>
      <c r="O195" s="5"/>
      <c r="P195" s="5"/>
      <c r="Q195" s="5"/>
      <c r="R195" s="5"/>
      <c r="S195" s="5"/>
      <c r="T195" s="5"/>
      <c r="U195" s="5"/>
      <c r="W195" s="225"/>
      <c r="X195" s="5"/>
    </row>
    <row r="196" spans="1:24" x14ac:dyDescent="0.25">
      <c r="A196" s="224"/>
      <c r="B196" s="5"/>
      <c r="C196" s="5"/>
      <c r="D196" s="5"/>
      <c r="E196" s="75"/>
      <c r="F196" s="5"/>
      <c r="G196" s="5"/>
      <c r="H196" s="5"/>
      <c r="I196" s="5"/>
      <c r="J196" s="5"/>
      <c r="K196" s="5"/>
      <c r="L196" s="5"/>
      <c r="M196" s="5"/>
      <c r="N196" s="5"/>
      <c r="O196" s="5"/>
      <c r="P196" s="5"/>
      <c r="Q196" s="5"/>
      <c r="R196" s="5"/>
      <c r="S196" s="5"/>
      <c r="T196" s="5"/>
      <c r="U196" s="5"/>
      <c r="W196" s="225"/>
      <c r="X196" s="5"/>
    </row>
    <row r="197" spans="1:24" x14ac:dyDescent="0.25">
      <c r="A197" s="224"/>
      <c r="B197" s="5"/>
      <c r="C197" s="5"/>
      <c r="D197" s="5"/>
      <c r="E197" s="75"/>
      <c r="F197" s="5"/>
      <c r="G197" s="5"/>
      <c r="H197" s="5"/>
      <c r="I197" s="5"/>
      <c r="J197" s="5"/>
      <c r="K197" s="5"/>
      <c r="L197" s="5"/>
      <c r="M197" s="5"/>
      <c r="N197" s="5"/>
      <c r="O197" s="5"/>
      <c r="P197" s="5"/>
      <c r="Q197" s="5"/>
      <c r="R197" s="5"/>
      <c r="S197" s="5"/>
      <c r="T197" s="5"/>
      <c r="U197" s="5"/>
      <c r="W197" s="225"/>
      <c r="X197" s="5"/>
    </row>
    <row r="198" spans="1:24" x14ac:dyDescent="0.25">
      <c r="A198" s="224"/>
      <c r="B198" s="5"/>
      <c r="C198" s="5"/>
      <c r="D198" s="5"/>
      <c r="E198" s="75"/>
      <c r="F198" s="5"/>
      <c r="G198" s="5"/>
      <c r="H198" s="5"/>
      <c r="I198" s="5"/>
      <c r="J198" s="5"/>
      <c r="K198" s="5"/>
      <c r="L198" s="5"/>
      <c r="M198" s="5"/>
      <c r="N198" s="5"/>
      <c r="O198" s="5"/>
      <c r="P198" s="5"/>
      <c r="Q198" s="5"/>
      <c r="R198" s="5"/>
      <c r="S198" s="5"/>
      <c r="T198" s="5"/>
      <c r="U198" s="5"/>
      <c r="W198" s="225"/>
      <c r="X198" s="5"/>
    </row>
    <row r="199" spans="1:24" x14ac:dyDescent="0.25">
      <c r="A199" s="224"/>
      <c r="B199" s="5"/>
      <c r="C199" s="5"/>
      <c r="D199" s="5"/>
      <c r="E199" s="75"/>
      <c r="F199" s="5"/>
      <c r="G199" s="5"/>
      <c r="H199" s="5"/>
      <c r="I199" s="5"/>
      <c r="J199" s="5"/>
      <c r="K199" s="5"/>
      <c r="L199" s="5"/>
      <c r="M199" s="5"/>
      <c r="N199" s="5"/>
      <c r="O199" s="5"/>
      <c r="P199" s="5"/>
      <c r="Q199" s="5"/>
      <c r="R199" s="5"/>
      <c r="S199" s="5"/>
      <c r="T199" s="5"/>
      <c r="U199" s="5"/>
      <c r="W199" s="225"/>
      <c r="X199" s="5"/>
    </row>
    <row r="200" spans="1:24" x14ac:dyDescent="0.25">
      <c r="E200" s="2"/>
    </row>
    <row r="201" spans="1:24" x14ac:dyDescent="0.25">
      <c r="E201" s="2"/>
    </row>
    <row r="202" spans="1:24" x14ac:dyDescent="0.25">
      <c r="E202" s="2"/>
    </row>
    <row r="203" spans="1:24" x14ac:dyDescent="0.25">
      <c r="E203" s="2"/>
    </row>
    <row r="204" spans="1:24" x14ac:dyDescent="0.25">
      <c r="E204" s="2"/>
    </row>
    <row r="205" spans="1:24" x14ac:dyDescent="0.25">
      <c r="E205" s="2"/>
    </row>
    <row r="206" spans="1:24" x14ac:dyDescent="0.25">
      <c r="E206" s="2"/>
    </row>
    <row r="207" spans="1:24" x14ac:dyDescent="0.25">
      <c r="E207" s="2"/>
    </row>
    <row r="208" spans="1:24"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sheetData>
  <mergeCells count="2">
    <mergeCell ref="A2:C2"/>
    <mergeCell ref="A3:R3"/>
  </mergeCells>
  <conditionalFormatting sqref="U121:U136 V143:V1048576">
    <cfRule type="containsText" dxfId="739" priority="5" operator="containsText" text="close">
      <formula>NOT(ISERROR(SEARCH("close",U121)))</formula>
    </cfRule>
    <cfRule type="containsText" dxfId="738" priority="6" operator="containsText" text="open">
      <formula>NOT(ISERROR(SEARCH("open",U121)))</formula>
    </cfRule>
  </conditionalFormatting>
  <conditionalFormatting sqref="U4">
    <cfRule type="containsText" dxfId="737" priority="3" operator="containsText" text="close">
      <formula>NOT(ISERROR(SEARCH("close",U4)))</formula>
    </cfRule>
    <cfRule type="containsText" dxfId="736" priority="4" operator="containsText" text="open">
      <formula>NOT(ISERROR(SEARCH("open",U4)))</formula>
    </cfRule>
  </conditionalFormatting>
  <conditionalFormatting sqref="V4">
    <cfRule type="containsText" dxfId="735" priority="1" operator="containsText" text="close">
      <formula>NOT(ISERROR(SEARCH("close",V4)))</formula>
    </cfRule>
    <cfRule type="containsText" dxfId="734"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G34" sqref="G34"/>
    </sheetView>
  </sheetViews>
  <sheetFormatPr defaultColWidth="9.140625" defaultRowHeight="12.75" x14ac:dyDescent="0.2"/>
  <cols>
    <col min="1" max="1" width="25.42578125" style="164" customWidth="1"/>
    <col min="2" max="2" width="15.7109375" style="164" customWidth="1"/>
    <col min="3" max="3" width="14.5703125" style="164" customWidth="1"/>
    <col min="4" max="4" width="19.140625" style="165" customWidth="1"/>
    <col min="5" max="5" width="17.140625" style="163" bestFit="1" customWidth="1"/>
    <col min="6" max="6" width="25.5703125" style="163" customWidth="1"/>
    <col min="7" max="7" width="8.7109375" style="163" customWidth="1"/>
    <col min="8" max="8" width="10.28515625" style="155" customWidth="1"/>
    <col min="9" max="9" width="21.28515625" style="155" customWidth="1"/>
    <col min="10" max="10" width="139.28515625" style="155" customWidth="1"/>
    <col min="11" max="11" width="24.42578125" style="155" customWidth="1"/>
    <col min="12" max="12" width="16.28515625" style="155" customWidth="1"/>
    <col min="13" max="13" width="8.42578125" style="155" customWidth="1"/>
    <col min="14" max="14" width="8.28515625" style="155" customWidth="1"/>
    <col min="15" max="15" width="11.5703125" style="155" customWidth="1"/>
    <col min="16" max="16" width="11.28515625" style="155" bestFit="1" customWidth="1"/>
    <col min="17" max="16384" width="9.140625" style="155"/>
  </cols>
  <sheetData>
    <row r="1" spans="1:11" ht="15" x14ac:dyDescent="0.25">
      <c r="A1" s="269" t="s">
        <v>534</v>
      </c>
      <c r="B1" s="270" t="s">
        <v>664</v>
      </c>
      <c r="C1" s="271"/>
      <c r="D1" s="272"/>
    </row>
    <row r="2" spans="1:11" ht="15" x14ac:dyDescent="0.25">
      <c r="A2" s="273" t="s">
        <v>212</v>
      </c>
      <c r="B2" s="274" t="s">
        <v>744</v>
      </c>
      <c r="C2" s="274" t="s">
        <v>771</v>
      </c>
      <c r="D2" s="275" t="s">
        <v>213</v>
      </c>
    </row>
    <row r="3" spans="1:11" ht="15" x14ac:dyDescent="0.25">
      <c r="A3" s="276" t="s">
        <v>737</v>
      </c>
      <c r="B3" s="728"/>
      <c r="C3" s="728">
        <v>9</v>
      </c>
      <c r="D3" s="729">
        <v>9</v>
      </c>
    </row>
    <row r="4" spans="1:11" ht="15" x14ac:dyDescent="0.25">
      <c r="A4" s="276" t="s">
        <v>738</v>
      </c>
      <c r="B4" s="728">
        <v>2</v>
      </c>
      <c r="C4" s="728">
        <v>13</v>
      </c>
      <c r="D4" s="729">
        <v>15</v>
      </c>
    </row>
    <row r="5" spans="1:11" ht="15" x14ac:dyDescent="0.25">
      <c r="A5" s="276" t="s">
        <v>736</v>
      </c>
      <c r="B5" s="728"/>
      <c r="C5" s="728">
        <v>10</v>
      </c>
      <c r="D5" s="729">
        <v>10</v>
      </c>
    </row>
    <row r="6" spans="1:11" ht="15" x14ac:dyDescent="0.25">
      <c r="A6" s="276" t="s">
        <v>739</v>
      </c>
      <c r="B6" s="728"/>
      <c r="C6" s="728">
        <v>8</v>
      </c>
      <c r="D6" s="729">
        <v>8</v>
      </c>
    </row>
    <row r="7" spans="1:11" ht="15.75" thickBot="1" x14ac:dyDescent="0.3">
      <c r="A7" s="278" t="s">
        <v>213</v>
      </c>
      <c r="B7" s="730">
        <v>2</v>
      </c>
      <c r="C7" s="730">
        <v>40</v>
      </c>
      <c r="D7" s="731">
        <v>42</v>
      </c>
    </row>
    <row r="8" spans="1:11" ht="15" hidden="1" x14ac:dyDescent="0.25">
      <c r="A8" s="294"/>
      <c r="B8" s="277"/>
      <c r="C8" s="277"/>
      <c r="D8" s="277"/>
    </row>
    <row r="9" spans="1:11" ht="15" hidden="1" x14ac:dyDescent="0.25">
      <c r="A9" s="294"/>
      <c r="B9" s="277"/>
      <c r="C9" s="277"/>
      <c r="D9" s="277"/>
    </row>
    <row r="10" spans="1:11" hidden="1" x14ac:dyDescent="0.2"/>
    <row r="11" spans="1:11" ht="13.5" hidden="1" thickBot="1" x14ac:dyDescent="0.25"/>
    <row r="12" spans="1:11" ht="50.1" customHeight="1" thickBot="1" x14ac:dyDescent="0.25">
      <c r="A12" s="256" t="s">
        <v>745</v>
      </c>
      <c r="B12" s="257" t="s">
        <v>10</v>
      </c>
      <c r="C12" s="257" t="s">
        <v>1</v>
      </c>
      <c r="D12" s="257" t="s">
        <v>535</v>
      </c>
      <c r="E12" s="257" t="s">
        <v>565</v>
      </c>
      <c r="F12" s="258" t="s">
        <v>746</v>
      </c>
      <c r="G12" s="258" t="s">
        <v>747</v>
      </c>
      <c r="H12" s="259" t="s">
        <v>5</v>
      </c>
      <c r="I12" s="259" t="s">
        <v>346</v>
      </c>
      <c r="J12" s="255" t="s">
        <v>345</v>
      </c>
      <c r="K12" s="159"/>
    </row>
    <row r="13" spans="1:11" ht="16.5" customHeight="1" x14ac:dyDescent="0.2">
      <c r="A13" s="336" t="s">
        <v>742</v>
      </c>
      <c r="B13" s="336" t="s">
        <v>7</v>
      </c>
      <c r="C13" s="336" t="s">
        <v>19</v>
      </c>
      <c r="D13" s="338" t="s">
        <v>61</v>
      </c>
      <c r="E13" s="338" t="str">
        <f ca="1">IFERROR(OFFSET(Camp_List[P_Code],MATCH(Data_Infrastructure[[#This Row],[Camp]],Camp_List[Camp Name],0)-1,0,1,1),"")</f>
        <v>MMR012CMP039</v>
      </c>
      <c r="F13" s="340" t="s">
        <v>736</v>
      </c>
      <c r="G13" s="340"/>
      <c r="H13" s="302">
        <v>1</v>
      </c>
      <c r="I13" s="303" t="s">
        <v>771</v>
      </c>
      <c r="J13" s="343"/>
      <c r="K13" s="159"/>
    </row>
    <row r="14" spans="1:11" ht="16.5" customHeight="1" x14ac:dyDescent="0.2">
      <c r="A14" s="337" t="s">
        <v>742</v>
      </c>
      <c r="B14" s="337" t="s">
        <v>7</v>
      </c>
      <c r="C14" s="337" t="s">
        <v>19</v>
      </c>
      <c r="D14" s="339" t="s">
        <v>61</v>
      </c>
      <c r="E14" s="338" t="str">
        <f ca="1">IFERROR(OFFSET(Camp_List[P_Code],MATCH(Data_Infrastructure[[#This Row],[Camp]],Camp_List[Camp Name],0)-1,0,1,1),"")</f>
        <v>MMR012CMP039</v>
      </c>
      <c r="F14" s="341" t="s">
        <v>739</v>
      </c>
      <c r="G14" s="341"/>
      <c r="H14" s="260">
        <v>1</v>
      </c>
      <c r="I14" s="262" t="s">
        <v>771</v>
      </c>
      <c r="J14" s="344"/>
      <c r="K14" s="159"/>
    </row>
    <row r="15" spans="1:11" ht="16.5" customHeight="1" x14ac:dyDescent="0.2">
      <c r="A15" s="337" t="s">
        <v>742</v>
      </c>
      <c r="B15" s="337" t="s">
        <v>7</v>
      </c>
      <c r="C15" s="337" t="s">
        <v>19</v>
      </c>
      <c r="D15" s="339" t="s">
        <v>61</v>
      </c>
      <c r="E15" s="338" t="str">
        <f ca="1">IFERROR(OFFSET(Camp_List[P_Code],MATCH(Data_Infrastructure[[#This Row],[Camp]],Camp_List[Camp Name],0)-1,0,1,1),"")</f>
        <v>MMR012CMP039</v>
      </c>
      <c r="F15" s="341" t="s">
        <v>737</v>
      </c>
      <c r="G15" s="341"/>
      <c r="H15" s="260">
        <v>1</v>
      </c>
      <c r="I15" s="262" t="s">
        <v>771</v>
      </c>
      <c r="J15" s="344"/>
      <c r="K15" s="159"/>
    </row>
    <row r="16" spans="1:11" ht="16.5" customHeight="1" x14ac:dyDescent="0.2">
      <c r="A16" s="337" t="s">
        <v>742</v>
      </c>
      <c r="B16" s="337" t="s">
        <v>7</v>
      </c>
      <c r="C16" s="337" t="s">
        <v>19</v>
      </c>
      <c r="D16" s="339" t="s">
        <v>61</v>
      </c>
      <c r="E16" s="338" t="str">
        <f ca="1">IFERROR(OFFSET(Camp_List[P_Code],MATCH(Data_Infrastructure[[#This Row],[Camp]],Camp_List[Camp Name],0)-1,0,1,1),"")</f>
        <v>MMR012CMP039</v>
      </c>
      <c r="F16" s="341" t="s">
        <v>738</v>
      </c>
      <c r="G16" s="341"/>
      <c r="H16" s="260">
        <v>1</v>
      </c>
      <c r="I16" s="262" t="s">
        <v>771</v>
      </c>
      <c r="J16" s="344"/>
      <c r="K16" s="159"/>
    </row>
    <row r="17" spans="1:17" ht="16.5" customHeight="1" x14ac:dyDescent="0.2">
      <c r="A17" s="337" t="s">
        <v>742</v>
      </c>
      <c r="B17" s="337" t="s">
        <v>7</v>
      </c>
      <c r="C17" s="337" t="s">
        <v>19</v>
      </c>
      <c r="D17" s="339" t="s">
        <v>629</v>
      </c>
      <c r="E17" s="338" t="str">
        <f ca="1">IFERROR(OFFSET(Camp_List[P_Code],MATCH(Data_Infrastructure[[#This Row],[Camp]],Camp_List[Camp Name],0)-1,0,1,1),"")</f>
        <v>MMR012CMP113</v>
      </c>
      <c r="F17" s="341" t="s">
        <v>738</v>
      </c>
      <c r="G17" s="341"/>
      <c r="H17" s="263">
        <v>1</v>
      </c>
      <c r="I17" s="342" t="s">
        <v>744</v>
      </c>
      <c r="J17" s="261" t="s">
        <v>743</v>
      </c>
      <c r="K17" s="159"/>
    </row>
    <row r="18" spans="1:17" ht="16.5" customHeight="1" x14ac:dyDescent="0.2">
      <c r="A18" s="337" t="s">
        <v>742</v>
      </c>
      <c r="B18" s="337" t="s">
        <v>7</v>
      </c>
      <c r="C18" s="337" t="s">
        <v>19</v>
      </c>
      <c r="D18" s="339" t="s">
        <v>629</v>
      </c>
      <c r="E18" s="338" t="str">
        <f ca="1">IFERROR(OFFSET(Camp_List[P_Code],MATCH(Data_Infrastructure[[#This Row],[Camp]],Camp_List[Camp Name],0)-1,0,1,1),"")</f>
        <v>MMR012CMP113</v>
      </c>
      <c r="F18" s="339" t="s">
        <v>737</v>
      </c>
      <c r="G18" s="339"/>
      <c r="H18" s="263">
        <v>1</v>
      </c>
      <c r="I18" s="262" t="s">
        <v>771</v>
      </c>
      <c r="J18" s="261" t="s">
        <v>741</v>
      </c>
      <c r="K18" s="159"/>
    </row>
    <row r="19" spans="1:17" ht="16.5" customHeight="1" x14ac:dyDescent="0.25">
      <c r="A19" s="337" t="s">
        <v>742</v>
      </c>
      <c r="B19" s="337" t="s">
        <v>7</v>
      </c>
      <c r="C19" s="337" t="s">
        <v>19</v>
      </c>
      <c r="D19" s="339" t="s">
        <v>630</v>
      </c>
      <c r="E19" s="338" t="str">
        <f ca="1">IFERROR(OFFSET(Camp_List[P_Code],MATCH(Data_Infrastructure[[#This Row],[Camp]],Camp_List[Camp Name],0)-1,0,1,1),"")</f>
        <v>MMR012CMP114</v>
      </c>
      <c r="F19" s="341" t="s">
        <v>738</v>
      </c>
      <c r="G19" s="341"/>
      <c r="H19" s="263">
        <v>1</v>
      </c>
      <c r="I19" s="262" t="s">
        <v>771</v>
      </c>
      <c r="J19" s="261" t="s">
        <v>741</v>
      </c>
      <c r="K19" s="159"/>
      <c r="L19" s="264"/>
      <c r="M19" s="264"/>
      <c r="N19" s="264"/>
      <c r="O19" s="264"/>
      <c r="P19" s="264"/>
      <c r="Q19" s="264"/>
    </row>
    <row r="20" spans="1:17" ht="16.5" customHeight="1" x14ac:dyDescent="0.25">
      <c r="A20" s="337" t="s">
        <v>742</v>
      </c>
      <c r="B20" s="337" t="s">
        <v>7</v>
      </c>
      <c r="C20" s="337" t="s">
        <v>19</v>
      </c>
      <c r="D20" s="339" t="s">
        <v>630</v>
      </c>
      <c r="E20" s="338" t="str">
        <f ca="1">IFERROR(OFFSET(Camp_List[P_Code],MATCH(Data_Infrastructure[[#This Row],[Camp]],Camp_List[Camp Name],0)-1,0,1,1),"")</f>
        <v>MMR012CMP114</v>
      </c>
      <c r="F20" s="341" t="s">
        <v>737</v>
      </c>
      <c r="G20" s="341"/>
      <c r="H20" s="263">
        <v>1</v>
      </c>
      <c r="I20" s="262" t="s">
        <v>771</v>
      </c>
      <c r="J20" s="261" t="s">
        <v>741</v>
      </c>
      <c r="K20" s="159"/>
      <c r="L20" s="264"/>
      <c r="M20" s="264"/>
      <c r="N20" s="264"/>
      <c r="O20" s="264"/>
      <c r="P20" s="264"/>
      <c r="Q20" s="264"/>
    </row>
    <row r="21" spans="1:17" ht="16.5" customHeight="1" x14ac:dyDescent="0.25">
      <c r="A21" s="337" t="s">
        <v>742</v>
      </c>
      <c r="B21" s="337" t="s">
        <v>7</v>
      </c>
      <c r="C21" s="337" t="s">
        <v>19</v>
      </c>
      <c r="D21" s="339" t="s">
        <v>63</v>
      </c>
      <c r="E21" s="338" t="str">
        <f ca="1">IFERROR(OFFSET(Camp_List[P_Code],MATCH(Data_Infrastructure[[#This Row],[Camp]],Camp_List[Camp Name],0)-1,0,1,1),"")</f>
        <v>MMR012CMP041</v>
      </c>
      <c r="F21" s="341" t="s">
        <v>738</v>
      </c>
      <c r="G21" s="341"/>
      <c r="H21" s="260">
        <v>1</v>
      </c>
      <c r="I21" s="342" t="s">
        <v>744</v>
      </c>
      <c r="J21" s="261" t="s">
        <v>743</v>
      </c>
      <c r="K21" s="159"/>
      <c r="L21" s="264"/>
      <c r="M21" s="264"/>
      <c r="N21" s="264"/>
      <c r="O21" s="264"/>
      <c r="P21" s="264"/>
      <c r="Q21" s="264"/>
    </row>
    <row r="22" spans="1:17" ht="16.5" customHeight="1" x14ac:dyDescent="0.25">
      <c r="A22" s="337" t="s">
        <v>742</v>
      </c>
      <c r="B22" s="337" t="s">
        <v>7</v>
      </c>
      <c r="C22" s="337" t="s">
        <v>19</v>
      </c>
      <c r="D22" s="339" t="s">
        <v>63</v>
      </c>
      <c r="E22" s="338" t="str">
        <f ca="1">IFERROR(OFFSET(Camp_List[P_Code],MATCH(Data_Infrastructure[[#This Row],[Camp]],Camp_List[Camp Name],0)-1,0,1,1),"")</f>
        <v>MMR012CMP041</v>
      </c>
      <c r="F22" s="339" t="s">
        <v>737</v>
      </c>
      <c r="G22" s="339"/>
      <c r="H22" s="260">
        <v>1</v>
      </c>
      <c r="I22" s="262" t="s">
        <v>771</v>
      </c>
      <c r="J22" s="261" t="s">
        <v>741</v>
      </c>
      <c r="K22" s="159"/>
      <c r="L22" s="264"/>
      <c r="M22" s="264"/>
      <c r="N22" s="264"/>
      <c r="O22" s="264"/>
      <c r="P22" s="264"/>
      <c r="Q22" s="264"/>
    </row>
    <row r="23" spans="1:17" ht="16.5" customHeight="1" x14ac:dyDescent="0.25">
      <c r="A23" s="337" t="s">
        <v>740</v>
      </c>
      <c r="B23" s="337" t="s">
        <v>7</v>
      </c>
      <c r="C23" s="337" t="s">
        <v>19</v>
      </c>
      <c r="D23" s="339" t="s">
        <v>64</v>
      </c>
      <c r="E23" s="338" t="str">
        <f ca="1">IFERROR(OFFSET(Camp_List[P_Code],MATCH(Data_Infrastructure[[#This Row],[Camp]],Camp_List[Camp Name],0)-1,0,1,1),"")</f>
        <v>MMR012CMP042</v>
      </c>
      <c r="F23" s="341" t="s">
        <v>737</v>
      </c>
      <c r="G23" s="341"/>
      <c r="H23" s="263">
        <v>1</v>
      </c>
      <c r="I23" s="262" t="s">
        <v>771</v>
      </c>
      <c r="J23" s="345"/>
      <c r="K23" s="159"/>
      <c r="L23" s="264"/>
      <c r="M23" s="264"/>
      <c r="N23" s="264"/>
      <c r="O23" s="264"/>
      <c r="P23" s="264"/>
      <c r="Q23" s="264"/>
    </row>
    <row r="24" spans="1:17" ht="16.5" customHeight="1" x14ac:dyDescent="0.25">
      <c r="A24" s="337" t="s">
        <v>740</v>
      </c>
      <c r="B24" s="337" t="s">
        <v>7</v>
      </c>
      <c r="C24" s="337" t="s">
        <v>19</v>
      </c>
      <c r="D24" s="339" t="s">
        <v>64</v>
      </c>
      <c r="E24" s="338" t="str">
        <f ca="1">IFERROR(OFFSET(Camp_List[P_Code],MATCH(Data_Infrastructure[[#This Row],[Camp]],Camp_List[Camp Name],0)-1,0,1,1),"")</f>
        <v>MMR012CMP042</v>
      </c>
      <c r="F24" s="341" t="s">
        <v>738</v>
      </c>
      <c r="G24" s="341" t="s">
        <v>749</v>
      </c>
      <c r="H24" s="263">
        <v>2</v>
      </c>
      <c r="I24" s="262" t="s">
        <v>771</v>
      </c>
      <c r="J24" s="345"/>
      <c r="K24" s="159"/>
      <c r="L24" s="264"/>
      <c r="M24" s="264"/>
      <c r="N24" s="264"/>
      <c r="O24" s="264"/>
      <c r="P24" s="264"/>
      <c r="Q24" s="264"/>
    </row>
    <row r="25" spans="1:17" ht="16.5" customHeight="1" x14ac:dyDescent="0.25">
      <c r="A25" s="337" t="s">
        <v>740</v>
      </c>
      <c r="B25" s="337" t="s">
        <v>7</v>
      </c>
      <c r="C25" s="337" t="s">
        <v>19</v>
      </c>
      <c r="D25" s="339" t="s">
        <v>64</v>
      </c>
      <c r="E25" s="338" t="str">
        <f ca="1">IFERROR(OFFSET(Camp_List[P_Code],MATCH(Data_Infrastructure[[#This Row],[Camp]],Camp_List[Camp Name],0)-1,0,1,1),"")</f>
        <v>MMR012CMP042</v>
      </c>
      <c r="F25" s="341" t="s">
        <v>736</v>
      </c>
      <c r="G25" s="341" t="s">
        <v>749</v>
      </c>
      <c r="H25" s="263">
        <v>2</v>
      </c>
      <c r="I25" s="262" t="s">
        <v>771</v>
      </c>
      <c r="J25" s="345"/>
      <c r="K25" s="159"/>
      <c r="L25" s="264"/>
      <c r="M25" s="264"/>
      <c r="N25" s="264"/>
      <c r="O25" s="264"/>
      <c r="P25" s="264"/>
      <c r="Q25" s="264"/>
    </row>
    <row r="26" spans="1:17" ht="16.5" customHeight="1" x14ac:dyDescent="0.25">
      <c r="A26" s="337" t="s">
        <v>740</v>
      </c>
      <c r="B26" s="337" t="s">
        <v>7</v>
      </c>
      <c r="C26" s="337" t="s">
        <v>19</v>
      </c>
      <c r="D26" s="339" t="s">
        <v>64</v>
      </c>
      <c r="E26" s="338" t="str">
        <f ca="1">IFERROR(OFFSET(Camp_List[P_Code],MATCH(Data_Infrastructure[[#This Row],[Camp]],Camp_List[Camp Name],0)-1,0,1,1),"")</f>
        <v>MMR012CMP042</v>
      </c>
      <c r="F26" s="341" t="s">
        <v>739</v>
      </c>
      <c r="G26" s="341"/>
      <c r="H26" s="263">
        <v>1</v>
      </c>
      <c r="I26" s="262" t="s">
        <v>771</v>
      </c>
      <c r="J26" s="345"/>
      <c r="K26" s="159"/>
      <c r="L26" s="264"/>
      <c r="M26" s="264"/>
      <c r="N26" s="264"/>
    </row>
    <row r="27" spans="1:17" ht="16.5" customHeight="1" x14ac:dyDescent="0.25">
      <c r="A27" s="337" t="s">
        <v>740</v>
      </c>
      <c r="B27" s="337" t="s">
        <v>7</v>
      </c>
      <c r="C27" s="337" t="s">
        <v>19</v>
      </c>
      <c r="D27" s="339" t="s">
        <v>628</v>
      </c>
      <c r="E27" s="338" t="str">
        <f ca="1">IFERROR(OFFSET(Camp_List[P_Code],MATCH(Data_Infrastructure[[#This Row],[Camp]],Camp_List[Camp Name],0)-1,0,1,1),"")</f>
        <v>MMR012CMP092</v>
      </c>
      <c r="F27" s="341" t="s">
        <v>738</v>
      </c>
      <c r="G27" s="341"/>
      <c r="H27" s="263">
        <v>1</v>
      </c>
      <c r="I27" s="262" t="s">
        <v>771</v>
      </c>
      <c r="J27" s="261" t="s">
        <v>741</v>
      </c>
      <c r="K27" s="159"/>
      <c r="L27" s="264"/>
      <c r="M27" s="264"/>
      <c r="N27" s="264"/>
    </row>
    <row r="28" spans="1:17" ht="16.5" customHeight="1" x14ac:dyDescent="0.25">
      <c r="A28" s="337" t="s">
        <v>740</v>
      </c>
      <c r="B28" s="337" t="s">
        <v>7</v>
      </c>
      <c r="C28" s="337" t="s">
        <v>19</v>
      </c>
      <c r="D28" s="339" t="s">
        <v>628</v>
      </c>
      <c r="E28" s="338" t="str">
        <f ca="1">IFERROR(OFFSET(Camp_List[P_Code],MATCH(Data_Infrastructure[[#This Row],[Camp]],Camp_List[Camp Name],0)-1,0,1,1),"")</f>
        <v>MMR012CMP092</v>
      </c>
      <c r="F28" s="341" t="s">
        <v>736</v>
      </c>
      <c r="G28" s="341"/>
      <c r="H28" s="263">
        <v>1</v>
      </c>
      <c r="I28" s="262" t="s">
        <v>771</v>
      </c>
      <c r="J28" s="261" t="s">
        <v>741</v>
      </c>
      <c r="K28" s="159"/>
      <c r="L28" s="264"/>
      <c r="M28" s="264"/>
      <c r="N28" s="264"/>
    </row>
    <row r="29" spans="1:17" ht="16.5" customHeight="1" x14ac:dyDescent="0.25">
      <c r="A29" s="337" t="s">
        <v>740</v>
      </c>
      <c r="B29" s="337" t="s">
        <v>7</v>
      </c>
      <c r="C29" s="337" t="s">
        <v>19</v>
      </c>
      <c r="D29" s="339" t="s">
        <v>628</v>
      </c>
      <c r="E29" s="338" t="str">
        <f ca="1">IFERROR(OFFSET(Camp_List[P_Code],MATCH(Data_Infrastructure[[#This Row],[Camp]],Camp_List[Camp Name],0)-1,0,1,1),"")</f>
        <v>MMR012CMP092</v>
      </c>
      <c r="F29" s="341" t="s">
        <v>737</v>
      </c>
      <c r="G29" s="341"/>
      <c r="H29" s="263">
        <v>1</v>
      </c>
      <c r="I29" s="262" t="s">
        <v>771</v>
      </c>
      <c r="J29" s="261" t="s">
        <v>741</v>
      </c>
      <c r="K29" s="159"/>
      <c r="L29" s="264"/>
      <c r="M29" s="264"/>
      <c r="N29" s="264"/>
    </row>
    <row r="30" spans="1:17" ht="16.5" customHeight="1" x14ac:dyDescent="0.25">
      <c r="A30" s="337" t="s">
        <v>735</v>
      </c>
      <c r="B30" s="337" t="s">
        <v>7</v>
      </c>
      <c r="C30" s="337" t="s">
        <v>19</v>
      </c>
      <c r="D30" s="339" t="s">
        <v>633</v>
      </c>
      <c r="E30" s="338" t="str">
        <f ca="1">IFERROR(OFFSET(Camp_List[P_Code],MATCH(Data_Infrastructure[[#This Row],[Camp]],Camp_List[Camp Name],0)-1,0,1,1),"")</f>
        <v>MMR012CMP098</v>
      </c>
      <c r="F30" s="341" t="s">
        <v>739</v>
      </c>
      <c r="G30" s="341"/>
      <c r="H30" s="263">
        <v>1</v>
      </c>
      <c r="I30" s="265" t="s">
        <v>771</v>
      </c>
      <c r="J30" s="345"/>
      <c r="K30" s="159"/>
      <c r="L30" s="264"/>
      <c r="M30" s="264"/>
    </row>
    <row r="31" spans="1:17" ht="16.5" customHeight="1" x14ac:dyDescent="0.25">
      <c r="A31" s="337" t="s">
        <v>735</v>
      </c>
      <c r="B31" s="337" t="s">
        <v>7</v>
      </c>
      <c r="C31" s="337" t="s">
        <v>19</v>
      </c>
      <c r="D31" s="339" t="s">
        <v>634</v>
      </c>
      <c r="E31" s="338" t="str">
        <f ca="1">IFERROR(OFFSET(Camp_List[P_Code],MATCH(Data_Infrastructure[[#This Row],[Camp]],Camp_List[Camp Name],0)-1,0,1,1),"")</f>
        <v>MMR012CMP115</v>
      </c>
      <c r="F31" s="341" t="s">
        <v>738</v>
      </c>
      <c r="G31" s="341" t="s">
        <v>749</v>
      </c>
      <c r="H31" s="263">
        <v>2</v>
      </c>
      <c r="I31" s="262" t="s">
        <v>771</v>
      </c>
      <c r="J31" s="345"/>
      <c r="K31" s="159"/>
      <c r="L31" s="264"/>
      <c r="M31" s="264"/>
    </row>
    <row r="32" spans="1:17" ht="16.5" customHeight="1" x14ac:dyDescent="0.25">
      <c r="A32" s="337" t="s">
        <v>735</v>
      </c>
      <c r="B32" s="337" t="s">
        <v>7</v>
      </c>
      <c r="C32" s="337" t="s">
        <v>19</v>
      </c>
      <c r="D32" s="339" t="s">
        <v>634</v>
      </c>
      <c r="E32" s="338" t="str">
        <f ca="1">IFERROR(OFFSET(Camp_List[P_Code],MATCH(Data_Infrastructure[[#This Row],[Camp]],Camp_List[Camp Name],0)-1,0,1,1),"")</f>
        <v>MMR012CMP115</v>
      </c>
      <c r="F32" s="341" t="s">
        <v>736</v>
      </c>
      <c r="G32" s="341"/>
      <c r="H32" s="263">
        <v>1</v>
      </c>
      <c r="I32" s="262" t="s">
        <v>771</v>
      </c>
      <c r="J32" s="345"/>
      <c r="K32" s="159"/>
      <c r="L32" s="264"/>
      <c r="M32" s="264"/>
    </row>
    <row r="33" spans="1:13" ht="16.5" customHeight="1" x14ac:dyDescent="0.2">
      <c r="A33" s="337" t="s">
        <v>735</v>
      </c>
      <c r="B33" s="337" t="s">
        <v>7</v>
      </c>
      <c r="C33" s="337" t="s">
        <v>19</v>
      </c>
      <c r="D33" s="339" t="s">
        <v>635</v>
      </c>
      <c r="E33" s="338" t="str">
        <f ca="1">IFERROR(OFFSET(Camp_List[P_Code],MATCH(Data_Infrastructure[[#This Row],[Camp]],Camp_List[Camp Name],0)-1,0,1,1),"")</f>
        <v>MMR012CMP116</v>
      </c>
      <c r="F33" s="341" t="s">
        <v>737</v>
      </c>
      <c r="G33" s="341"/>
      <c r="H33" s="263">
        <v>1</v>
      </c>
      <c r="I33" s="262" t="s">
        <v>771</v>
      </c>
      <c r="J33" s="345"/>
      <c r="K33" s="159"/>
      <c r="L33" s="159"/>
      <c r="M33" s="159"/>
    </row>
    <row r="34" spans="1:13" ht="16.5" customHeight="1" x14ac:dyDescent="0.2">
      <c r="A34" s="337" t="s">
        <v>735</v>
      </c>
      <c r="B34" s="337" t="s">
        <v>7</v>
      </c>
      <c r="C34" s="337" t="s">
        <v>19</v>
      </c>
      <c r="D34" s="339" t="s">
        <v>635</v>
      </c>
      <c r="E34" s="338" t="str">
        <f ca="1">IFERROR(OFFSET(Camp_List[P_Code],MATCH(Data_Infrastructure[[#This Row],[Camp]],Camp_List[Camp Name],0)-1,0,1,1),"")</f>
        <v>MMR012CMP116</v>
      </c>
      <c r="F34" s="341" t="s">
        <v>738</v>
      </c>
      <c r="G34" s="341"/>
      <c r="H34" s="263">
        <v>1</v>
      </c>
      <c r="I34" s="262" t="s">
        <v>771</v>
      </c>
      <c r="J34" s="345"/>
      <c r="K34" s="159"/>
      <c r="L34" s="159"/>
      <c r="M34" s="159"/>
    </row>
    <row r="35" spans="1:13" ht="16.5" customHeight="1" x14ac:dyDescent="0.2">
      <c r="A35" s="337" t="s">
        <v>735</v>
      </c>
      <c r="B35" s="337" t="s">
        <v>7</v>
      </c>
      <c r="C35" s="337" t="s">
        <v>19</v>
      </c>
      <c r="D35" s="339" t="s">
        <v>635</v>
      </c>
      <c r="E35" s="338" t="str">
        <f ca="1">IFERROR(OFFSET(Camp_List[P_Code],MATCH(Data_Infrastructure[[#This Row],[Camp]],Camp_List[Camp Name],0)-1,0,1,1),"")</f>
        <v>MMR012CMP116</v>
      </c>
      <c r="F35" s="341" t="s">
        <v>736</v>
      </c>
      <c r="G35" s="341" t="s">
        <v>750</v>
      </c>
      <c r="H35" s="263">
        <v>4</v>
      </c>
      <c r="I35" s="262" t="s">
        <v>771</v>
      </c>
      <c r="J35" s="345"/>
      <c r="K35" s="159"/>
      <c r="L35" s="159"/>
      <c r="M35" s="159"/>
    </row>
    <row r="36" spans="1:13" ht="16.5" customHeight="1" x14ac:dyDescent="0.2">
      <c r="A36" s="337" t="s">
        <v>735</v>
      </c>
      <c r="B36" s="337" t="s">
        <v>7</v>
      </c>
      <c r="C36" s="337" t="s">
        <v>19</v>
      </c>
      <c r="D36" s="339" t="s">
        <v>635</v>
      </c>
      <c r="E36" s="338" t="str">
        <f ca="1">IFERROR(OFFSET(Camp_List[P_Code],MATCH(Data_Infrastructure[[#This Row],[Camp]],Camp_List[Camp Name],0)-1,0,1,1),"")</f>
        <v>MMR012CMP116</v>
      </c>
      <c r="F36" s="341" t="s">
        <v>739</v>
      </c>
      <c r="G36" s="341" t="s">
        <v>751</v>
      </c>
      <c r="H36" s="263">
        <v>3</v>
      </c>
      <c r="I36" s="262" t="s">
        <v>771</v>
      </c>
      <c r="J36" s="345"/>
    </row>
    <row r="37" spans="1:13" ht="16.5" customHeight="1" x14ac:dyDescent="0.2">
      <c r="A37" s="337" t="s">
        <v>742</v>
      </c>
      <c r="B37" s="337" t="s">
        <v>7</v>
      </c>
      <c r="C37" s="337" t="s">
        <v>19</v>
      </c>
      <c r="D37" s="339" t="s">
        <v>638</v>
      </c>
      <c r="E37" s="338" t="str">
        <f ca="1">IFERROR(OFFSET(Camp_List[P_Code],MATCH(Data_Infrastructure[[#This Row],[Camp]],Camp_List[Camp Name],0)-1,0,1,1),"")</f>
        <v>MMR012CMP111</v>
      </c>
      <c r="F37" s="341" t="s">
        <v>737</v>
      </c>
      <c r="G37" s="341"/>
      <c r="H37" s="260">
        <v>1</v>
      </c>
      <c r="I37" s="262" t="s">
        <v>771</v>
      </c>
      <c r="J37" s="344"/>
    </row>
    <row r="38" spans="1:13" ht="16.5" customHeight="1" x14ac:dyDescent="0.2">
      <c r="A38" s="337" t="s">
        <v>742</v>
      </c>
      <c r="B38" s="337" t="s">
        <v>7</v>
      </c>
      <c r="C38" s="337" t="s">
        <v>19</v>
      </c>
      <c r="D38" s="339" t="s">
        <v>638</v>
      </c>
      <c r="E38" s="338" t="str">
        <f ca="1">IFERROR(OFFSET(Camp_List[P_Code],MATCH(Data_Infrastructure[[#This Row],[Camp]],Camp_List[Camp Name],0)-1,0,1,1),"")</f>
        <v>MMR012CMP111</v>
      </c>
      <c r="F38" s="341" t="s">
        <v>738</v>
      </c>
      <c r="G38" s="341"/>
      <c r="H38" s="260">
        <v>1</v>
      </c>
      <c r="I38" s="262" t="s">
        <v>771</v>
      </c>
      <c r="J38" s="344"/>
    </row>
    <row r="39" spans="1:13" ht="16.5" customHeight="1" x14ac:dyDescent="0.2">
      <c r="A39" s="337" t="s">
        <v>742</v>
      </c>
      <c r="B39" s="337" t="s">
        <v>7</v>
      </c>
      <c r="C39" s="337" t="s">
        <v>19</v>
      </c>
      <c r="D39" s="339" t="s">
        <v>638</v>
      </c>
      <c r="E39" s="338" t="str">
        <f ca="1">IFERROR(OFFSET(Camp_List[P_Code],MATCH(Data_Infrastructure[[#This Row],[Camp]],Camp_List[Camp Name],0)-1,0,1,1),"")</f>
        <v>MMR012CMP111</v>
      </c>
      <c r="F39" s="341" t="s">
        <v>739</v>
      </c>
      <c r="G39" s="341"/>
      <c r="H39" s="260">
        <v>1</v>
      </c>
      <c r="I39" s="262" t="s">
        <v>771</v>
      </c>
      <c r="J39" s="344"/>
    </row>
    <row r="40" spans="1:13" ht="16.5" customHeight="1" x14ac:dyDescent="0.2">
      <c r="A40" s="337" t="s">
        <v>742</v>
      </c>
      <c r="B40" s="337" t="s">
        <v>7</v>
      </c>
      <c r="C40" s="337" t="s">
        <v>19</v>
      </c>
      <c r="D40" s="339" t="s">
        <v>639</v>
      </c>
      <c r="E40" s="338" t="str">
        <f ca="1">IFERROR(OFFSET(Camp_List[P_Code],MATCH(Data_Infrastructure[[#This Row],[Camp]],Camp_List[Camp Name],0)-1,0,1,1),"")</f>
        <v>MMR012CMP112</v>
      </c>
      <c r="F40" s="341" t="s">
        <v>739</v>
      </c>
      <c r="G40" s="341"/>
      <c r="H40" s="260">
        <v>1</v>
      </c>
      <c r="I40" s="262" t="s">
        <v>771</v>
      </c>
      <c r="J40" s="344"/>
    </row>
    <row r="41" spans="1:13" ht="16.5" customHeight="1" x14ac:dyDescent="0.2">
      <c r="A41" s="337" t="s">
        <v>740</v>
      </c>
      <c r="B41" s="337" t="s">
        <v>7</v>
      </c>
      <c r="C41" s="337" t="s">
        <v>19</v>
      </c>
      <c r="D41" s="339" t="s">
        <v>67</v>
      </c>
      <c r="E41" s="338" t="str">
        <f ca="1">IFERROR(OFFSET(Camp_List[P_Code],MATCH(Data_Infrastructure[[#This Row],[Camp]],Camp_List[Camp Name],0)-1,0,1,1),"")</f>
        <v>MMR012CMP045</v>
      </c>
      <c r="F41" s="341" t="s">
        <v>738</v>
      </c>
      <c r="G41" s="341"/>
      <c r="H41" s="263">
        <v>1</v>
      </c>
      <c r="I41" s="262" t="s">
        <v>771</v>
      </c>
      <c r="J41" s="345" t="s">
        <v>752</v>
      </c>
    </row>
    <row r="42" spans="1:13" ht="16.5" customHeight="1" x14ac:dyDescent="0.2">
      <c r="A42" s="337" t="s">
        <v>740</v>
      </c>
      <c r="B42" s="337" t="s">
        <v>7</v>
      </c>
      <c r="C42" s="337" t="s">
        <v>19</v>
      </c>
      <c r="D42" s="339" t="s">
        <v>67</v>
      </c>
      <c r="E42" s="338" t="str">
        <f ca="1">IFERROR(OFFSET(Camp_List[P_Code],MATCH(Data_Infrastructure[[#This Row],[Camp]],Camp_List[Camp Name],0)-1,0,1,1),"")</f>
        <v>MMR012CMP045</v>
      </c>
      <c r="F42" s="341" t="s">
        <v>738</v>
      </c>
      <c r="G42" s="341"/>
      <c r="H42" s="263">
        <v>1</v>
      </c>
      <c r="I42" s="262" t="s">
        <v>771</v>
      </c>
      <c r="J42" s="345" t="s">
        <v>753</v>
      </c>
    </row>
    <row r="43" spans="1:13" ht="16.5" customHeight="1" x14ac:dyDescent="0.2">
      <c r="A43" s="337" t="s">
        <v>740</v>
      </c>
      <c r="B43" s="337" t="s">
        <v>7</v>
      </c>
      <c r="C43" s="337" t="s">
        <v>19</v>
      </c>
      <c r="D43" s="339" t="s">
        <v>70</v>
      </c>
      <c r="E43" s="338" t="str">
        <f ca="1">IFERROR(OFFSET(Camp_List[P_Code],MATCH(Data_Infrastructure[[#This Row],[Camp]],Camp_List[Camp Name],0)-1,0,1,1),"")</f>
        <v>MMR012CMP048</v>
      </c>
      <c r="F43" s="341" t="s">
        <v>737</v>
      </c>
      <c r="G43" s="341"/>
      <c r="H43" s="263">
        <v>1</v>
      </c>
      <c r="I43" s="262" t="s">
        <v>771</v>
      </c>
      <c r="J43" s="345"/>
    </row>
    <row r="44" spans="1:13" ht="16.5" customHeight="1" x14ac:dyDescent="0.2">
      <c r="A44" s="337" t="s">
        <v>740</v>
      </c>
      <c r="B44" s="337" t="s">
        <v>7</v>
      </c>
      <c r="C44" s="337" t="s">
        <v>19</v>
      </c>
      <c r="D44" s="339" t="s">
        <v>70</v>
      </c>
      <c r="E44" s="338" t="str">
        <f ca="1">IFERROR(OFFSET(Camp_List[P_Code],MATCH(Data_Infrastructure[[#This Row],[Camp]],Camp_List[Camp Name],0)-1,0,1,1),"")</f>
        <v>MMR012CMP048</v>
      </c>
      <c r="F44" s="341" t="s">
        <v>738</v>
      </c>
      <c r="G44" s="341" t="s">
        <v>748</v>
      </c>
      <c r="H44" s="263">
        <v>2</v>
      </c>
      <c r="I44" s="262" t="s">
        <v>771</v>
      </c>
      <c r="J44" s="345"/>
    </row>
    <row r="45" spans="1:13" ht="16.5" customHeight="1" x14ac:dyDescent="0.2">
      <c r="A45" s="337" t="s">
        <v>740</v>
      </c>
      <c r="B45" s="337" t="s">
        <v>7</v>
      </c>
      <c r="C45" s="337" t="s">
        <v>19</v>
      </c>
      <c r="D45" s="339" t="s">
        <v>70</v>
      </c>
      <c r="E45" s="338" t="str">
        <f ca="1">IFERROR(OFFSET(Camp_List[P_Code],MATCH(Data_Infrastructure[[#This Row],[Camp]],Camp_List[Camp Name],0)-1,0,1,1),"")</f>
        <v>MMR012CMP048</v>
      </c>
      <c r="F45" s="341" t="s">
        <v>736</v>
      </c>
      <c r="G45" s="341"/>
      <c r="H45" s="263">
        <v>1</v>
      </c>
      <c r="I45" s="262" t="s">
        <v>771</v>
      </c>
      <c r="J45" s="345"/>
    </row>
    <row r="46" spans="1:13" x14ac:dyDescent="0.2">
      <c r="A46" s="161"/>
      <c r="B46" s="161"/>
      <c r="C46" s="161"/>
      <c r="D46" s="162"/>
      <c r="E46" s="161"/>
      <c r="F46" s="161"/>
      <c r="G46" s="161"/>
      <c r="H46" s="160"/>
    </row>
    <row r="47" spans="1:13" x14ac:dyDescent="0.2">
      <c r="G47" s="158"/>
      <c r="H47" s="160"/>
    </row>
    <row r="48" spans="1:13" x14ac:dyDescent="0.2">
      <c r="G48" s="158"/>
      <c r="H48" s="160"/>
    </row>
    <row r="49" spans="1:8" x14ac:dyDescent="0.2">
      <c r="G49" s="158"/>
      <c r="H49" s="160"/>
    </row>
    <row r="50" spans="1:8" x14ac:dyDescent="0.2">
      <c r="G50" s="158"/>
      <c r="H50" s="160"/>
    </row>
    <row r="51" spans="1:8" x14ac:dyDescent="0.2">
      <c r="G51" s="158"/>
      <c r="H51" s="160"/>
    </row>
    <row r="52" spans="1:8" x14ac:dyDescent="0.2">
      <c r="G52" s="158"/>
      <c r="H52" s="160"/>
    </row>
    <row r="53" spans="1:8" x14ac:dyDescent="0.2">
      <c r="G53" s="158"/>
      <c r="H53" s="160"/>
    </row>
    <row r="54" spans="1:8" x14ac:dyDescent="0.2">
      <c r="A54" s="158"/>
      <c r="B54" s="158"/>
      <c r="C54" s="158"/>
      <c r="D54" s="158"/>
      <c r="G54" s="158"/>
      <c r="H54" s="160"/>
    </row>
    <row r="59" spans="1:8" ht="15" x14ac:dyDescent="0.25">
      <c r="A59" s="155"/>
      <c r="B59" s="155"/>
      <c r="C59" s="155"/>
      <c r="D59" s="155"/>
      <c r="E59"/>
      <c r="F59"/>
    </row>
    <row r="60" spans="1:8" ht="15" x14ac:dyDescent="0.25">
      <c r="A60" s="155"/>
      <c r="B60" s="155"/>
      <c r="C60" s="155"/>
      <c r="D60" s="155"/>
      <c r="E60"/>
      <c r="F60"/>
    </row>
    <row r="61" spans="1:8" ht="15" x14ac:dyDescent="0.25">
      <c r="A61" s="155"/>
      <c r="B61" s="155"/>
      <c r="C61" s="155"/>
      <c r="D61" s="155"/>
      <c r="E61"/>
      <c r="F61"/>
    </row>
    <row r="62" spans="1:8" ht="15" x14ac:dyDescent="0.25">
      <c r="A62" s="155"/>
      <c r="B62" s="155"/>
      <c r="C62" s="155"/>
      <c r="D62" s="155"/>
      <c r="E62"/>
      <c r="F62"/>
    </row>
    <row r="63" spans="1:8" ht="15" x14ac:dyDescent="0.25">
      <c r="A63" s="155"/>
      <c r="B63" s="155"/>
      <c r="C63" s="155"/>
      <c r="D63" s="155"/>
      <c r="E63"/>
      <c r="F63"/>
    </row>
    <row r="64" spans="1:8" ht="15" x14ac:dyDescent="0.25">
      <c r="A64" s="155"/>
      <c r="B64" s="155"/>
      <c r="C64" s="155"/>
      <c r="D64" s="155"/>
      <c r="E64"/>
      <c r="F64"/>
    </row>
    <row r="65" spans="1:6" ht="15" x14ac:dyDescent="0.25">
      <c r="A65" s="155"/>
      <c r="B65" s="155"/>
      <c r="C65" s="155"/>
      <c r="D65" s="155"/>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E46" sqref="E46"/>
    </sheetView>
  </sheetViews>
  <sheetFormatPr defaultRowHeight="15" x14ac:dyDescent="0.2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6.85546875"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x14ac:dyDescent="0.25">
      <c r="A1" s="186"/>
      <c r="B1" s="187"/>
      <c r="C1" s="187"/>
      <c r="D1" s="187"/>
      <c r="E1" s="187"/>
      <c r="F1" s="187"/>
      <c r="G1" s="187"/>
      <c r="H1" s="187"/>
      <c r="I1" s="187"/>
      <c r="J1" s="187"/>
      <c r="K1" s="187"/>
      <c r="L1" s="187"/>
      <c r="M1" s="187"/>
      <c r="N1" s="187"/>
      <c r="O1" s="187"/>
      <c r="P1" s="187"/>
      <c r="Q1" s="187"/>
      <c r="R1" s="203"/>
      <c r="S1" s="67"/>
      <c r="T1" s="59"/>
      <c r="U1" s="59"/>
      <c r="V1" s="59"/>
      <c r="W1" s="59"/>
      <c r="X1" s="59"/>
      <c r="BI1" s="68"/>
      <c r="BJ1" s="68"/>
    </row>
    <row r="2" spans="1:62" s="1" customFormat="1" ht="56.25" customHeight="1" x14ac:dyDescent="0.25">
      <c r="A2" s="1068" t="s">
        <v>222</v>
      </c>
      <c r="B2" s="1069"/>
      <c r="C2" s="1069"/>
      <c r="D2" s="205"/>
      <c r="E2" s="205"/>
      <c r="F2" s="205"/>
      <c r="G2" s="205"/>
      <c r="H2" s="205"/>
      <c r="I2" s="205"/>
      <c r="J2" s="205"/>
      <c r="K2" s="205"/>
      <c r="L2" s="205"/>
      <c r="M2" s="205"/>
      <c r="N2" s="205"/>
      <c r="O2" s="205"/>
      <c r="P2" s="205"/>
      <c r="Q2" s="205"/>
      <c r="R2" s="206"/>
      <c r="S2" s="67"/>
      <c r="T2" s="59"/>
      <c r="U2" s="59"/>
      <c r="V2" s="59"/>
      <c r="W2" s="59"/>
      <c r="X2" s="59"/>
      <c r="BI2" s="68"/>
      <c r="BJ2" s="68"/>
    </row>
    <row r="3" spans="1:62" s="19" customFormat="1" ht="18" customHeight="1" x14ac:dyDescent="0.25">
      <c r="A3" s="1070">
        <f>Report_Date</f>
        <v>42856</v>
      </c>
      <c r="B3" s="1071"/>
      <c r="C3" s="1071"/>
      <c r="D3" s="1071"/>
      <c r="E3" s="1071"/>
      <c r="F3" s="1071"/>
      <c r="G3" s="1071"/>
      <c r="H3" s="1071"/>
      <c r="I3" s="1071"/>
      <c r="J3" s="1071"/>
      <c r="K3" s="1071"/>
      <c r="L3" s="1071"/>
      <c r="M3" s="1071"/>
      <c r="N3" s="1071"/>
      <c r="O3" s="1071"/>
      <c r="P3" s="1071"/>
      <c r="Q3" s="1071"/>
      <c r="R3" s="1072"/>
      <c r="S3" s="54"/>
      <c r="T3" s="54"/>
      <c r="U3" s="54"/>
      <c r="V3" s="69"/>
      <c r="W3" s="54"/>
      <c r="X3" s="54"/>
      <c r="BI3" s="69"/>
      <c r="BJ3" s="69"/>
    </row>
    <row r="4" spans="1:62" s="19" customFormat="1" ht="36" x14ac:dyDescent="0.25">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x14ac:dyDescent="0.25">
      <c r="A5" s="94" t="s">
        <v>1</v>
      </c>
      <c r="B5" s="94" t="s">
        <v>223</v>
      </c>
      <c r="C5" s="94" t="s">
        <v>224</v>
      </c>
      <c r="D5" s="94" t="s">
        <v>226</v>
      </c>
      <c r="E5" s="94" t="s">
        <v>220</v>
      </c>
      <c r="F5" s="94" t="s">
        <v>221</v>
      </c>
      <c r="G5" s="94" t="s">
        <v>219</v>
      </c>
      <c r="H5" s="94" t="s">
        <v>998</v>
      </c>
      <c r="I5" s="94" t="s">
        <v>999</v>
      </c>
      <c r="J5" s="94" t="s">
        <v>1000</v>
      </c>
      <c r="K5" s="471" t="s">
        <v>919</v>
      </c>
      <c r="L5" s="471" t="s">
        <v>920</v>
      </c>
      <c r="M5" s="471" t="s">
        <v>921</v>
      </c>
      <c r="N5" s="94" t="s">
        <v>227</v>
      </c>
      <c r="O5" s="94" t="s">
        <v>225</v>
      </c>
      <c r="P5" s="17" t="s">
        <v>521</v>
      </c>
      <c r="Q5" s="17" t="s">
        <v>520</v>
      </c>
      <c r="R5" s="17" t="s">
        <v>522</v>
      </c>
      <c r="S5" s="59"/>
    </row>
    <row r="6" spans="1:62" x14ac:dyDescent="0.25">
      <c r="A6" s="29" t="s">
        <v>607</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2">
        <f t="shared" ref="K6:K15" si="6">SUMIF(Col_Shelter_Township,$A6,Col_Shelter_Individual_B)</f>
        <v>0</v>
      </c>
      <c r="L6" s="472">
        <f t="shared" ref="L6:L15" si="7">SUMIF(Col_Shelter_Township,$A6,Col_Shelter_Individual_U)</f>
        <v>0</v>
      </c>
      <c r="M6" s="472">
        <f t="shared" ref="M6:M15" si="8">SUMIF(Col_Shelter_Township,$A6,Col_Shelter_Individual_P)</f>
        <v>0</v>
      </c>
      <c r="N6" s="62">
        <f ca="1">SUMIF(Col_Shelter_Township,$A6,Shelter_HH_Covered)</f>
        <v>480</v>
      </c>
      <c r="O6" s="226">
        <f ca="1">N6*S6</f>
        <v>1561.9512195121952</v>
      </c>
      <c r="P6" s="227">
        <f ca="1">B6-N6</f>
        <v>12</v>
      </c>
      <c r="Q6" s="228">
        <f ca="1">IF(N6/B6&gt;1,1,N6/B6)</f>
        <v>0.97560975609756095</v>
      </c>
      <c r="R6" s="227">
        <f ca="1">MAX(0,C6-O6)</f>
        <v>39.048780487804834</v>
      </c>
      <c r="S6" s="38">
        <f>C6/B6</f>
        <v>3.2540650406504064</v>
      </c>
      <c r="T6" s="789"/>
    </row>
    <row r="7" spans="1:62" x14ac:dyDescent="0.25">
      <c r="A7" s="29" t="s">
        <v>15</v>
      </c>
      <c r="B7" s="36">
        <f>SUMIF(Camplist_Township,'Shelter Progress'!$A7,Camplist_HH)</f>
        <v>1001</v>
      </c>
      <c r="C7" s="36">
        <f>SUMIF(Camplist_Township,'Shelter Progress'!$A7,Camplist_Popl)</f>
        <v>6527</v>
      </c>
      <c r="D7" s="62">
        <f>SUMIF(Col_Shelter_Township,$A7,Col_Shelter_Tent_Dist)</f>
        <v>17</v>
      </c>
      <c r="E7" s="62">
        <f t="shared" si="1"/>
        <v>111</v>
      </c>
      <c r="F7" s="62">
        <f t="shared" si="2"/>
        <v>0</v>
      </c>
      <c r="G7" s="62">
        <f t="shared" si="3"/>
        <v>111</v>
      </c>
      <c r="H7" s="62">
        <f t="shared" ref="H7:H15" si="9">SUMIF(Col_Shelter_Township,$A7,Col_Shelter_Perm_B)</f>
        <v>0</v>
      </c>
      <c r="I7" s="62">
        <f t="shared" si="4"/>
        <v>0</v>
      </c>
      <c r="J7" s="62">
        <f t="shared" si="5"/>
        <v>0</v>
      </c>
      <c r="K7" s="472">
        <f t="shared" si="6"/>
        <v>168</v>
      </c>
      <c r="L7" s="472">
        <f t="shared" si="7"/>
        <v>757</v>
      </c>
      <c r="M7" s="472">
        <f t="shared" si="8"/>
        <v>913</v>
      </c>
      <c r="N7" s="62">
        <f ca="1">SUMIF(Col_Shelter_Township,$A7,Shelter_HH_Covered)</f>
        <v>72</v>
      </c>
      <c r="O7" s="226">
        <f t="shared" ref="O7:O15" ca="1" si="10">N7*S7</f>
        <v>469.47452547452548</v>
      </c>
      <c r="P7" s="227">
        <f ca="1">B7-N7</f>
        <v>929</v>
      </c>
      <c r="Q7" s="228">
        <f t="shared" ref="Q7:Q15" ca="1" si="11">IF(N7/B7&gt;1,1,N7/B7)</f>
        <v>7.1928071928071935E-2</v>
      </c>
      <c r="R7" s="227">
        <f t="shared" ref="R7:R15" ca="1" si="12">MAX(0,C7-O7)</f>
        <v>6057.5254745254742</v>
      </c>
      <c r="S7" s="38">
        <f>C7/B7</f>
        <v>6.5204795204795207</v>
      </c>
      <c r="T7" s="789"/>
      <c r="U7" s="50"/>
    </row>
    <row r="8" spans="1:62" x14ac:dyDescent="0.25">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2">
        <f t="shared" si="6"/>
        <v>0</v>
      </c>
      <c r="L8" s="472">
        <f t="shared" si="7"/>
        <v>0</v>
      </c>
      <c r="M8" s="472">
        <f t="shared" si="8"/>
        <v>0</v>
      </c>
      <c r="N8" s="62">
        <f ca="1">SUMIF(Col_Shelter_Township,$A8,Shelter_HH_Covered)</f>
        <v>0</v>
      </c>
      <c r="O8" s="226">
        <f t="shared" ca="1" si="10"/>
        <v>0</v>
      </c>
      <c r="P8" s="227">
        <f t="shared" ref="P8:P15" ca="1" si="13">B8-N8</f>
        <v>201</v>
      </c>
      <c r="Q8" s="228">
        <f t="shared" ca="1" si="11"/>
        <v>0</v>
      </c>
      <c r="R8" s="227">
        <f t="shared" ca="1" si="12"/>
        <v>1257</v>
      </c>
      <c r="S8" s="38">
        <f t="shared" ref="S8:S16" si="14">C8/B8</f>
        <v>6.2537313432835822</v>
      </c>
      <c r="U8" s="50"/>
    </row>
    <row r="9" spans="1:62" x14ac:dyDescent="0.25">
      <c r="A9" s="195" t="s">
        <v>866</v>
      </c>
      <c r="B9" s="36">
        <f>SUMIF(Camplist_Township,'Shelter Progress'!$A9,Camplist_HH)</f>
        <v>740</v>
      </c>
      <c r="C9" s="36">
        <f>SUMIF(Camplist_Township,'Shelter Progress'!$A9,Camplist_Popl)</f>
        <v>2860</v>
      </c>
      <c r="D9" s="62">
        <f t="shared" si="0"/>
        <v>0</v>
      </c>
      <c r="E9" s="62">
        <f t="shared" si="1"/>
        <v>95</v>
      </c>
      <c r="F9" s="62">
        <f t="shared" si="2"/>
        <v>0</v>
      </c>
      <c r="G9" s="62">
        <f t="shared" si="3"/>
        <v>95</v>
      </c>
      <c r="H9" s="62">
        <f t="shared" si="9"/>
        <v>0</v>
      </c>
      <c r="I9" s="62">
        <f t="shared" si="4"/>
        <v>0</v>
      </c>
      <c r="J9" s="62">
        <f t="shared" si="5"/>
        <v>42</v>
      </c>
      <c r="K9" s="472">
        <f t="shared" si="6"/>
        <v>0</v>
      </c>
      <c r="L9" s="472">
        <f t="shared" si="7"/>
        <v>0</v>
      </c>
      <c r="M9" s="472">
        <f t="shared" si="8"/>
        <v>0</v>
      </c>
      <c r="N9" s="62">
        <f t="shared" ref="N9:N14" ca="1" si="15">SUMIF(Col_Shelter_Township,$A9,Shelter_HH_Covered)</f>
        <v>712</v>
      </c>
      <c r="O9" s="226">
        <f t="shared" ca="1" si="10"/>
        <v>2751.7837837837837</v>
      </c>
      <c r="P9" s="227">
        <f t="shared" ca="1" si="13"/>
        <v>28</v>
      </c>
      <c r="Q9" s="228">
        <f t="shared" ca="1" si="11"/>
        <v>0.96216216216216222</v>
      </c>
      <c r="R9" s="227">
        <f ca="1">MAX(0,C9-O9)</f>
        <v>108.21621621621625</v>
      </c>
      <c r="S9" s="38">
        <f t="shared" si="14"/>
        <v>3.8648648648648649</v>
      </c>
      <c r="U9" s="50"/>
    </row>
    <row r="10" spans="1:62" x14ac:dyDescent="0.25">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2">
        <f t="shared" si="6"/>
        <v>451</v>
      </c>
      <c r="L10" s="472">
        <f t="shared" si="7"/>
        <v>0</v>
      </c>
      <c r="M10" s="472">
        <f t="shared" si="8"/>
        <v>898</v>
      </c>
      <c r="N10" s="62">
        <f t="shared" ca="1" si="15"/>
        <v>0</v>
      </c>
      <c r="O10" s="226">
        <f t="shared" ca="1" si="10"/>
        <v>0</v>
      </c>
      <c r="P10" s="227">
        <f t="shared" ca="1" si="13"/>
        <v>911</v>
      </c>
      <c r="Q10" s="228">
        <f t="shared" ca="1" si="11"/>
        <v>0</v>
      </c>
      <c r="R10" s="227">
        <f t="shared" ca="1" si="12"/>
        <v>5638</v>
      </c>
      <c r="S10" s="38">
        <f t="shared" si="14"/>
        <v>6.1888035126234904</v>
      </c>
      <c r="U10" s="50"/>
    </row>
    <row r="11" spans="1:62" x14ac:dyDescent="0.25">
      <c r="A11" s="29" t="s">
        <v>1002</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2">
        <f t="shared" si="6"/>
        <v>284</v>
      </c>
      <c r="L11" s="472">
        <f t="shared" si="7"/>
        <v>0</v>
      </c>
      <c r="M11" s="472">
        <f t="shared" si="8"/>
        <v>569</v>
      </c>
      <c r="N11" s="62">
        <f t="shared" ca="1" si="15"/>
        <v>0</v>
      </c>
      <c r="O11" s="226">
        <f t="shared" ca="1" si="10"/>
        <v>0</v>
      </c>
      <c r="P11" s="227">
        <f t="shared" ca="1" si="13"/>
        <v>610</v>
      </c>
      <c r="Q11" s="228">
        <f t="shared" ca="1" si="11"/>
        <v>0</v>
      </c>
      <c r="R11" s="227">
        <f t="shared" ca="1" si="12"/>
        <v>3826</v>
      </c>
      <c r="S11" s="38">
        <f t="shared" si="14"/>
        <v>6.2721311475409838</v>
      </c>
      <c r="U11" s="50"/>
    </row>
    <row r="12" spans="1:62" x14ac:dyDescent="0.25">
      <c r="A12" s="195" t="s">
        <v>14</v>
      </c>
      <c r="B12" s="36">
        <f>SUMIF(Camplist_Township,'Shelter Progress'!$A12,Camplist_HH)</f>
        <v>4552</v>
      </c>
      <c r="C12" s="36">
        <f>SUMIF(Camplist_Township,'Shelter Progress'!$A12,Camplist_Popl)</f>
        <v>20395</v>
      </c>
      <c r="D12" s="62">
        <f t="shared" si="0"/>
        <v>110</v>
      </c>
      <c r="E12" s="62">
        <f t="shared" si="1"/>
        <v>481</v>
      </c>
      <c r="F12" s="62">
        <f t="shared" si="2"/>
        <v>0</v>
      </c>
      <c r="G12" s="62">
        <f t="shared" si="3"/>
        <v>481</v>
      </c>
      <c r="H12" s="62">
        <f t="shared" si="9"/>
        <v>21</v>
      </c>
      <c r="I12" s="62">
        <f t="shared" si="4"/>
        <v>0</v>
      </c>
      <c r="J12" s="62">
        <f t="shared" si="5"/>
        <v>21</v>
      </c>
      <c r="K12" s="472">
        <f t="shared" si="6"/>
        <v>772</v>
      </c>
      <c r="L12" s="472">
        <f t="shared" si="7"/>
        <v>248</v>
      </c>
      <c r="M12" s="472">
        <f t="shared" si="8"/>
        <v>2329</v>
      </c>
      <c r="N12" s="62">
        <f ca="1">SUMIF(Col_Shelter_Township,$A12,Shelter_HH_Covered)</f>
        <v>2584</v>
      </c>
      <c r="O12" s="226">
        <f t="shared" ca="1" si="10"/>
        <v>11577.478031634446</v>
      </c>
      <c r="P12" s="227">
        <f t="shared" ca="1" si="13"/>
        <v>1968</v>
      </c>
      <c r="Q12" s="228">
        <f t="shared" ca="1" si="11"/>
        <v>0.56766256590509667</v>
      </c>
      <c r="R12" s="227">
        <f t="shared" ca="1" si="12"/>
        <v>8817.5219683655541</v>
      </c>
      <c r="S12" s="38">
        <f t="shared" si="14"/>
        <v>4.4804481546572932</v>
      </c>
      <c r="U12" s="50"/>
    </row>
    <row r="13" spans="1:62" x14ac:dyDescent="0.25">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2">
        <f t="shared" si="6"/>
        <v>0</v>
      </c>
      <c r="L13" s="472">
        <f t="shared" si="7"/>
        <v>0</v>
      </c>
      <c r="M13" s="472">
        <f t="shared" si="8"/>
        <v>0</v>
      </c>
      <c r="N13" s="62">
        <f t="shared" ca="1" si="15"/>
        <v>96</v>
      </c>
      <c r="O13" s="226">
        <f t="shared" ca="1" si="10"/>
        <v>337.92</v>
      </c>
      <c r="P13" s="227">
        <f t="shared" ca="1" si="13"/>
        <v>-21</v>
      </c>
      <c r="Q13" s="228">
        <f t="shared" ca="1" si="11"/>
        <v>1</v>
      </c>
      <c r="R13" s="227">
        <f t="shared" ca="1" si="12"/>
        <v>0</v>
      </c>
      <c r="S13" s="38">
        <f t="shared" si="14"/>
        <v>3.52</v>
      </c>
      <c r="U13" s="50"/>
    </row>
    <row r="14" spans="1:62" x14ac:dyDescent="0.25">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2">
        <f t="shared" si="6"/>
        <v>88</v>
      </c>
      <c r="L14" s="472">
        <f t="shared" si="7"/>
        <v>0</v>
      </c>
      <c r="M14" s="472">
        <f t="shared" si="8"/>
        <v>88</v>
      </c>
      <c r="N14" s="62">
        <f t="shared" ca="1" si="15"/>
        <v>424</v>
      </c>
      <c r="O14" s="226">
        <f t="shared" ca="1" si="10"/>
        <v>2301.6331994645248</v>
      </c>
      <c r="P14" s="227">
        <f t="shared" ca="1" si="13"/>
        <v>323</v>
      </c>
      <c r="Q14" s="228">
        <f t="shared" ca="1" si="11"/>
        <v>0.56760374832663985</v>
      </c>
      <c r="R14" s="227">
        <f t="shared" ca="1" si="12"/>
        <v>1753.3668005354752</v>
      </c>
      <c r="S14" s="38">
        <f t="shared" si="14"/>
        <v>5.428380187416332</v>
      </c>
      <c r="U14" s="50"/>
    </row>
    <row r="15" spans="1:62" x14ac:dyDescent="0.25">
      <c r="A15" s="29" t="s">
        <v>19</v>
      </c>
      <c r="B15" s="36">
        <f>SUMIF(Camplist_Township,'Shelter Progress'!$A15,Camplist_HH)</f>
        <v>18710</v>
      </c>
      <c r="C15" s="36">
        <f>SUMIF(Camplist_Township,'Shelter Progress'!$A15,Camplist_Popl)</f>
        <v>99482</v>
      </c>
      <c r="D15" s="62">
        <f t="shared" si="0"/>
        <v>0</v>
      </c>
      <c r="E15" s="62">
        <f t="shared" si="1"/>
        <v>1860</v>
      </c>
      <c r="F15" s="62">
        <f t="shared" si="2"/>
        <v>0</v>
      </c>
      <c r="G15" s="62">
        <f t="shared" si="3"/>
        <v>1860</v>
      </c>
      <c r="H15" s="62">
        <f t="shared" si="9"/>
        <v>741</v>
      </c>
      <c r="I15" s="62">
        <f t="shared" si="4"/>
        <v>0</v>
      </c>
      <c r="J15" s="62">
        <f t="shared" si="5"/>
        <v>741</v>
      </c>
      <c r="K15" s="472">
        <f t="shared" si="6"/>
        <v>0</v>
      </c>
      <c r="L15" s="472">
        <f t="shared" si="7"/>
        <v>0</v>
      </c>
      <c r="M15" s="472">
        <f t="shared" si="8"/>
        <v>151</v>
      </c>
      <c r="N15" s="62">
        <f ca="1">SUMIF(Col_Shelter_Township,$A15,Shelter_HH_Covered)</f>
        <v>14928</v>
      </c>
      <c r="O15" s="226">
        <f t="shared" ca="1" si="10"/>
        <v>79372.918011758418</v>
      </c>
      <c r="P15" s="227">
        <f t="shared" ca="1" si="13"/>
        <v>3782</v>
      </c>
      <c r="Q15" s="228">
        <f t="shared" ca="1" si="11"/>
        <v>0.79786210582576167</v>
      </c>
      <c r="R15" s="227">
        <f t="shared" ca="1" si="12"/>
        <v>20109.081988241582</v>
      </c>
      <c r="S15" s="117">
        <f t="shared" si="14"/>
        <v>5.3170497060395512</v>
      </c>
      <c r="U15" s="50"/>
    </row>
    <row r="16" spans="1:62" x14ac:dyDescent="0.25">
      <c r="A16" s="13" t="s">
        <v>5</v>
      </c>
      <c r="B16" s="63">
        <f t="shared" ref="B16:P16" si="16">SUM(B6:B15)</f>
        <v>28039</v>
      </c>
      <c r="C16" s="63">
        <f t="shared" si="16"/>
        <v>145905</v>
      </c>
      <c r="D16" s="63">
        <f t="shared" si="16"/>
        <v>127</v>
      </c>
      <c r="E16" s="63">
        <f t="shared" si="16"/>
        <v>2839</v>
      </c>
      <c r="F16" s="63">
        <f t="shared" si="16"/>
        <v>0</v>
      </c>
      <c r="G16" s="63">
        <f t="shared" si="16"/>
        <v>2839</v>
      </c>
      <c r="H16" s="63">
        <f t="shared" si="16"/>
        <v>1380</v>
      </c>
      <c r="I16" s="63">
        <f t="shared" si="16"/>
        <v>0</v>
      </c>
      <c r="J16" s="63">
        <f t="shared" si="16"/>
        <v>1584</v>
      </c>
      <c r="K16" s="473">
        <f>SUM(K6:K15)</f>
        <v>1763</v>
      </c>
      <c r="L16" s="473">
        <f t="shared" si="16"/>
        <v>1005</v>
      </c>
      <c r="M16" s="473">
        <f t="shared" si="16"/>
        <v>4948</v>
      </c>
      <c r="N16" s="63">
        <f t="shared" ca="1" si="16"/>
        <v>19296</v>
      </c>
      <c r="O16" s="63">
        <f t="shared" ca="1" si="16"/>
        <v>98373.158771627888</v>
      </c>
      <c r="P16" s="64">
        <f t="shared" ca="1" si="16"/>
        <v>8743</v>
      </c>
      <c r="Q16" s="61">
        <f ca="1">N16/B16</f>
        <v>0.68818431470451868</v>
      </c>
      <c r="R16" s="64">
        <f ca="1">SUM(R6:R15)</f>
        <v>47605.76122837211</v>
      </c>
      <c r="S16" s="38">
        <f t="shared" si="14"/>
        <v>5.2036449231427655</v>
      </c>
    </row>
    <row r="17" spans="19:19" x14ac:dyDescent="0.25">
      <c r="S17" s="38"/>
    </row>
    <row r="35" spans="1:18" s="59" customFormat="1" x14ac:dyDescent="0.25">
      <c r="A35"/>
      <c r="B35"/>
      <c r="C35"/>
      <c r="D35"/>
      <c r="E35"/>
      <c r="F35"/>
      <c r="G35"/>
      <c r="H35"/>
      <c r="I35"/>
      <c r="J35"/>
      <c r="K35" s="90"/>
      <c r="L35" s="90"/>
      <c r="M35" s="90"/>
      <c r="N35"/>
      <c r="O35"/>
      <c r="P35"/>
      <c r="Q35"/>
    </row>
    <row r="36" spans="1:18" x14ac:dyDescent="0.25">
      <c r="A36" s="59"/>
      <c r="B36" s="59"/>
      <c r="C36" s="59"/>
      <c r="D36" s="59"/>
      <c r="E36" s="59"/>
      <c r="F36" s="59"/>
      <c r="G36" s="59"/>
      <c r="H36" s="59"/>
      <c r="I36" s="59"/>
      <c r="J36" s="59"/>
      <c r="N36" s="59"/>
      <c r="O36" s="59"/>
      <c r="P36" s="59"/>
      <c r="Q36" s="59"/>
    </row>
    <row r="39" spans="1:18" x14ac:dyDescent="0.25">
      <c r="A39" s="199" t="s">
        <v>10</v>
      </c>
      <c r="B39" s="790" t="s">
        <v>7</v>
      </c>
      <c r="H39" s="199" t="s">
        <v>10</v>
      </c>
      <c r="I39" s="196" t="s">
        <v>7</v>
      </c>
      <c r="J39" s="59"/>
      <c r="R39"/>
    </row>
    <row r="40" spans="1:18" x14ac:dyDescent="0.25">
      <c r="H40" s="59"/>
      <c r="I40" s="59"/>
      <c r="J40" s="59"/>
      <c r="R40"/>
    </row>
    <row r="41" spans="1:18" x14ac:dyDescent="0.25">
      <c r="A41" s="199" t="s">
        <v>212</v>
      </c>
      <c r="B41" s="196" t="s">
        <v>804</v>
      </c>
      <c r="R41"/>
    </row>
    <row r="42" spans="1:18" x14ac:dyDescent="0.25">
      <c r="A42" s="570" t="s">
        <v>293</v>
      </c>
      <c r="B42" s="116">
        <v>1309</v>
      </c>
      <c r="R42"/>
    </row>
    <row r="43" spans="1:18" x14ac:dyDescent="0.25">
      <c r="A43" s="520" t="s">
        <v>285</v>
      </c>
      <c r="B43" s="114">
        <v>647</v>
      </c>
      <c r="R43"/>
    </row>
    <row r="44" spans="1:18" x14ac:dyDescent="0.25">
      <c r="A44" s="520" t="s">
        <v>288</v>
      </c>
      <c r="B44" s="114">
        <v>229</v>
      </c>
      <c r="R44"/>
    </row>
    <row r="45" spans="1:18" x14ac:dyDescent="0.25">
      <c r="A45" s="520" t="s">
        <v>445</v>
      </c>
      <c r="B45" s="114">
        <v>224</v>
      </c>
      <c r="R45"/>
    </row>
    <row r="46" spans="1:18" x14ac:dyDescent="0.25">
      <c r="A46" s="520" t="s">
        <v>622</v>
      </c>
      <c r="B46" s="114">
        <v>201</v>
      </c>
      <c r="R46"/>
    </row>
    <row r="47" spans="1:18" x14ac:dyDescent="0.25">
      <c r="A47" s="520" t="s">
        <v>294</v>
      </c>
      <c r="B47" s="114">
        <v>60</v>
      </c>
      <c r="R47"/>
    </row>
    <row r="48" spans="1:18" x14ac:dyDescent="0.25">
      <c r="A48" s="520" t="s">
        <v>297</v>
      </c>
      <c r="B48" s="114">
        <v>40</v>
      </c>
      <c r="R48"/>
    </row>
    <row r="49" spans="1:18" x14ac:dyDescent="0.25">
      <c r="A49" s="520" t="s">
        <v>296</v>
      </c>
      <c r="B49" s="114">
        <v>40</v>
      </c>
      <c r="R49"/>
    </row>
    <row r="50" spans="1:18" x14ac:dyDescent="0.25">
      <c r="A50" s="520" t="s">
        <v>298</v>
      </c>
      <c r="B50" s="114">
        <v>38</v>
      </c>
      <c r="R50"/>
    </row>
    <row r="51" spans="1:18" x14ac:dyDescent="0.25">
      <c r="A51" s="520" t="s">
        <v>295</v>
      </c>
      <c r="B51" s="114">
        <v>32</v>
      </c>
      <c r="R51"/>
    </row>
    <row r="52" spans="1:18" x14ac:dyDescent="0.25">
      <c r="A52" s="520" t="s">
        <v>564</v>
      </c>
      <c r="B52" s="114">
        <v>19</v>
      </c>
      <c r="R52"/>
    </row>
    <row r="53" spans="1:18" x14ac:dyDescent="0.25">
      <c r="A53" s="570" t="s">
        <v>213</v>
      </c>
      <c r="B53" s="116">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A31" sqref="A31"/>
    </sheetView>
  </sheetViews>
  <sheetFormatPr defaultColWidth="9.140625" defaultRowHeight="15" x14ac:dyDescent="0.2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x14ac:dyDescent="0.25">
      <c r="A1" s="186"/>
      <c r="B1" s="187"/>
      <c r="C1" s="187"/>
      <c r="D1" s="187"/>
      <c r="E1" s="187"/>
      <c r="F1" s="203"/>
      <c r="BF1" s="68"/>
      <c r="BG1" s="68"/>
    </row>
    <row r="2" spans="1:59" s="1" customFormat="1" ht="67.5" customHeight="1" x14ac:dyDescent="0.25">
      <c r="A2" s="1011" t="s">
        <v>304</v>
      </c>
      <c r="B2" s="1012"/>
      <c r="C2" s="1012"/>
      <c r="D2" s="67"/>
      <c r="E2" s="67"/>
      <c r="F2" s="211"/>
      <c r="BF2" s="68"/>
      <c r="BG2" s="68"/>
    </row>
    <row r="3" spans="1:59" s="19" customFormat="1" ht="18" customHeight="1" x14ac:dyDescent="0.25">
      <c r="A3" s="1013">
        <f>Report_Date</f>
        <v>42856</v>
      </c>
      <c r="B3" s="1014"/>
      <c r="C3" s="1014"/>
      <c r="D3" s="1014"/>
      <c r="E3" s="1014"/>
      <c r="F3" s="1073"/>
      <c r="G3" s="54"/>
      <c r="H3" s="54"/>
      <c r="I3" s="54"/>
      <c r="J3" s="54"/>
      <c r="L3" s="54"/>
      <c r="M3" s="54"/>
      <c r="N3" s="54"/>
      <c r="O3" s="54"/>
      <c r="P3" s="54"/>
      <c r="Q3" s="54"/>
      <c r="R3" s="54"/>
      <c r="S3" s="69"/>
      <c r="T3" s="54"/>
      <c r="U3" s="54"/>
      <c r="BF3" s="69"/>
      <c r="BG3" s="69"/>
    </row>
    <row r="4" spans="1:59" ht="15" customHeight="1" x14ac:dyDescent="0.25"/>
    <row r="5" spans="1:59" x14ac:dyDescent="0.25">
      <c r="A5" s="199" t="s">
        <v>10</v>
      </c>
      <c r="B5" s="790" t="s">
        <v>7</v>
      </c>
      <c r="C5" s="6" t="s">
        <v>218</v>
      </c>
    </row>
    <row r="7" spans="1:59" x14ac:dyDescent="0.25">
      <c r="A7" s="199" t="s">
        <v>212</v>
      </c>
      <c r="B7" s="790" t="s">
        <v>1001</v>
      </c>
      <c r="C7"/>
      <c r="D7"/>
      <c r="E7"/>
      <c r="F7"/>
      <c r="G7"/>
      <c r="H7"/>
      <c r="I7"/>
    </row>
    <row r="8" spans="1:59" x14ac:dyDescent="0.25">
      <c r="A8" s="520" t="s">
        <v>445</v>
      </c>
      <c r="B8" s="114"/>
      <c r="C8"/>
      <c r="D8"/>
      <c r="E8"/>
      <c r="F8"/>
      <c r="G8"/>
      <c r="H8"/>
      <c r="I8"/>
    </row>
    <row r="9" spans="1:59" x14ac:dyDescent="0.25">
      <c r="A9" s="520" t="s">
        <v>288</v>
      </c>
      <c r="B9" s="114"/>
      <c r="C9"/>
      <c r="D9"/>
      <c r="E9"/>
      <c r="F9"/>
      <c r="G9"/>
      <c r="H9"/>
      <c r="I9"/>
    </row>
    <row r="10" spans="1:59" x14ac:dyDescent="0.25">
      <c r="A10" s="520" t="s">
        <v>293</v>
      </c>
      <c r="B10" s="114"/>
      <c r="C10"/>
      <c r="D10"/>
      <c r="E10"/>
      <c r="F10"/>
      <c r="G10"/>
      <c r="H10"/>
      <c r="I10"/>
    </row>
    <row r="11" spans="1:59" x14ac:dyDescent="0.25">
      <c r="A11" s="520" t="s">
        <v>564</v>
      </c>
      <c r="B11" s="114"/>
      <c r="C11"/>
      <c r="D11"/>
      <c r="E11"/>
      <c r="F11"/>
      <c r="G11"/>
      <c r="H11"/>
      <c r="I11"/>
    </row>
    <row r="12" spans="1:59" x14ac:dyDescent="0.25">
      <c r="A12" s="520" t="s">
        <v>297</v>
      </c>
      <c r="B12" s="114"/>
      <c r="C12"/>
      <c r="D12"/>
      <c r="E12"/>
      <c r="F12"/>
      <c r="G12"/>
      <c r="H12"/>
      <c r="I12"/>
    </row>
    <row r="13" spans="1:59" s="59" customFormat="1" x14ac:dyDescent="0.25">
      <c r="A13" s="520" t="s">
        <v>295</v>
      </c>
      <c r="B13" s="114"/>
      <c r="C13"/>
      <c r="D13"/>
      <c r="E13"/>
      <c r="F13"/>
    </row>
    <row r="14" spans="1:59" x14ac:dyDescent="0.25">
      <c r="A14" s="520" t="s">
        <v>294</v>
      </c>
      <c r="B14" s="114"/>
      <c r="C14"/>
      <c r="D14"/>
      <c r="E14"/>
      <c r="F14"/>
      <c r="G14"/>
      <c r="H14"/>
      <c r="I14"/>
    </row>
    <row r="15" spans="1:59" x14ac:dyDescent="0.25">
      <c r="A15" s="520" t="s">
        <v>622</v>
      </c>
      <c r="B15" s="114"/>
      <c r="C15"/>
      <c r="D15"/>
      <c r="E15"/>
      <c r="F15"/>
      <c r="G15"/>
      <c r="H15"/>
      <c r="I15"/>
    </row>
    <row r="16" spans="1:59" x14ac:dyDescent="0.25">
      <c r="A16" s="520" t="s">
        <v>298</v>
      </c>
      <c r="B16" s="114"/>
      <c r="C16"/>
      <c r="D16"/>
      <c r="E16"/>
      <c r="F16"/>
      <c r="G16"/>
      <c r="H16"/>
      <c r="I16"/>
    </row>
    <row r="17" spans="1:9" x14ac:dyDescent="0.25">
      <c r="A17" s="520" t="s">
        <v>643</v>
      </c>
      <c r="B17" s="114"/>
      <c r="C17"/>
      <c r="D17"/>
      <c r="E17"/>
      <c r="F17"/>
      <c r="G17"/>
      <c r="H17"/>
      <c r="I17"/>
    </row>
    <row r="18" spans="1:9" x14ac:dyDescent="0.25">
      <c r="A18" s="520" t="s">
        <v>285</v>
      </c>
      <c r="B18" s="114"/>
      <c r="C18"/>
      <c r="D18"/>
      <c r="E18"/>
      <c r="F18"/>
      <c r="G18"/>
      <c r="H18"/>
      <c r="I18"/>
    </row>
    <row r="19" spans="1:9" x14ac:dyDescent="0.25">
      <c r="A19" s="520" t="s">
        <v>642</v>
      </c>
      <c r="B19" s="114"/>
      <c r="C19"/>
      <c r="D19"/>
      <c r="E19"/>
      <c r="F19"/>
    </row>
    <row r="20" spans="1:9" x14ac:dyDescent="0.25">
      <c r="A20" s="520" t="s">
        <v>296</v>
      </c>
      <c r="B20" s="114"/>
      <c r="C20"/>
      <c r="D20"/>
      <c r="E20"/>
      <c r="F20"/>
    </row>
    <row r="21" spans="1:9" x14ac:dyDescent="0.25">
      <c r="A21" s="520" t="s">
        <v>213</v>
      </c>
      <c r="B21" s="114"/>
      <c r="C21"/>
      <c r="D21"/>
      <c r="E21"/>
      <c r="F21"/>
    </row>
    <row r="22" spans="1:9" s="90" customFormat="1" x14ac:dyDescent="0.25">
      <c r="A22"/>
      <c r="B22"/>
      <c r="C22"/>
    </row>
    <row r="23" spans="1:9" s="90" customFormat="1" x14ac:dyDescent="0.25">
      <c r="A23" s="307"/>
      <c r="B23" s="55"/>
    </row>
    <row r="24" spans="1:9" s="90" customFormat="1" x14ac:dyDescent="0.25">
      <c r="A24" s="199" t="s">
        <v>10</v>
      </c>
      <c r="B24" s="790" t="s">
        <v>7</v>
      </c>
      <c r="C24" s="4"/>
      <c r="D24" s="4"/>
      <c r="E24" s="4"/>
    </row>
    <row r="25" spans="1:9" x14ac:dyDescent="0.25">
      <c r="A25" s="230" t="s">
        <v>1</v>
      </c>
      <c r="B25" s="790" t="s">
        <v>652</v>
      </c>
      <c r="C25"/>
      <c r="D25"/>
      <c r="E25"/>
      <c r="F25"/>
    </row>
    <row r="26" spans="1:9" x14ac:dyDescent="0.25">
      <c r="A26" s="60"/>
      <c r="B26" s="60"/>
      <c r="C26"/>
      <c r="D26"/>
      <c r="E26"/>
      <c r="F26"/>
    </row>
    <row r="27" spans="1:9" x14ac:dyDescent="0.25">
      <c r="A27" s="199" t="s">
        <v>212</v>
      </c>
      <c r="B27" s="790" t="s">
        <v>793</v>
      </c>
      <c r="C27"/>
      <c r="D27"/>
      <c r="E27"/>
      <c r="F27"/>
    </row>
    <row r="28" spans="1:9" x14ac:dyDescent="0.25">
      <c r="A28" s="520" t="s">
        <v>564</v>
      </c>
      <c r="B28" s="229">
        <v>152</v>
      </c>
      <c r="C28"/>
      <c r="D28"/>
      <c r="E28"/>
      <c r="F28"/>
    </row>
    <row r="29" spans="1:9" x14ac:dyDescent="0.25">
      <c r="A29" s="520" t="s">
        <v>643</v>
      </c>
      <c r="B29" s="229">
        <v>204</v>
      </c>
      <c r="C29"/>
      <c r="D29"/>
      <c r="E29"/>
      <c r="F29"/>
    </row>
    <row r="30" spans="1:9" x14ac:dyDescent="0.25">
      <c r="A30" s="520" t="s">
        <v>642</v>
      </c>
      <c r="B30" s="229">
        <v>222</v>
      </c>
      <c r="C30"/>
      <c r="D30"/>
      <c r="E30"/>
      <c r="F30"/>
    </row>
    <row r="31" spans="1:9" x14ac:dyDescent="0.25">
      <c r="A31" s="520" t="s">
        <v>295</v>
      </c>
      <c r="B31" s="229">
        <v>256</v>
      </c>
      <c r="C31"/>
      <c r="D31"/>
      <c r="E31"/>
      <c r="F31"/>
    </row>
    <row r="32" spans="1:9" x14ac:dyDescent="0.25">
      <c r="A32" s="520" t="s">
        <v>298</v>
      </c>
      <c r="B32" s="229">
        <v>304</v>
      </c>
      <c r="C32"/>
      <c r="D32"/>
      <c r="E32"/>
      <c r="F32"/>
    </row>
    <row r="33" spans="1:6" x14ac:dyDescent="0.25">
      <c r="A33" s="520" t="s">
        <v>297</v>
      </c>
      <c r="B33" s="229">
        <v>320</v>
      </c>
      <c r="C33"/>
      <c r="D33"/>
      <c r="E33"/>
      <c r="F33"/>
    </row>
    <row r="34" spans="1:6" x14ac:dyDescent="0.25">
      <c r="A34" s="520" t="s">
        <v>296</v>
      </c>
      <c r="B34" s="229">
        <v>400</v>
      </c>
      <c r="C34"/>
      <c r="D34"/>
      <c r="E34"/>
      <c r="F34"/>
    </row>
    <row r="35" spans="1:6" x14ac:dyDescent="0.25">
      <c r="A35" s="520" t="s">
        <v>294</v>
      </c>
      <c r="B35" s="229">
        <v>480</v>
      </c>
      <c r="C35"/>
      <c r="D35"/>
      <c r="E35"/>
      <c r="F35"/>
    </row>
    <row r="36" spans="1:6" x14ac:dyDescent="0.25">
      <c r="A36" s="520" t="s">
        <v>622</v>
      </c>
      <c r="B36" s="229">
        <v>1762</v>
      </c>
      <c r="C36"/>
      <c r="D36"/>
      <c r="E36"/>
      <c r="F36"/>
    </row>
    <row r="37" spans="1:6" x14ac:dyDescent="0.25">
      <c r="A37" s="520" t="s">
        <v>288</v>
      </c>
      <c r="B37" s="229">
        <v>1832</v>
      </c>
      <c r="C37"/>
      <c r="D37"/>
      <c r="E37"/>
      <c r="F37"/>
    </row>
    <row r="38" spans="1:6" x14ac:dyDescent="0.25">
      <c r="A38" s="520" t="s">
        <v>445</v>
      </c>
      <c r="B38" s="229">
        <v>1920</v>
      </c>
      <c r="C38"/>
      <c r="D38"/>
      <c r="E38"/>
      <c r="F38"/>
    </row>
    <row r="39" spans="1:6" x14ac:dyDescent="0.25">
      <c r="A39" s="520" t="s">
        <v>285</v>
      </c>
      <c r="B39" s="229">
        <v>5248</v>
      </c>
      <c r="C39"/>
      <c r="D39"/>
      <c r="E39"/>
      <c r="F39"/>
    </row>
    <row r="40" spans="1:6" s="90" customFormat="1" x14ac:dyDescent="0.25">
      <c r="A40" s="520" t="s">
        <v>293</v>
      </c>
      <c r="B40" s="229">
        <v>13205</v>
      </c>
    </row>
    <row r="41" spans="1:6" x14ac:dyDescent="0.25">
      <c r="A41" s="520" t="s">
        <v>213</v>
      </c>
      <c r="B41" s="229">
        <v>26305</v>
      </c>
      <c r="C41"/>
      <c r="D41"/>
      <c r="E41"/>
      <c r="F41"/>
    </row>
    <row r="42" spans="1:6" x14ac:dyDescent="0.25">
      <c r="A42"/>
      <c r="B42"/>
      <c r="C42"/>
      <c r="D42"/>
      <c r="E42"/>
      <c r="F42"/>
    </row>
    <row r="43" spans="1:6" x14ac:dyDescent="0.25">
      <c r="C43"/>
      <c r="D43"/>
      <c r="E43"/>
      <c r="F43"/>
    </row>
    <row r="44" spans="1:6" x14ac:dyDescent="0.25">
      <c r="A44" s="199" t="s">
        <v>10</v>
      </c>
      <c r="B44" s="790" t="s">
        <v>7</v>
      </c>
      <c r="C44"/>
      <c r="D44"/>
      <c r="E44"/>
      <c r="F44"/>
    </row>
    <row r="45" spans="1:6" x14ac:dyDescent="0.25">
      <c r="A45" s="90"/>
      <c r="B45" s="90"/>
      <c r="C45"/>
      <c r="D45"/>
      <c r="E45"/>
      <c r="F45"/>
    </row>
    <row r="46" spans="1:6" x14ac:dyDescent="0.25">
      <c r="A46" s="230" t="s">
        <v>212</v>
      </c>
      <c r="B46" s="790" t="s">
        <v>793</v>
      </c>
      <c r="C46"/>
      <c r="D46"/>
      <c r="E46"/>
      <c r="F46"/>
    </row>
    <row r="47" spans="1:6" x14ac:dyDescent="0.25">
      <c r="A47" s="520" t="s">
        <v>18</v>
      </c>
      <c r="B47" s="229">
        <v>96</v>
      </c>
      <c r="C47"/>
      <c r="D47"/>
      <c r="E47"/>
      <c r="F47"/>
    </row>
    <row r="48" spans="1:6" x14ac:dyDescent="0.25">
      <c r="A48" s="520" t="s">
        <v>1006</v>
      </c>
      <c r="B48" s="229">
        <v>480</v>
      </c>
      <c r="C48"/>
      <c r="D48"/>
      <c r="E48"/>
      <c r="F48"/>
    </row>
    <row r="49" spans="1:6" x14ac:dyDescent="0.25">
      <c r="A49" s="520" t="s">
        <v>20</v>
      </c>
      <c r="B49" s="229">
        <v>554</v>
      </c>
      <c r="C49" s="6"/>
      <c r="D49" s="60"/>
      <c r="E49" s="60"/>
      <c r="F49"/>
    </row>
    <row r="50" spans="1:6" x14ac:dyDescent="0.25">
      <c r="A50" s="520" t="s">
        <v>16</v>
      </c>
      <c r="B50" s="229">
        <v>600</v>
      </c>
      <c r="C50" s="60"/>
      <c r="D50" s="60"/>
      <c r="E50" s="60"/>
      <c r="F50"/>
    </row>
    <row r="51" spans="1:6" x14ac:dyDescent="0.25">
      <c r="A51" s="520" t="s">
        <v>866</v>
      </c>
      <c r="B51" s="229">
        <v>760</v>
      </c>
      <c r="C51"/>
      <c r="D51"/>
      <c r="E51"/>
      <c r="F51"/>
    </row>
    <row r="52" spans="1:6" x14ac:dyDescent="0.25">
      <c r="A52" s="520" t="s">
        <v>1002</v>
      </c>
      <c r="B52" s="229">
        <v>902</v>
      </c>
      <c r="C52"/>
      <c r="D52"/>
      <c r="E52"/>
      <c r="F52"/>
    </row>
    <row r="53" spans="1:6" x14ac:dyDescent="0.25">
      <c r="A53" s="520" t="s">
        <v>15</v>
      </c>
      <c r="B53" s="229">
        <v>1056</v>
      </c>
      <c r="C53"/>
      <c r="D53"/>
      <c r="E53"/>
      <c r="F53"/>
    </row>
    <row r="54" spans="1:6" x14ac:dyDescent="0.25">
      <c r="A54" s="520" t="s">
        <v>11</v>
      </c>
      <c r="B54" s="229">
        <v>1145</v>
      </c>
      <c r="C54"/>
      <c r="D54"/>
      <c r="E54"/>
      <c r="F54"/>
    </row>
    <row r="55" spans="1:6" x14ac:dyDescent="0.25">
      <c r="A55" s="520" t="s">
        <v>14</v>
      </c>
      <c r="B55" s="229">
        <v>4647</v>
      </c>
      <c r="C55"/>
      <c r="D55"/>
      <c r="E55"/>
      <c r="F55"/>
    </row>
    <row r="56" spans="1:6" x14ac:dyDescent="0.25">
      <c r="A56" s="520" t="s">
        <v>19</v>
      </c>
      <c r="B56" s="229">
        <v>16065</v>
      </c>
      <c r="C56"/>
      <c r="D56"/>
      <c r="E56"/>
      <c r="F56"/>
    </row>
    <row r="57" spans="1:6" x14ac:dyDescent="0.25">
      <c r="A57" s="520" t="s">
        <v>213</v>
      </c>
      <c r="B57" s="229">
        <v>26305</v>
      </c>
      <c r="C57"/>
      <c r="D57"/>
      <c r="E57"/>
      <c r="F57"/>
    </row>
    <row r="58" spans="1:6" x14ac:dyDescent="0.25">
      <c r="A58"/>
      <c r="B58"/>
      <c r="C58"/>
      <c r="D58"/>
      <c r="E58"/>
      <c r="F58"/>
    </row>
    <row r="59" spans="1:6" x14ac:dyDescent="0.25">
      <c r="A59"/>
      <c r="B59"/>
      <c r="C59"/>
      <c r="D59"/>
      <c r="E59"/>
      <c r="F59"/>
    </row>
    <row r="60" spans="1:6" x14ac:dyDescent="0.25">
      <c r="A60"/>
      <c r="B60"/>
      <c r="C60"/>
      <c r="D60"/>
      <c r="E60"/>
      <c r="F60"/>
    </row>
    <row r="61" spans="1:6" x14ac:dyDescent="0.25">
      <c r="A61"/>
      <c r="B61"/>
      <c r="C61"/>
      <c r="D61"/>
      <c r="E61"/>
      <c r="F61"/>
    </row>
    <row r="62" spans="1:6" x14ac:dyDescent="0.25">
      <c r="A62"/>
      <c r="B62"/>
      <c r="C62"/>
      <c r="D62"/>
      <c r="E62"/>
      <c r="F62"/>
    </row>
    <row r="63" spans="1:6" x14ac:dyDescent="0.25">
      <c r="A63"/>
      <c r="B63"/>
      <c r="C63"/>
      <c r="D63"/>
      <c r="E63"/>
      <c r="F63"/>
    </row>
    <row r="64" spans="1:6"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68" spans="1:6" x14ac:dyDescent="0.25">
      <c r="A68"/>
      <c r="B68"/>
      <c r="C68"/>
      <c r="D68"/>
      <c r="E68"/>
      <c r="F68"/>
    </row>
    <row r="69" spans="1:6" x14ac:dyDescent="0.25">
      <c r="A69"/>
      <c r="B69"/>
      <c r="C69"/>
      <c r="D69"/>
      <c r="E69"/>
      <c r="F69"/>
    </row>
    <row r="70" spans="1:6" x14ac:dyDescent="0.25">
      <c r="A70"/>
      <c r="B70"/>
      <c r="C70"/>
      <c r="D70"/>
      <c r="E70"/>
      <c r="F70"/>
    </row>
    <row r="71" spans="1:6" x14ac:dyDescent="0.25">
      <c r="A71"/>
      <c r="B71"/>
      <c r="C71"/>
      <c r="D71"/>
      <c r="E71"/>
      <c r="F71"/>
    </row>
    <row r="72" spans="1:6" x14ac:dyDescent="0.25">
      <c r="A72"/>
      <c r="B72"/>
      <c r="C72"/>
      <c r="D72"/>
      <c r="E72"/>
      <c r="F72"/>
    </row>
    <row r="73" spans="1:6" x14ac:dyDescent="0.25">
      <c r="A73"/>
      <c r="B73"/>
      <c r="C73"/>
      <c r="D73"/>
      <c r="E73"/>
      <c r="F73"/>
    </row>
    <row r="74" spans="1:6" x14ac:dyDescent="0.25">
      <c r="A74"/>
      <c r="B74"/>
      <c r="C74"/>
      <c r="D74"/>
      <c r="E74"/>
      <c r="F74"/>
    </row>
    <row r="75" spans="1:6" x14ac:dyDescent="0.25">
      <c r="A75"/>
      <c r="B75"/>
      <c r="C75"/>
      <c r="D75"/>
      <c r="E75"/>
      <c r="F75"/>
    </row>
    <row r="76" spans="1:6" x14ac:dyDescent="0.25">
      <c r="A76"/>
      <c r="B76"/>
      <c r="C76"/>
      <c r="D76"/>
      <c r="E76"/>
      <c r="F76"/>
    </row>
    <row r="77" spans="1:6" x14ac:dyDescent="0.25">
      <c r="A77"/>
      <c r="B77"/>
      <c r="C77"/>
      <c r="D77"/>
      <c r="E77"/>
      <c r="F77"/>
    </row>
    <row r="78" spans="1:6" x14ac:dyDescent="0.25">
      <c r="A78"/>
      <c r="B78"/>
      <c r="C78"/>
      <c r="D78"/>
      <c r="E78"/>
      <c r="F78"/>
    </row>
    <row r="79" spans="1:6" x14ac:dyDescent="0.25">
      <c r="A79"/>
      <c r="B79"/>
      <c r="C79"/>
      <c r="D79"/>
      <c r="E79"/>
    </row>
    <row r="80" spans="1:6"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row>
    <row r="93" spans="1:5" x14ac:dyDescent="0.25">
      <c r="A93"/>
      <c r="B93"/>
      <c r="C93"/>
    </row>
    <row r="94" spans="1:5" x14ac:dyDescent="0.25">
      <c r="A94"/>
      <c r="B94"/>
      <c r="C94"/>
    </row>
    <row r="95" spans="1:5" x14ac:dyDescent="0.25">
      <c r="A95"/>
      <c r="B95"/>
      <c r="C95"/>
    </row>
    <row r="96" spans="1:5"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row>
    <row r="206" spans="1:2" x14ac:dyDescent="0.25">
      <c r="A206"/>
    </row>
    <row r="207" spans="1:2" x14ac:dyDescent="0.25">
      <c r="A207"/>
    </row>
    <row r="208" spans="1:2"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Q35" sqref="Q35"/>
    </sheetView>
  </sheetViews>
  <sheetFormatPr defaultColWidth="9.140625" defaultRowHeight="15" x14ac:dyDescent="0.2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x14ac:dyDescent="0.25">
      <c r="A1" s="186"/>
      <c r="B1" s="187"/>
      <c r="C1" s="187"/>
      <c r="D1" s="187"/>
      <c r="E1" s="187"/>
      <c r="F1" s="187"/>
      <c r="G1" s="187"/>
      <c r="H1" s="187"/>
      <c r="I1" s="187"/>
      <c r="J1" s="187"/>
      <c r="K1" s="187"/>
      <c r="L1" s="187"/>
      <c r="M1" s="187"/>
      <c r="N1" s="187"/>
      <c r="O1" s="203"/>
      <c r="AY1" s="68"/>
      <c r="AZ1" s="68"/>
    </row>
    <row r="2" spans="1:53" s="1" customFormat="1" ht="33" customHeight="1" x14ac:dyDescent="0.25">
      <c r="A2" s="1011" t="s">
        <v>794</v>
      </c>
      <c r="B2" s="1012"/>
      <c r="C2" s="1012"/>
      <c r="D2" s="1012"/>
      <c r="E2" s="1012"/>
      <c r="F2" s="1012"/>
      <c r="G2" s="1012"/>
      <c r="H2" s="1012"/>
      <c r="I2" s="91"/>
      <c r="J2" s="91"/>
      <c r="K2" s="91"/>
      <c r="L2" s="91"/>
      <c r="M2" s="91"/>
      <c r="N2" s="91"/>
      <c r="O2" s="213"/>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x14ac:dyDescent="0.25">
      <c r="A3" s="1013">
        <f>Report_Date</f>
        <v>42856</v>
      </c>
      <c r="B3" s="1014"/>
      <c r="C3" s="1014"/>
      <c r="D3" s="1014"/>
      <c r="E3" s="1014"/>
      <c r="F3" s="1014"/>
      <c r="G3" s="1014"/>
      <c r="H3" s="1014"/>
      <c r="I3" s="214"/>
      <c r="J3" s="214"/>
      <c r="K3" s="214"/>
      <c r="L3" s="214"/>
      <c r="M3" s="214"/>
      <c r="N3" s="214"/>
      <c r="O3" s="215"/>
      <c r="W3" s="90"/>
      <c r="X3" s="90"/>
      <c r="Y3" s="90"/>
      <c r="Z3" s="90"/>
      <c r="AA3" s="90"/>
      <c r="AB3" s="90"/>
      <c r="AC3" s="90"/>
      <c r="AD3" s="90"/>
      <c r="AE3" s="90"/>
      <c r="AF3" s="90"/>
      <c r="AG3" s="90"/>
      <c r="AH3" s="90"/>
      <c r="AI3" s="90"/>
      <c r="AJ3" s="90"/>
      <c r="AK3" s="90"/>
      <c r="AL3" s="90"/>
      <c r="AM3" s="90"/>
      <c r="AN3" s="90"/>
      <c r="AO3" s="90"/>
      <c r="AP3" s="90"/>
      <c r="AZ3" s="69"/>
      <c r="BA3" s="69"/>
    </row>
    <row r="4" spans="1:53" x14ac:dyDescent="0.25">
      <c r="A4" s="389"/>
      <c r="B4" s="451"/>
      <c r="C4" s="451"/>
      <c r="D4" s="451"/>
      <c r="E4" s="451"/>
      <c r="F4" s="451"/>
      <c r="G4" s="451"/>
      <c r="H4" s="451"/>
      <c r="I4" s="451"/>
      <c r="J4" s="451"/>
      <c r="K4" s="451"/>
      <c r="L4" s="451"/>
      <c r="M4" s="451"/>
      <c r="N4" s="451"/>
      <c r="O4" s="390"/>
    </row>
    <row r="5" spans="1:53" x14ac:dyDescent="0.25">
      <c r="A5" s="452"/>
      <c r="B5" s="46"/>
      <c r="C5" s="46"/>
      <c r="D5" s="46"/>
      <c r="E5" s="46"/>
      <c r="F5" s="46"/>
      <c r="G5" s="46"/>
      <c r="H5" s="46"/>
      <c r="I5" s="46"/>
      <c r="J5" s="46"/>
      <c r="K5" s="46"/>
      <c r="L5" s="46"/>
      <c r="M5" s="46"/>
      <c r="N5" s="46"/>
      <c r="O5" s="453"/>
      <c r="P5" s="19"/>
      <c r="Q5" s="19"/>
      <c r="R5" s="19"/>
      <c r="S5" s="20"/>
      <c r="T5" s="19"/>
      <c r="U5" s="19"/>
    </row>
    <row r="6" spans="1:53" x14ac:dyDescent="0.25">
      <c r="A6" s="452"/>
      <c r="B6" s="46"/>
      <c r="C6" s="46"/>
      <c r="D6" s="46"/>
      <c r="E6" s="46"/>
      <c r="F6" s="46"/>
      <c r="G6" s="46"/>
      <c r="H6" s="46"/>
      <c r="I6" s="46"/>
      <c r="J6" s="46"/>
      <c r="K6" s="46"/>
      <c r="L6" s="46"/>
      <c r="M6" s="46"/>
      <c r="N6" s="46"/>
      <c r="O6" s="453"/>
      <c r="T6" s="21"/>
      <c r="U6" s="19"/>
    </row>
    <row r="7" spans="1:53" ht="12.75" customHeight="1" x14ac:dyDescent="0.25">
      <c r="A7" s="452"/>
      <c r="B7" s="46"/>
      <c r="C7" s="46"/>
      <c r="D7" s="46"/>
      <c r="E7" s="46"/>
      <c r="F7" s="46"/>
      <c r="G7" s="46"/>
      <c r="H7" s="46"/>
      <c r="I7" s="46"/>
      <c r="J7" s="46"/>
      <c r="K7" s="46"/>
      <c r="L7" s="46"/>
      <c r="M7" s="46"/>
      <c r="N7" s="46"/>
      <c r="O7" s="453"/>
    </row>
    <row r="8" spans="1:53" ht="12.75" customHeight="1" x14ac:dyDescent="0.25">
      <c r="A8" s="452"/>
      <c r="B8" s="46"/>
      <c r="C8" s="46"/>
      <c r="D8" s="46"/>
      <c r="E8" s="46"/>
      <c r="F8" s="46"/>
      <c r="G8" s="46"/>
      <c r="H8" s="46"/>
      <c r="I8" s="46"/>
      <c r="J8" s="46"/>
      <c r="K8" s="46"/>
      <c r="L8" s="46"/>
      <c r="M8" s="46"/>
      <c r="N8" s="46"/>
      <c r="O8" s="453"/>
    </row>
    <row r="9" spans="1:53" ht="12.75" customHeight="1" x14ac:dyDescent="0.25">
      <c r="A9" s="452"/>
      <c r="B9" s="46"/>
      <c r="C9" s="46"/>
      <c r="D9" s="46"/>
      <c r="E9" s="46"/>
      <c r="F9" s="46"/>
      <c r="G9" s="46"/>
      <c r="H9" s="46"/>
      <c r="I9" s="46"/>
      <c r="J9" s="46"/>
      <c r="K9" s="46"/>
      <c r="L9" s="46"/>
      <c r="M9" s="46"/>
      <c r="N9" s="46"/>
      <c r="O9" s="453"/>
    </row>
    <row r="10" spans="1:53" ht="12.75" customHeight="1" x14ac:dyDescent="0.25">
      <c r="A10" s="452"/>
      <c r="B10" s="46"/>
      <c r="C10" s="46"/>
      <c r="D10" s="46"/>
      <c r="E10" s="46"/>
      <c r="F10" s="46"/>
      <c r="G10" s="46"/>
      <c r="H10" s="46"/>
      <c r="I10" s="46"/>
      <c r="J10" s="46"/>
      <c r="K10" s="46"/>
      <c r="L10" s="46"/>
      <c r="M10" s="46"/>
      <c r="N10" s="46"/>
      <c r="O10" s="453"/>
    </row>
    <row r="11" spans="1:53" ht="12.75" customHeight="1" x14ac:dyDescent="0.25">
      <c r="A11" s="452"/>
      <c r="B11" s="46"/>
      <c r="C11" s="46"/>
      <c r="D11" s="46"/>
      <c r="E11" s="46"/>
      <c r="F11" s="46"/>
      <c r="G11" s="46"/>
      <c r="H11" s="454"/>
      <c r="I11" s="454"/>
      <c r="J11" s="46"/>
      <c r="K11" s="46"/>
      <c r="L11" s="46"/>
      <c r="M11" s="46"/>
      <c r="N11" s="46"/>
      <c r="O11" s="453"/>
    </row>
    <row r="12" spans="1:53" ht="12.75" customHeight="1" x14ac:dyDescent="0.25">
      <c r="A12" s="452"/>
      <c r="B12" s="46"/>
      <c r="C12" s="46"/>
      <c r="D12" s="46"/>
      <c r="E12" s="46"/>
      <c r="F12" s="46"/>
      <c r="G12" s="46"/>
      <c r="H12" s="455"/>
      <c r="I12" s="455"/>
      <c r="J12" s="46"/>
      <c r="K12" s="46"/>
      <c r="L12" s="46"/>
      <c r="M12" s="46"/>
      <c r="N12" s="46"/>
      <c r="O12" s="453"/>
    </row>
    <row r="13" spans="1:53" ht="12.75" customHeight="1" x14ac:dyDescent="0.25">
      <c r="A13" s="452"/>
      <c r="B13" s="46"/>
      <c r="C13" s="46"/>
      <c r="D13" s="46"/>
      <c r="E13" s="46"/>
      <c r="F13" s="46"/>
      <c r="G13" s="46"/>
      <c r="H13" s="455"/>
      <c r="I13" s="455"/>
      <c r="J13" s="46"/>
      <c r="K13" s="46"/>
      <c r="L13" s="46"/>
      <c r="M13" s="46"/>
      <c r="N13" s="46"/>
      <c r="O13" s="453"/>
    </row>
    <row r="14" spans="1:53" ht="12.75" customHeight="1" x14ac:dyDescent="0.25">
      <c r="A14" s="452"/>
      <c r="B14" s="46"/>
      <c r="C14" s="46"/>
      <c r="D14" s="46"/>
      <c r="E14" s="46"/>
      <c r="F14" s="46"/>
      <c r="G14" s="46"/>
      <c r="H14" s="455"/>
      <c r="I14" s="455"/>
      <c r="J14" s="46"/>
      <c r="K14" s="46"/>
      <c r="L14" s="46"/>
      <c r="M14" s="46"/>
      <c r="N14" s="46"/>
      <c r="O14" s="453"/>
    </row>
    <row r="15" spans="1:53" ht="12.75" customHeight="1" x14ac:dyDescent="0.25">
      <c r="A15" s="452"/>
      <c r="B15" s="46"/>
      <c r="C15" s="46"/>
      <c r="D15" s="46"/>
      <c r="E15" s="46"/>
      <c r="F15" s="46"/>
      <c r="G15" s="46"/>
      <c r="H15" s="455"/>
      <c r="I15" s="455"/>
      <c r="J15" s="46"/>
      <c r="K15" s="46"/>
      <c r="L15" s="46"/>
      <c r="M15" s="46"/>
      <c r="N15" s="46"/>
      <c r="O15" s="453"/>
    </row>
    <row r="16" spans="1:53" ht="12.75" customHeight="1" x14ac:dyDescent="0.25">
      <c r="A16" s="460"/>
      <c r="B16" s="1074" t="s">
        <v>215</v>
      </c>
      <c r="C16" s="1074"/>
      <c r="D16" s="1074"/>
      <c r="E16" s="1074" t="s">
        <v>239</v>
      </c>
      <c r="F16" s="1074"/>
      <c r="G16" s="1074"/>
      <c r="H16" s="455"/>
      <c r="I16" s="455"/>
      <c r="J16" s="46"/>
      <c r="K16" s="46"/>
      <c r="L16" s="46"/>
      <c r="M16" s="46"/>
      <c r="N16" s="46"/>
      <c r="O16" s="453"/>
    </row>
    <row r="17" spans="1:21" ht="26.25" customHeight="1" x14ac:dyDescent="0.25">
      <c r="A17" s="464" t="s">
        <v>1</v>
      </c>
      <c r="B17" s="465" t="s">
        <v>574</v>
      </c>
      <c r="C17" s="465" t="s">
        <v>577</v>
      </c>
      <c r="D17" s="465" t="s">
        <v>575</v>
      </c>
      <c r="E17" s="466" t="s">
        <v>594</v>
      </c>
      <c r="F17" s="466" t="s">
        <v>595</v>
      </c>
      <c r="G17" s="467" t="s">
        <v>576</v>
      </c>
      <c r="H17" s="455"/>
      <c r="I17" s="455"/>
      <c r="J17" s="46"/>
      <c r="K17" s="46"/>
      <c r="L17" s="46"/>
      <c r="M17" s="46"/>
      <c r="N17" s="46"/>
      <c r="O17" s="453"/>
    </row>
    <row r="18" spans="1:21" ht="12.75" customHeight="1" x14ac:dyDescent="0.25">
      <c r="A18" s="462" t="s">
        <v>607</v>
      </c>
      <c r="B18" s="461">
        <f>SUMIFS(Camplist_HH,Camplist_Township,'Shelter Coverage &amp; Gaps'!$A18,CampList_Status,"Open")</f>
        <v>492</v>
      </c>
      <c r="C18" s="456">
        <f>SUMIFS(Camplist_Popl,Camplist_Township,'Shelter Coverage &amp; Gaps'!$A18,CampList_Status,"Open")</f>
        <v>1601</v>
      </c>
      <c r="D18" s="461">
        <f>COUNTIFS(Camplist_Township,'Shelter Coverage &amp; Gaps'!A18,CampList_Status,"open")</f>
        <v>2</v>
      </c>
      <c r="E18" s="457">
        <f ca="1">'Shelter Progress'!O6</f>
        <v>1561.9512195121952</v>
      </c>
      <c r="F18" s="457">
        <f ca="1">'Shelter Progress'!R6</f>
        <v>39.048780487804834</v>
      </c>
      <c r="G18" s="463">
        <f t="shared" ref="G18:G28" ca="1" si="0">IFERROR(E18/(E18+F18),0)</f>
        <v>0.97560975609756095</v>
      </c>
      <c r="H18" s="455"/>
      <c r="I18" s="455"/>
      <c r="J18" s="46"/>
      <c r="K18" s="46"/>
      <c r="L18" s="46"/>
      <c r="M18" s="46"/>
      <c r="N18" s="46"/>
      <c r="O18" s="453"/>
    </row>
    <row r="19" spans="1:21" ht="12.75" customHeight="1" x14ac:dyDescent="0.25">
      <c r="A19" s="462" t="s">
        <v>15</v>
      </c>
      <c r="B19" s="461">
        <f>SUMIFS(Camplist_HH,Camplist_Township,'Shelter Coverage &amp; Gaps'!$A19,CampList_Status,"Open")</f>
        <v>85</v>
      </c>
      <c r="C19" s="456">
        <f>SUMIFS(Camplist_Popl,Camplist_Township,'Shelter Coverage &amp; Gaps'!$A19,CampList_Status,"Open")</f>
        <v>546</v>
      </c>
      <c r="D19" s="461">
        <f>COUNTIFS(Camplist_Township,'Shelter Coverage &amp; Gaps'!A19,CampList_Status,"open")</f>
        <v>1</v>
      </c>
      <c r="E19" s="457">
        <f ca="1">'Shelter Progress'!O7</f>
        <v>469.47452547452548</v>
      </c>
      <c r="F19" s="457">
        <f ca="1">'Shelter Progress'!R7</f>
        <v>6057.5254745254742</v>
      </c>
      <c r="G19" s="463">
        <f t="shared" ca="1" si="0"/>
        <v>7.1928071928071935E-2</v>
      </c>
      <c r="H19" s="455"/>
      <c r="I19" s="455"/>
      <c r="J19" s="46"/>
      <c r="K19" s="46"/>
      <c r="L19" s="46"/>
      <c r="M19" s="46"/>
      <c r="N19" s="46"/>
      <c r="O19" s="453"/>
    </row>
    <row r="20" spans="1:21" ht="12.75" customHeight="1" x14ac:dyDescent="0.25">
      <c r="A20" s="462" t="s">
        <v>20</v>
      </c>
      <c r="B20" s="461">
        <f>SUMIFS(Camplist_HH,Camplist_Township,'Shelter Coverage &amp; Gaps'!$A20,CampList_Status,"Open")</f>
        <v>184</v>
      </c>
      <c r="C20" s="456">
        <f>SUMIFS(Camplist_Popl,Camplist_Township,'Shelter Coverage &amp; Gaps'!$A20,CampList_Status,"Open")</f>
        <v>1148</v>
      </c>
      <c r="D20" s="461">
        <f>COUNTIFS(Camplist_Township,'Shelter Coverage &amp; Gaps'!A20,CampList_Status,"open")</f>
        <v>8</v>
      </c>
      <c r="E20" s="457">
        <f ca="1">'Shelter Progress'!O8</f>
        <v>0</v>
      </c>
      <c r="F20" s="457">
        <f ca="1">'Shelter Progress'!R8</f>
        <v>1257</v>
      </c>
      <c r="G20" s="463">
        <f t="shared" ca="1" si="0"/>
        <v>0</v>
      </c>
      <c r="H20" s="455"/>
      <c r="I20" s="455"/>
      <c r="J20" s="46"/>
      <c r="K20" s="46"/>
      <c r="L20" s="46"/>
      <c r="M20" s="46"/>
      <c r="N20" s="46"/>
      <c r="O20" s="453"/>
    </row>
    <row r="21" spans="1:21" ht="12.75" customHeight="1" x14ac:dyDescent="0.25">
      <c r="A21" s="462" t="s">
        <v>866</v>
      </c>
      <c r="B21" s="461">
        <f>SUMIFS(Camplist_HH,Camplist_Township,'Shelter Coverage &amp; Gaps'!$A21,CampList_Status,"Open")</f>
        <v>698</v>
      </c>
      <c r="C21" s="456">
        <f>SUMIFS(Camplist_Popl,Camplist_Township,'Shelter Coverage &amp; Gaps'!$A21,CampList_Status,"Open")</f>
        <v>2656</v>
      </c>
      <c r="D21" s="461">
        <f>COUNTIFS(Camplist_Township,'Shelter Coverage &amp; Gaps'!A21,CampList_Status,"open")</f>
        <v>1</v>
      </c>
      <c r="E21" s="457">
        <f ca="1">'Shelter Progress'!O9</f>
        <v>2751.7837837837837</v>
      </c>
      <c r="F21" s="457">
        <f ca="1">'Shelter Progress'!R9</f>
        <v>108.21621621621625</v>
      </c>
      <c r="G21" s="463">
        <f t="shared" ca="1" si="0"/>
        <v>0.9621621621621621</v>
      </c>
      <c r="H21" s="458"/>
      <c r="I21" s="458"/>
      <c r="J21" s="46"/>
      <c r="K21" s="46"/>
      <c r="L21" s="46"/>
      <c r="M21" s="46"/>
      <c r="N21" s="46"/>
      <c r="O21" s="453"/>
    </row>
    <row r="22" spans="1:21" ht="12.75" customHeight="1" x14ac:dyDescent="0.25">
      <c r="A22" s="462" t="s">
        <v>11</v>
      </c>
      <c r="B22" s="461">
        <f>SUMIFS(Camplist_HH,Camplist_Township,'Shelter Coverage &amp; Gaps'!$A22,CampList_Status,"Open")</f>
        <v>0</v>
      </c>
      <c r="C22" s="456">
        <f>SUMIFS(Camplist_Popl,Camplist_Township,'Shelter Coverage &amp; Gaps'!$A22,CampList_Status,"Open")</f>
        <v>0</v>
      </c>
      <c r="D22" s="461">
        <f>COUNTIFS(Camplist_Township,'Shelter Coverage &amp; Gaps'!A22,CampList_Status,"open")</f>
        <v>0</v>
      </c>
      <c r="E22" s="457">
        <f ca="1">'Shelter Progress'!O10</f>
        <v>0</v>
      </c>
      <c r="F22" s="457">
        <f ca="1">'Shelter Progress'!R10</f>
        <v>5638</v>
      </c>
      <c r="G22" s="463">
        <f t="shared" ca="1" si="0"/>
        <v>0</v>
      </c>
      <c r="H22" s="46"/>
      <c r="I22" s="46"/>
      <c r="J22" s="46"/>
      <c r="K22" s="46"/>
      <c r="L22" s="46"/>
      <c r="M22" s="46"/>
      <c r="N22" s="46"/>
      <c r="O22" s="453"/>
    </row>
    <row r="23" spans="1:21" ht="12.75" customHeight="1" x14ac:dyDescent="0.25">
      <c r="A23" s="462" t="s">
        <v>1002</v>
      </c>
      <c r="B23" s="461">
        <f>SUMIFS(Camplist_HH,Camplist_Township,'Shelter Coverage &amp; Gaps'!$A23,CampList_Status,"Open")</f>
        <v>0</v>
      </c>
      <c r="C23" s="456">
        <f>SUMIFS(Camplist_Popl,Camplist_Township,'Shelter Coverage &amp; Gaps'!$A23,CampList_Status,"Open")</f>
        <v>0</v>
      </c>
      <c r="D23" s="461">
        <f>COUNTIFS(Camplist_Township,'Shelter Coverage &amp; Gaps'!A23,CampList_Status,"open")</f>
        <v>0</v>
      </c>
      <c r="E23" s="457">
        <f ca="1">'Shelter Progress'!O11</f>
        <v>0</v>
      </c>
      <c r="F23" s="457">
        <f ca="1">'Shelter Progress'!R11</f>
        <v>3826</v>
      </c>
      <c r="G23" s="463">
        <f t="shared" ca="1" si="0"/>
        <v>0</v>
      </c>
      <c r="H23" s="46"/>
      <c r="I23" s="46"/>
      <c r="J23" s="46"/>
      <c r="K23" s="46"/>
      <c r="L23" s="46"/>
      <c r="M23" s="46"/>
      <c r="N23" s="46"/>
      <c r="O23" s="453"/>
    </row>
    <row r="24" spans="1:21" ht="12.75" customHeight="1" x14ac:dyDescent="0.25">
      <c r="A24" s="462" t="s">
        <v>14</v>
      </c>
      <c r="B24" s="461">
        <f>SUMIFS(Camplist_HH,Camplist_Township,'Shelter Coverage &amp; Gaps'!$A24,CampList_Status,"Open")</f>
        <v>3640</v>
      </c>
      <c r="C24" s="456">
        <f>SUMIFS(Camplist_Popl,Camplist_Township,'Shelter Coverage &amp; Gaps'!$A24,CampList_Status,"Open")</f>
        <v>16034</v>
      </c>
      <c r="D24" s="461">
        <f>COUNTIFS(Camplist_Township,'Shelter Coverage &amp; Gaps'!A24,CampList_Status,"open")</f>
        <v>4</v>
      </c>
      <c r="E24" s="457">
        <f ca="1">'Shelter Progress'!O12</f>
        <v>11577.478031634446</v>
      </c>
      <c r="F24" s="457">
        <f ca="1">'Shelter Progress'!R12</f>
        <v>8817.5219683655541</v>
      </c>
      <c r="G24" s="463">
        <f t="shared" ca="1" si="0"/>
        <v>0.56766256590509667</v>
      </c>
      <c r="H24" s="46"/>
      <c r="I24" s="46"/>
      <c r="J24" s="46"/>
      <c r="K24" s="46"/>
      <c r="L24" s="46"/>
      <c r="M24" s="46"/>
      <c r="N24" s="46"/>
      <c r="O24" s="453"/>
    </row>
    <row r="25" spans="1:21" ht="12.75" customHeight="1" x14ac:dyDescent="0.25">
      <c r="A25" s="462" t="s">
        <v>18</v>
      </c>
      <c r="B25" s="461">
        <f>SUMIFS(Camplist_HH,Camplist_Township,'Shelter Coverage &amp; Gaps'!$A25,CampList_Status,"Open")</f>
        <v>75</v>
      </c>
      <c r="C25" s="456">
        <f>SUMIFS(Camplist_Popl,Camplist_Township,'Shelter Coverage &amp; Gaps'!$A25,CampList_Status,"Open")</f>
        <v>264</v>
      </c>
      <c r="D25" s="461">
        <f>COUNTIFS(Camplist_Township,'Shelter Coverage &amp; Gaps'!A25,CampList_Status,"open")</f>
        <v>2</v>
      </c>
      <c r="E25" s="457">
        <f ca="1">'Shelter Progress'!O13</f>
        <v>337.92</v>
      </c>
      <c r="F25" s="457">
        <f ca="1">'Shelter Progress'!R13</f>
        <v>0</v>
      </c>
      <c r="G25" s="463">
        <f ca="1">IFERROR(E25/(E25+F25),0)</f>
        <v>1</v>
      </c>
      <c r="H25" s="46"/>
      <c r="I25" s="46"/>
      <c r="J25" s="46"/>
      <c r="K25" s="46"/>
      <c r="L25" s="46"/>
      <c r="M25" s="46"/>
      <c r="N25" s="46"/>
      <c r="O25" s="453"/>
    </row>
    <row r="26" spans="1:21" ht="12.75" customHeight="1" x14ac:dyDescent="0.25">
      <c r="A26" s="462" t="s">
        <v>16</v>
      </c>
      <c r="B26" s="461">
        <f>SUMIFS(Camplist_HH,Camplist_Township,'Shelter Coverage &amp; Gaps'!$A26,CampList_Status,"Open")</f>
        <v>661</v>
      </c>
      <c r="C26" s="456">
        <f>SUMIFS(Camplist_Popl,Camplist_Township,'Shelter Coverage &amp; Gaps'!$A26,CampList_Status,"Open")</f>
        <v>3566</v>
      </c>
      <c r="D26" s="461">
        <f>COUNTIFS(Camplist_Township,'Shelter Coverage &amp; Gaps'!A26,CampList_Status,"open")</f>
        <v>3</v>
      </c>
      <c r="E26" s="457">
        <f ca="1">'Shelter Progress'!O14</f>
        <v>2301.6331994645248</v>
      </c>
      <c r="F26" s="457">
        <f ca="1">'Shelter Progress'!R14</f>
        <v>1753.3668005354752</v>
      </c>
      <c r="G26" s="463">
        <f ca="1">IFERROR(E26/(E26+F26),0)</f>
        <v>0.56760374832663985</v>
      </c>
      <c r="H26" s="46"/>
      <c r="I26" s="46"/>
      <c r="J26" s="46"/>
      <c r="K26" s="46"/>
      <c r="L26" s="46"/>
      <c r="M26" s="46"/>
      <c r="N26" s="46"/>
      <c r="O26" s="453"/>
    </row>
    <row r="27" spans="1:21" ht="14.45" customHeight="1" x14ac:dyDescent="0.25">
      <c r="A27" s="462" t="s">
        <v>19</v>
      </c>
      <c r="B27" s="461">
        <f>SUMIFS(Camplist_HH,Camplist_Township,'Shelter Coverage &amp; Gaps'!$A27,CampList_Status,"Open")</f>
        <v>17820</v>
      </c>
      <c r="C27" s="456">
        <f>SUMIFS(Camplist_Popl,Camplist_Township,'Shelter Coverage &amp; Gaps'!$A27,CampList_Status,"Open")</f>
        <v>94884</v>
      </c>
      <c r="D27" s="461">
        <f>COUNTIFS(Camplist_Township,'Shelter Coverage &amp; Gaps'!A27,CampList_Status,"open")</f>
        <v>15</v>
      </c>
      <c r="E27" s="457">
        <f ca="1">'Shelter Progress'!O15</f>
        <v>79372.918011758418</v>
      </c>
      <c r="F27" s="457">
        <f ca="1">'Shelter Progress'!R15</f>
        <v>20109.081988241582</v>
      </c>
      <c r="G27" s="463">
        <f t="shared" ca="1" si="0"/>
        <v>0.79786210582576167</v>
      </c>
      <c r="H27" s="422"/>
      <c r="I27" s="422"/>
      <c r="J27" s="46"/>
      <c r="K27" s="46"/>
      <c r="L27" s="46"/>
      <c r="M27" s="46"/>
      <c r="N27" s="46"/>
      <c r="O27" s="453"/>
      <c r="P27" s="19"/>
      <c r="Q27" s="19"/>
      <c r="R27" s="20"/>
      <c r="S27" s="21"/>
    </row>
    <row r="28" spans="1:21" ht="15" customHeight="1" x14ac:dyDescent="0.25">
      <c r="A28" s="468" t="s">
        <v>5</v>
      </c>
      <c r="B28" s="469">
        <f>SUM(B18:B27)</f>
        <v>23655</v>
      </c>
      <c r="C28" s="469">
        <f>SUM(C18:C27)</f>
        <v>120699</v>
      </c>
      <c r="D28" s="469">
        <f>SUM(D18:D27)</f>
        <v>36</v>
      </c>
      <c r="E28" s="469">
        <f ca="1">'Shelter Progress'!O16</f>
        <v>98373.158771627888</v>
      </c>
      <c r="F28" s="469">
        <f ca="1">'Shelter Progress'!R16</f>
        <v>47605.76122837211</v>
      </c>
      <c r="G28" s="470">
        <f t="shared" ca="1" si="0"/>
        <v>0.67388605677879998</v>
      </c>
      <c r="H28" s="422"/>
      <c r="I28" s="422"/>
      <c r="J28" s="46"/>
      <c r="K28" s="46"/>
      <c r="L28" s="46"/>
      <c r="M28" s="46"/>
      <c r="N28" s="46"/>
      <c r="O28" s="453"/>
      <c r="T28" s="4"/>
      <c r="U28" s="25"/>
    </row>
    <row r="29" spans="1:21" x14ac:dyDescent="0.25">
      <c r="A29" s="452"/>
      <c r="B29" s="46"/>
      <c r="C29" s="46"/>
      <c r="D29" s="46"/>
      <c r="E29" s="46"/>
      <c r="F29" s="46"/>
      <c r="G29" s="46"/>
      <c r="H29" s="422"/>
      <c r="I29" s="422"/>
      <c r="J29" s="46"/>
      <c r="K29" s="46"/>
      <c r="L29" s="46"/>
      <c r="M29" s="46"/>
      <c r="N29" s="46"/>
      <c r="O29" s="453"/>
      <c r="S29" s="23"/>
      <c r="T29" s="4"/>
      <c r="U29" s="25"/>
    </row>
    <row r="30" spans="1:21" x14ac:dyDescent="0.25">
      <c r="A30" s="452"/>
      <c r="B30" s="46"/>
      <c r="C30" s="46"/>
      <c r="D30" s="46"/>
      <c r="E30" s="46"/>
      <c r="F30" s="46"/>
      <c r="G30" s="46"/>
      <c r="H30" s="422"/>
      <c r="I30" s="422"/>
      <c r="J30" s="46"/>
      <c r="K30" s="46"/>
      <c r="L30" s="46"/>
      <c r="M30" s="46"/>
      <c r="N30" s="46"/>
      <c r="O30" s="453"/>
      <c r="S30" s="23"/>
      <c r="T30" s="4"/>
      <c r="U30" s="25"/>
    </row>
    <row r="31" spans="1:21" x14ac:dyDescent="0.25">
      <c r="A31" s="452"/>
      <c r="B31" s="46"/>
      <c r="C31" s="46"/>
      <c r="D31" s="46"/>
      <c r="E31" s="46"/>
      <c r="F31" s="46"/>
      <c r="G31" s="46"/>
      <c r="H31" s="46"/>
      <c r="I31" s="46"/>
      <c r="J31" s="46"/>
      <c r="K31" s="46"/>
      <c r="L31" s="46"/>
      <c r="M31" s="46"/>
      <c r="N31" s="46"/>
      <c r="O31" s="453"/>
      <c r="S31" s="23"/>
      <c r="T31" s="4"/>
      <c r="U31" s="25"/>
    </row>
    <row r="32" spans="1:21" x14ac:dyDescent="0.25">
      <c r="A32" s="452"/>
      <c r="B32" s="46"/>
      <c r="C32" s="46"/>
      <c r="D32" s="46"/>
      <c r="E32" s="46"/>
      <c r="F32" s="46"/>
      <c r="G32" s="46"/>
      <c r="H32" s="46"/>
      <c r="I32" s="46"/>
      <c r="J32" s="46"/>
      <c r="K32" s="46"/>
      <c r="L32" s="46"/>
      <c r="M32" s="46"/>
      <c r="N32" s="46"/>
      <c r="O32" s="453"/>
      <c r="P32" s="89"/>
      <c r="T32" s="24"/>
      <c r="U32" s="25"/>
    </row>
    <row r="33" spans="1:21" x14ac:dyDescent="0.25">
      <c r="A33" s="452"/>
      <c r="B33" s="46"/>
      <c r="C33" s="46"/>
      <c r="D33" s="46"/>
      <c r="E33" s="46"/>
      <c r="F33" s="46"/>
      <c r="G33" s="46"/>
      <c r="H33" s="46"/>
      <c r="I33" s="46"/>
      <c r="J33" s="46"/>
      <c r="K33" s="46"/>
      <c r="L33" s="46"/>
      <c r="M33" s="46"/>
      <c r="N33" s="46"/>
      <c r="O33" s="453"/>
      <c r="P33" s="89"/>
      <c r="T33" s="24"/>
      <c r="U33" s="25"/>
    </row>
    <row r="34" spans="1:21" x14ac:dyDescent="0.25">
      <c r="A34" s="452"/>
      <c r="B34" s="46"/>
      <c r="C34" s="46"/>
      <c r="D34" s="46"/>
      <c r="E34" s="46"/>
      <c r="F34" s="46"/>
      <c r="G34" s="46"/>
      <c r="H34" s="46"/>
      <c r="I34" s="46"/>
      <c r="J34" s="46"/>
      <c r="K34" s="46"/>
      <c r="L34" s="46"/>
      <c r="M34" s="46"/>
      <c r="N34" s="46"/>
      <c r="O34" s="453"/>
      <c r="P34" s="89"/>
      <c r="T34" s="24"/>
      <c r="U34" s="25"/>
    </row>
    <row r="35" spans="1:21" x14ac:dyDescent="0.25">
      <c r="A35" s="452"/>
      <c r="B35" s="46"/>
      <c r="C35" s="46"/>
      <c r="D35" s="46"/>
      <c r="E35" s="46"/>
      <c r="F35" s="46"/>
      <c r="G35" s="46"/>
      <c r="H35" s="46"/>
      <c r="I35" s="46"/>
      <c r="J35" s="46"/>
      <c r="K35" s="46"/>
      <c r="L35" s="46"/>
      <c r="M35" s="46"/>
      <c r="N35" s="46"/>
      <c r="O35" s="453"/>
      <c r="P35" s="89"/>
      <c r="T35" s="24"/>
      <c r="U35" s="25"/>
    </row>
    <row r="36" spans="1:21" x14ac:dyDescent="0.25">
      <c r="A36" s="391"/>
      <c r="B36" s="459"/>
      <c r="C36" s="459"/>
      <c r="D36" s="459"/>
      <c r="E36" s="459"/>
      <c r="F36" s="459"/>
      <c r="G36" s="459"/>
      <c r="H36" s="459"/>
      <c r="I36" s="459"/>
      <c r="J36" s="459"/>
      <c r="K36" s="459"/>
      <c r="L36" s="459"/>
      <c r="M36" s="459"/>
      <c r="N36" s="459"/>
      <c r="O36" s="392"/>
      <c r="P36" s="89"/>
      <c r="T36" s="24"/>
      <c r="U36" s="25"/>
    </row>
    <row r="37" spans="1:21" x14ac:dyDescent="0.25">
      <c r="P37" s="89"/>
      <c r="T37" s="24"/>
      <c r="U37" s="25"/>
    </row>
    <row r="38" spans="1:21" x14ac:dyDescent="0.25">
      <c r="P38" s="89"/>
      <c r="T38" s="24"/>
      <c r="U38" s="25"/>
    </row>
    <row r="39" spans="1:21" x14ac:dyDescent="0.25">
      <c r="P39" s="89"/>
      <c r="T39" s="24"/>
      <c r="U39" s="25"/>
    </row>
    <row r="40" spans="1:21" x14ac:dyDescent="0.25">
      <c r="P40" s="89"/>
      <c r="T40" s="19"/>
      <c r="U40" s="19"/>
    </row>
    <row r="41" spans="1:21" x14ac:dyDescent="0.25">
      <c r="P41" s="89"/>
    </row>
    <row r="42" spans="1:21" x14ac:dyDescent="0.25">
      <c r="S42" s="19"/>
    </row>
    <row r="43" spans="1:21" x14ac:dyDescent="0.25">
      <c r="S43" s="19"/>
    </row>
    <row r="44" spans="1:21" x14ac:dyDescent="0.25">
      <c r="P44" s="23"/>
      <c r="Q44" s="26"/>
      <c r="S44" s="19"/>
    </row>
    <row r="45" spans="1:21" x14ac:dyDescent="0.25">
      <c r="P45" s="23"/>
      <c r="Q45" s="26"/>
    </row>
    <row r="46" spans="1:21" x14ac:dyDescent="0.25">
      <c r="P46" s="19"/>
      <c r="Q46" s="24"/>
      <c r="R46" s="19"/>
    </row>
    <row r="47" spans="1:21" x14ac:dyDescent="0.25">
      <c r="P47" s="19"/>
      <c r="Q47" s="24"/>
      <c r="R47" s="19"/>
    </row>
    <row r="48" spans="1:21" x14ac:dyDescent="0.25">
      <c r="P48" s="19"/>
      <c r="Q48" s="24"/>
      <c r="R48" s="19"/>
    </row>
    <row r="49" spans="16:18" x14ac:dyDescent="0.25">
      <c r="P49" s="19"/>
      <c r="Q49" s="19"/>
      <c r="R49" s="19"/>
    </row>
    <row r="50" spans="16:18" x14ac:dyDescent="0.25">
      <c r="Q50" s="19"/>
      <c r="R50" s="19"/>
    </row>
    <row r="51" spans="16:18" x14ac:dyDescent="0.25">
      <c r="Q51" s="19"/>
      <c r="R51" s="19"/>
    </row>
    <row r="52" spans="16:18" x14ac:dyDescent="0.25">
      <c r="Q52" s="19"/>
      <c r="R52" s="19"/>
    </row>
    <row r="79" spans="17:17" ht="19.5" x14ac:dyDescent="0.35">
      <c r="Q79" s="27"/>
    </row>
    <row r="80" spans="17:17" ht="15.75" x14ac:dyDescent="0.3">
      <c r="Q80" s="28"/>
    </row>
    <row r="81" spans="17:17" ht="15.75" x14ac:dyDescent="0.3">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N605"/>
  <sheetViews>
    <sheetView showZeros="0" zoomScale="85" zoomScaleNormal="85" workbookViewId="0">
      <selection activeCell="H25" sqref="H25"/>
    </sheetView>
  </sheetViews>
  <sheetFormatPr defaultColWidth="11.140625" defaultRowHeight="15" x14ac:dyDescent="0.25"/>
  <cols>
    <col min="1" max="1" width="14.1406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9" width="12" hidden="1" customWidth="1"/>
    <col min="10" max="16" width="12" customWidth="1"/>
    <col min="17" max="17" width="12" style="90" customWidth="1"/>
    <col min="18" max="18" width="12" style="38" customWidth="1"/>
    <col min="19" max="19" width="10.7109375" style="90" customWidth="1"/>
    <col min="20" max="21" width="10.7109375" style="789" customWidth="1"/>
    <col min="22" max="23" width="12.5703125" style="789" customWidth="1"/>
    <col min="24" max="28" width="13.5703125" style="53" hidden="1" customWidth="1"/>
    <col min="29" max="29" width="10.7109375" style="53" hidden="1" customWidth="1"/>
    <col min="30" max="38" width="13.5703125" style="53" hidden="1" customWidth="1"/>
    <col min="39" max="39" width="16.85546875" customWidth="1"/>
    <col min="40" max="40" width="28" bestFit="1" customWidth="1"/>
    <col min="41" max="41" width="17" customWidth="1"/>
    <col min="42" max="43" width="11.140625" customWidth="1"/>
    <col min="44" max="44" width="33.85546875" customWidth="1"/>
  </cols>
  <sheetData>
    <row r="1" spans="1:66" s="1" customFormat="1" ht="36" x14ac:dyDescent="0.25">
      <c r="A1" s="186"/>
      <c r="B1" s="187"/>
      <c r="C1" s="266"/>
      <c r="D1" s="187"/>
      <c r="E1" s="187"/>
      <c r="F1" s="187"/>
      <c r="G1" s="187"/>
      <c r="H1" s="187"/>
      <c r="I1" s="187"/>
      <c r="J1" s="231">
        <f>'NFI Summary'!R3</f>
        <v>1</v>
      </c>
      <c r="K1" s="187"/>
      <c r="L1" s="187"/>
      <c r="M1" s="187"/>
      <c r="N1" s="187"/>
      <c r="O1" s="187"/>
      <c r="P1" s="232"/>
      <c r="Q1" s="232"/>
      <c r="R1" s="507"/>
      <c r="S1" s="232"/>
      <c r="T1" s="232"/>
      <c r="U1" s="232"/>
      <c r="V1" s="232"/>
      <c r="W1" s="232"/>
      <c r="X1" s="232"/>
      <c r="Y1" s="232"/>
      <c r="Z1" s="232"/>
      <c r="AA1" s="232"/>
      <c r="AB1" s="233"/>
      <c r="AC1" s="233"/>
      <c r="AD1" s="188"/>
      <c r="AE1" s="188"/>
      <c r="AF1" s="188"/>
      <c r="AG1" s="188"/>
      <c r="AH1" s="188"/>
      <c r="AI1" s="188"/>
      <c r="AJ1" s="188"/>
      <c r="AK1" s="188"/>
      <c r="AL1" s="188"/>
      <c r="AM1" s="188"/>
      <c r="AN1" s="189"/>
      <c r="BM1" s="68"/>
      <c r="BN1" s="68"/>
    </row>
    <row r="2" spans="1:66" s="1" customFormat="1" ht="33" customHeight="1" x14ac:dyDescent="0.35">
      <c r="A2" s="1011" t="s">
        <v>795</v>
      </c>
      <c r="B2" s="1012"/>
      <c r="C2" s="1012"/>
      <c r="D2" s="1012"/>
      <c r="E2" s="1012"/>
      <c r="F2" s="1012"/>
      <c r="G2" s="1012"/>
      <c r="H2" s="1012"/>
      <c r="I2" s="1012"/>
      <c r="J2" s="91"/>
      <c r="K2" s="91"/>
      <c r="L2" s="91"/>
      <c r="M2" s="91"/>
      <c r="N2" s="91"/>
      <c r="O2" s="91"/>
      <c r="P2" s="234"/>
      <c r="Q2" s="183"/>
      <c r="R2" s="508"/>
      <c r="S2" s="183"/>
      <c r="T2" s="183"/>
      <c r="U2" s="183"/>
      <c r="V2" s="183"/>
      <c r="W2" s="183"/>
      <c r="X2" s="183"/>
      <c r="Y2" s="183"/>
      <c r="Z2" s="183"/>
      <c r="AA2" s="183"/>
      <c r="AB2" s="183"/>
      <c r="AC2" s="183"/>
      <c r="AD2" s="183"/>
      <c r="AE2" s="183"/>
      <c r="AF2" s="183"/>
      <c r="AG2" s="183"/>
      <c r="AH2" s="183"/>
      <c r="AI2" s="183"/>
      <c r="AJ2" s="183"/>
      <c r="AK2" s="183"/>
      <c r="AL2" s="183"/>
      <c r="AM2" s="183"/>
      <c r="AN2" s="190"/>
      <c r="AO2" s="90"/>
      <c r="AP2" s="90"/>
      <c r="AQ2" s="90"/>
      <c r="AR2" s="90"/>
      <c r="AS2" s="90"/>
      <c r="AT2" s="90"/>
      <c r="AU2" s="90"/>
      <c r="AV2" s="90"/>
      <c r="AW2" s="90"/>
      <c r="AX2" s="90"/>
      <c r="AY2" s="90"/>
      <c r="AZ2" s="90"/>
      <c r="BA2" s="90"/>
      <c r="BK2" s="68"/>
      <c r="BL2" s="68"/>
    </row>
    <row r="3" spans="1:66" s="19" customFormat="1" ht="18" customHeight="1" x14ac:dyDescent="0.35">
      <c r="A3" s="1077">
        <f>Report_Date</f>
        <v>42856</v>
      </c>
      <c r="B3" s="1078"/>
      <c r="C3" s="1078"/>
      <c r="D3" s="1078"/>
      <c r="E3" s="1078"/>
      <c r="F3" s="1078"/>
      <c r="G3" s="1078"/>
      <c r="H3" s="1078"/>
      <c r="I3" s="1078"/>
      <c r="J3" s="91"/>
      <c r="K3" s="91"/>
      <c r="L3" s="91"/>
      <c r="M3" s="91"/>
      <c r="N3" s="91"/>
      <c r="O3" s="91"/>
      <c r="P3" s="234"/>
      <c r="Q3" s="183"/>
      <c r="R3" s="508"/>
      <c r="S3" s="183"/>
      <c r="T3" s="183"/>
      <c r="U3" s="183"/>
      <c r="V3" s="183"/>
      <c r="W3" s="183"/>
      <c r="X3" s="183"/>
      <c r="Y3" s="183"/>
      <c r="Z3" s="183"/>
      <c r="AA3" s="183"/>
      <c r="AB3" s="183"/>
      <c r="AC3" s="183"/>
      <c r="AD3" s="183"/>
      <c r="AE3" s="183"/>
      <c r="AF3" s="183"/>
      <c r="AG3" s="183"/>
      <c r="AH3" s="183"/>
      <c r="AI3" s="183"/>
      <c r="AJ3" s="183"/>
      <c r="AK3" s="183"/>
      <c r="AL3" s="183"/>
      <c r="AM3" s="183"/>
      <c r="AN3" s="190"/>
      <c r="AO3" s="90"/>
      <c r="AP3" s="90"/>
      <c r="AQ3" s="90"/>
      <c r="AR3" s="90"/>
      <c r="AS3" s="90"/>
      <c r="AT3" s="90"/>
      <c r="AU3" s="90"/>
      <c r="AV3" s="90"/>
      <c r="AW3" s="90"/>
      <c r="AX3" s="90"/>
      <c r="AY3" s="90"/>
      <c r="AZ3" s="90"/>
      <c r="BA3" s="90"/>
      <c r="BK3" s="69"/>
      <c r="BL3" s="69"/>
    </row>
    <row r="4" spans="1:66" s="19" customFormat="1" ht="11.25" customHeight="1" x14ac:dyDescent="0.25">
      <c r="A4" s="1075"/>
      <c r="B4" s="1076"/>
      <c r="C4" s="1076"/>
      <c r="D4" s="1076"/>
      <c r="E4" s="235"/>
      <c r="F4" s="235"/>
      <c r="G4" s="235"/>
      <c r="H4" s="235"/>
      <c r="I4" s="235"/>
      <c r="J4" s="235"/>
      <c r="K4" s="235"/>
      <c r="L4" s="193"/>
      <c r="M4" s="235"/>
      <c r="N4" s="235"/>
      <c r="O4" s="235"/>
      <c r="P4" s="235"/>
      <c r="Q4" s="235"/>
      <c r="R4" s="509"/>
      <c r="S4" s="235"/>
      <c r="T4" s="235"/>
      <c r="U4" s="235"/>
      <c r="V4" s="235"/>
      <c r="W4" s="235"/>
      <c r="X4" s="235"/>
      <c r="Y4" s="235"/>
      <c r="Z4" s="235"/>
      <c r="AA4" s="236"/>
      <c r="AB4" s="235"/>
      <c r="AC4" s="235"/>
      <c r="AD4" s="193"/>
      <c r="AE4" s="193"/>
      <c r="AF4" s="193"/>
      <c r="AG4" s="193"/>
      <c r="AH4" s="193"/>
      <c r="AI4" s="193"/>
      <c r="AJ4" s="193"/>
      <c r="AK4" s="193"/>
      <c r="AL4" s="193"/>
      <c r="AM4" s="193"/>
      <c r="AN4" s="194"/>
      <c r="BM4" s="69"/>
      <c r="BN4" s="69"/>
    </row>
    <row r="5" spans="1:66" s="52" customFormat="1" ht="86.25" customHeight="1" x14ac:dyDescent="0.25">
      <c r="A5" s="237" t="s">
        <v>232</v>
      </c>
      <c r="B5" s="267" t="s">
        <v>797</v>
      </c>
      <c r="C5" s="238" t="s">
        <v>210</v>
      </c>
      <c r="D5" s="238" t="s">
        <v>200</v>
      </c>
      <c r="E5" s="238" t="s">
        <v>211</v>
      </c>
      <c r="F5" s="238" t="s">
        <v>10</v>
      </c>
      <c r="G5" s="238" t="s">
        <v>1</v>
      </c>
      <c r="H5" s="238" t="s">
        <v>9</v>
      </c>
      <c r="I5" s="239" t="s">
        <v>301</v>
      </c>
      <c r="J5" s="239" t="s">
        <v>202</v>
      </c>
      <c r="K5" s="239" t="s">
        <v>302</v>
      </c>
      <c r="L5" s="239" t="s">
        <v>596</v>
      </c>
      <c r="M5" s="239" t="s">
        <v>303</v>
      </c>
      <c r="N5" s="239" t="s">
        <v>228</v>
      </c>
      <c r="O5" s="239" t="s">
        <v>229</v>
      </c>
      <c r="P5" s="239" t="s">
        <v>327</v>
      </c>
      <c r="Q5" s="239" t="s">
        <v>579</v>
      </c>
      <c r="R5" s="510" t="s">
        <v>928</v>
      </c>
      <c r="S5" s="239" t="s">
        <v>580</v>
      </c>
      <c r="T5" s="239" t="s">
        <v>1114</v>
      </c>
      <c r="U5" s="239" t="s">
        <v>1115</v>
      </c>
      <c r="V5" s="239" t="s">
        <v>1116</v>
      </c>
      <c r="W5" s="239" t="s">
        <v>1151</v>
      </c>
      <c r="X5" s="240" t="s">
        <v>896</v>
      </c>
      <c r="Y5" s="240" t="s">
        <v>897</v>
      </c>
      <c r="Z5" s="240" t="s">
        <v>898</v>
      </c>
      <c r="AA5" s="240" t="s">
        <v>899</v>
      </c>
      <c r="AB5" s="240" t="s">
        <v>900</v>
      </c>
      <c r="AC5" s="240" t="s">
        <v>901</v>
      </c>
      <c r="AD5" s="240" t="s">
        <v>902</v>
      </c>
      <c r="AE5" s="240" t="s">
        <v>903</v>
      </c>
      <c r="AF5" s="240" t="s">
        <v>904</v>
      </c>
      <c r="AG5" s="240" t="s">
        <v>935</v>
      </c>
      <c r="AH5" s="240" t="s">
        <v>905</v>
      </c>
      <c r="AI5" s="240" t="s">
        <v>1119</v>
      </c>
      <c r="AJ5" s="240" t="s">
        <v>1120</v>
      </c>
      <c r="AK5" s="240" t="s">
        <v>1121</v>
      </c>
      <c r="AL5" s="240" t="s">
        <v>1152</v>
      </c>
      <c r="AM5" s="241" t="s">
        <v>565</v>
      </c>
      <c r="AN5" s="241" t="s">
        <v>346</v>
      </c>
      <c r="AO5" s="931" t="s">
        <v>1131</v>
      </c>
      <c r="AR5" s="792"/>
    </row>
    <row r="6" spans="1:66" s="968" customFormat="1" ht="21" customHeight="1" x14ac:dyDescent="0.25">
      <c r="A6" s="903">
        <f t="shared" ref="A6:A13" si="0">IF(ISBLANK(C6),"",(Report_Date-C6)/30)</f>
        <v>-0.83333333333333337</v>
      </c>
      <c r="B6" s="904">
        <f>YEAR(Data_NFI_t[[#This Row],[Distribution Date]])</f>
        <v>2017</v>
      </c>
      <c r="C6" s="974">
        <v>42881</v>
      </c>
      <c r="D6" s="900" t="s">
        <v>1117</v>
      </c>
      <c r="E6" s="900" t="s">
        <v>1117</v>
      </c>
      <c r="F6" s="900" t="s">
        <v>7</v>
      </c>
      <c r="G6" s="906" t="s">
        <v>19</v>
      </c>
      <c r="H6" s="906" t="s">
        <v>64</v>
      </c>
      <c r="I6" s="907"/>
      <c r="J6" s="908"/>
      <c r="K6" s="908">
        <v>400</v>
      </c>
      <c r="L6" s="909"/>
      <c r="M6" s="909"/>
      <c r="N6" s="909"/>
      <c r="O6" s="909"/>
      <c r="P6" s="909"/>
      <c r="Q6" s="909"/>
      <c r="R6" s="910"/>
      <c r="S6" s="909"/>
      <c r="T6" s="909"/>
      <c r="U6" s="909"/>
      <c r="V6" s="909"/>
      <c r="W6" s="909"/>
      <c r="X6" s="901">
        <f>IF(NFI_Expiration=1,IF($A6&lt;VLOOKUP(I$5,NFI,5,0),1,0)*Data_NFI_t[[#This Row],[Hygiene Kit]],0)</f>
        <v>0</v>
      </c>
      <c r="Y6" s="901">
        <f>IF(NFI_Expiration=1,IF($A6&lt;VLOOKUP(J$5,NFI,5,0),1,0)*Data_NFI_t[[#This Row],[NFI Core Kit]],0)</f>
        <v>0</v>
      </c>
      <c r="Z6" s="902">
        <f>IF(NFI_Expiration=1,IF($A6&lt;VLOOKUP(K$5,NFI,5,0),1,0)*Data_NFI_t[[#This Row],[Sanitary Kit]],0)</f>
        <v>400</v>
      </c>
      <c r="AA6" s="902">
        <f>IF(NFI_Expiration=1,IF($A6&lt;VLOOKUP(L$5,NFI,5,0),1,0)*Data_NFI_t[[#This Row],[Mosquito net]],0)</f>
        <v>0</v>
      </c>
      <c r="AB6" s="902">
        <f>IF(NFI_Expiration=1,IF($A6&lt;VLOOKUP(M$5,NFI,5,0),1,0)*Data_NFI_t[[#This Row],[Tarpaulin]],0)</f>
        <v>0</v>
      </c>
      <c r="AC6" s="902">
        <f>IF(NFI_Expiration=1,IF($A6&lt;VLOOKUP(N$5,NFI,5,0),1,0)*Data_NFI_t[[#This Row],[Blanket]],0)</f>
        <v>0</v>
      </c>
      <c r="AD6" s="902">
        <f>IF(NFI_Expiration=1,IF($A6&lt;VLOOKUP(O$5,NFI,5,0),1,0)*Data_NFI_t[[#This Row],[Kitchen Set]],0)</f>
        <v>0</v>
      </c>
      <c r="AE6" s="902">
        <f>IF(NFI_Expiration=1,IF($A6&lt;VLOOKUP(P$5,NFI,5,0),1,0)*Data_NFI_t[[#This Row],[Complementary Kit]],0)</f>
        <v>0</v>
      </c>
      <c r="AF6" s="902">
        <f>IF(NFI_Expiration=1,IF($A6&lt;VLOOKUP(Q$5,NFI,5,0),1,0)*Data_NFI_t[[#This Row],[Plastic Bucket]],0)</f>
        <v>0</v>
      </c>
      <c r="AG6" s="901">
        <f>IF(NFI_Expiration=1,IF($A6&lt;VLOOKUP(R$5,NFI,5,0),1,0)*Data_NFI_t[[#This Row],[Jerry Can]],0)</f>
        <v>0</v>
      </c>
      <c r="AH6" s="901">
        <f>IF(NFI_Expiration=1,IF($A6&lt;VLOOKUP(S$5,NFI,5,0),1,0)*Data_NFI_t[[#This Row],[Plastic Mat]],0)*IF(Data_NFI_t[[#This Row],[Distribution Date]]&gt;"01-06-2015",1,2.5)</f>
        <v>0</v>
      </c>
      <c r="AI6" s="901">
        <f>IF(NFI_Expiration=1,IF($A6&lt;VLOOKUP(T$5,NFI,5,0),1,0)*Data_NFI_t[[#This Row],[Adult Clothes]],0)</f>
        <v>0</v>
      </c>
      <c r="AJ6" s="901">
        <f>IF(NFI_Expiration=1,IF($A6&lt;VLOOKUP(U$5,NFI,5,0),1,0)*Data_NFI_t[[#This Row],[Children Clothes]],0)</f>
        <v>0</v>
      </c>
      <c r="AK6" s="901">
        <f>IF(NFI_Expiration=1,IF($A6&lt;VLOOKUP(V$5,NFI,5,0),1,0)*Data_NFI_t[[#This Row],[Sewing Kit]],0)</f>
        <v>0</v>
      </c>
      <c r="AL6" s="901">
        <f>IF(NFI_Expiration=1,IF($A6&lt;VLOOKUP(V$5,NFI,5,0),1,0)*Data_NFI_t[[#This Row],[Solar Lantern]],0)</f>
        <v>0</v>
      </c>
      <c r="AM6" s="131" t="str">
        <f ca="1">IFERROR(OFFSET(Camp_List[P_Code],MATCH(Data_NFI_t[[#This Row],[Camp Name]],Camp_List[Camp Name],0)-1,0,1,1),"")</f>
        <v>MMR012CMP042</v>
      </c>
      <c r="AN6" s="513" t="str">
        <f ca="1">IFERROR(OFFSET(Camp_List[Status],MATCH(Data_NFI_t[[#This Row],[Camp Name]],Camp_List[Camp Name],0)-1,0,1,1),"")</f>
        <v>Open</v>
      </c>
      <c r="AO6" s="131"/>
      <c r="AR6" s="975"/>
    </row>
    <row r="7" spans="1:66" s="968" customFormat="1" ht="21" customHeight="1" x14ac:dyDescent="0.25">
      <c r="A7" s="903">
        <f t="shared" si="0"/>
        <v>-0.83333333333333337</v>
      </c>
      <c r="B7" s="904">
        <f>YEAR(Data_NFI_t[[#This Row],[Distribution Date]])</f>
        <v>2017</v>
      </c>
      <c r="C7" s="974">
        <v>42881</v>
      </c>
      <c r="D7" s="900" t="s">
        <v>285</v>
      </c>
      <c r="E7" s="900" t="s">
        <v>623</v>
      </c>
      <c r="F7" s="900" t="s">
        <v>7</v>
      </c>
      <c r="G7" s="906" t="s">
        <v>19</v>
      </c>
      <c r="H7" s="906" t="s">
        <v>64</v>
      </c>
      <c r="I7" s="907"/>
      <c r="J7" s="908"/>
      <c r="K7" s="908"/>
      <c r="L7" s="909"/>
      <c r="M7" s="909">
        <v>112</v>
      </c>
      <c r="N7" s="909"/>
      <c r="O7" s="909"/>
      <c r="P7" s="909"/>
      <c r="Q7" s="909"/>
      <c r="R7" s="910"/>
      <c r="S7" s="909"/>
      <c r="T7" s="909"/>
      <c r="U7" s="909"/>
      <c r="V7" s="909"/>
      <c r="W7" s="909"/>
      <c r="X7" s="901">
        <f>IF(NFI_Expiration=1,IF($A7&lt;VLOOKUP(I$5,NFI,5,0),1,0)*Data_NFI_t[[#This Row],[Hygiene Kit]],0)</f>
        <v>0</v>
      </c>
      <c r="Y7" s="901">
        <f>IF(NFI_Expiration=1,IF($A7&lt;VLOOKUP(J$5,NFI,5,0),1,0)*Data_NFI_t[[#This Row],[NFI Core Kit]],0)</f>
        <v>0</v>
      </c>
      <c r="Z7" s="902">
        <f>IF(NFI_Expiration=1,IF($A7&lt;VLOOKUP(K$5,NFI,5,0),1,0)*Data_NFI_t[[#This Row],[Sanitary Kit]],0)</f>
        <v>0</v>
      </c>
      <c r="AA7" s="902">
        <f>IF(NFI_Expiration=1,IF($A7&lt;VLOOKUP(L$5,NFI,5,0),1,0)*Data_NFI_t[[#This Row],[Mosquito net]],0)</f>
        <v>0</v>
      </c>
      <c r="AB7" s="902">
        <f>IF(NFI_Expiration=1,IF($A7&lt;VLOOKUP(M$5,NFI,5,0),1,0)*Data_NFI_t[[#This Row],[Tarpaulin]],0)</f>
        <v>112</v>
      </c>
      <c r="AC7" s="902">
        <f>IF(NFI_Expiration=1,IF($A7&lt;VLOOKUP(N$5,NFI,5,0),1,0)*Data_NFI_t[[#This Row],[Blanket]],0)</f>
        <v>0</v>
      </c>
      <c r="AD7" s="902">
        <f>IF(NFI_Expiration=1,IF($A7&lt;VLOOKUP(O$5,NFI,5,0),1,0)*Data_NFI_t[[#This Row],[Kitchen Set]],0)</f>
        <v>0</v>
      </c>
      <c r="AE7" s="902">
        <f>IF(NFI_Expiration=1,IF($A7&lt;VLOOKUP(P$5,NFI,5,0),1,0)*Data_NFI_t[[#This Row],[Complementary Kit]],0)</f>
        <v>0</v>
      </c>
      <c r="AF7" s="902">
        <f>IF(NFI_Expiration=1,IF($A7&lt;VLOOKUP(Q$5,NFI,5,0),1,0)*Data_NFI_t[[#This Row],[Plastic Bucket]],0)</f>
        <v>0</v>
      </c>
      <c r="AG7" s="901">
        <f>IF(NFI_Expiration=1,IF($A7&lt;VLOOKUP(R$5,NFI,5,0),1,0)*Data_NFI_t[[#This Row],[Jerry Can]],0)</f>
        <v>0</v>
      </c>
      <c r="AH7" s="901">
        <f>IF(NFI_Expiration=1,IF($A7&lt;VLOOKUP(S$5,NFI,5,0),1,0)*Data_NFI_t[[#This Row],[Plastic Mat]],0)*IF(Data_NFI_t[[#This Row],[Distribution Date]]&gt;"01-06-2015",1,2.5)</f>
        <v>0</v>
      </c>
      <c r="AI7" s="901">
        <f>IF(NFI_Expiration=1,IF($A7&lt;VLOOKUP(T$5,NFI,5,0),1,0)*Data_NFI_t[[#This Row],[Adult Clothes]],0)</f>
        <v>0</v>
      </c>
      <c r="AJ7" s="901">
        <f>IF(NFI_Expiration=1,IF($A7&lt;VLOOKUP(U$5,NFI,5,0),1,0)*Data_NFI_t[[#This Row],[Children Clothes]],0)</f>
        <v>0</v>
      </c>
      <c r="AK7" s="901">
        <f>IF(NFI_Expiration=1,IF($A7&lt;VLOOKUP(V$5,NFI,5,0),1,0)*Data_NFI_t[[#This Row],[Sewing Kit]],0)</f>
        <v>0</v>
      </c>
      <c r="AL7" s="901">
        <f>IF(NFI_Expiration=1,IF($A7&lt;VLOOKUP(V$5,NFI,5,0),1,0)*Data_NFI_t[[#This Row],[Solar Lantern]],0)</f>
        <v>0</v>
      </c>
      <c r="AM7" s="131" t="str">
        <f ca="1">IFERROR(OFFSET(Camp_List[P_Code],MATCH(Data_NFI_t[[#This Row],[Camp Name]],Camp_List[Camp Name],0)-1,0,1,1),"")</f>
        <v>MMR012CMP042</v>
      </c>
      <c r="AN7" s="513" t="str">
        <f ca="1">IFERROR(OFFSET(Camp_List[Status],MATCH(Data_NFI_t[[#This Row],[Camp Name]],Camp_List[Camp Name],0)-1,0,1,1),"")</f>
        <v>Open</v>
      </c>
      <c r="AO7" s="131"/>
      <c r="AR7" s="975"/>
    </row>
    <row r="8" spans="1:66" s="968" customFormat="1" ht="21" customHeight="1" x14ac:dyDescent="0.25">
      <c r="A8" s="903">
        <f t="shared" si="0"/>
        <v>-0.8</v>
      </c>
      <c r="B8" s="904">
        <f>YEAR(Data_NFI_t[[#This Row],[Distribution Date]])</f>
        <v>2017</v>
      </c>
      <c r="C8" s="974">
        <v>42880</v>
      </c>
      <c r="D8" s="900" t="s">
        <v>518</v>
      </c>
      <c r="E8" s="900" t="s">
        <v>518</v>
      </c>
      <c r="F8" s="900" t="s">
        <v>7</v>
      </c>
      <c r="G8" s="906" t="s">
        <v>19</v>
      </c>
      <c r="H8" s="906" t="s">
        <v>633</v>
      </c>
      <c r="I8" s="907"/>
      <c r="J8" s="908"/>
      <c r="K8" s="908"/>
      <c r="L8" s="909"/>
      <c r="M8" s="909"/>
      <c r="N8" s="909"/>
      <c r="O8" s="909"/>
      <c r="P8" s="909"/>
      <c r="Q8" s="909">
        <v>635</v>
      </c>
      <c r="R8" s="910"/>
      <c r="S8" s="909"/>
      <c r="T8" s="909"/>
      <c r="U8" s="909"/>
      <c r="V8" s="909"/>
      <c r="W8" s="909"/>
      <c r="X8" s="901">
        <f>IF(NFI_Expiration=1,IF($A8&lt;VLOOKUP(I$5,NFI,5,0),1,0)*Data_NFI_t[[#This Row],[Hygiene Kit]],0)</f>
        <v>0</v>
      </c>
      <c r="Y8" s="901">
        <f>IF(NFI_Expiration=1,IF($A8&lt;VLOOKUP(J$5,NFI,5,0),1,0)*Data_NFI_t[[#This Row],[NFI Core Kit]],0)</f>
        <v>0</v>
      </c>
      <c r="Z8" s="902">
        <f>IF(NFI_Expiration=1,IF($A8&lt;VLOOKUP(K$5,NFI,5,0),1,0)*Data_NFI_t[[#This Row],[Sanitary Kit]],0)</f>
        <v>0</v>
      </c>
      <c r="AA8" s="902">
        <f>IF(NFI_Expiration=1,IF($A8&lt;VLOOKUP(L$5,NFI,5,0),1,0)*Data_NFI_t[[#This Row],[Mosquito net]],0)</f>
        <v>0</v>
      </c>
      <c r="AB8" s="902">
        <f>IF(NFI_Expiration=1,IF($A8&lt;VLOOKUP(M$5,NFI,5,0),1,0)*Data_NFI_t[[#This Row],[Tarpaulin]],0)</f>
        <v>0</v>
      </c>
      <c r="AC8" s="902">
        <f>IF(NFI_Expiration=1,IF($A8&lt;VLOOKUP(N$5,NFI,5,0),1,0)*Data_NFI_t[[#This Row],[Blanket]],0)</f>
        <v>0</v>
      </c>
      <c r="AD8" s="902">
        <f>IF(NFI_Expiration=1,IF($A8&lt;VLOOKUP(O$5,NFI,5,0),1,0)*Data_NFI_t[[#This Row],[Kitchen Set]],0)</f>
        <v>0</v>
      </c>
      <c r="AE8" s="902">
        <f>IF(NFI_Expiration=1,IF($A8&lt;VLOOKUP(P$5,NFI,5,0),1,0)*Data_NFI_t[[#This Row],[Complementary Kit]],0)</f>
        <v>0</v>
      </c>
      <c r="AF8" s="902">
        <f>IF(NFI_Expiration=1,IF($A8&lt;VLOOKUP(Q$5,NFI,5,0),1,0)*Data_NFI_t[[#This Row],[Plastic Bucket]],0)</f>
        <v>635</v>
      </c>
      <c r="AG8" s="901">
        <f>IF(NFI_Expiration=1,IF($A8&lt;VLOOKUP(R$5,NFI,5,0),1,0)*Data_NFI_t[[#This Row],[Jerry Can]],0)</f>
        <v>0</v>
      </c>
      <c r="AH8" s="901">
        <f>IF(NFI_Expiration=1,IF($A8&lt;VLOOKUP(S$5,NFI,5,0),1,0)*Data_NFI_t[[#This Row],[Plastic Mat]],0)*IF(Data_NFI_t[[#This Row],[Distribution Date]]&gt;"01-06-2015",1,2.5)</f>
        <v>0</v>
      </c>
      <c r="AI8" s="901">
        <f>IF(NFI_Expiration=1,IF($A8&lt;VLOOKUP(T$5,NFI,5,0),1,0)*Data_NFI_t[[#This Row],[Adult Clothes]],0)</f>
        <v>0</v>
      </c>
      <c r="AJ8" s="901">
        <f>IF(NFI_Expiration=1,IF($A8&lt;VLOOKUP(U$5,NFI,5,0),1,0)*Data_NFI_t[[#This Row],[Children Clothes]],0)</f>
        <v>0</v>
      </c>
      <c r="AK8" s="901">
        <f>IF(NFI_Expiration=1,IF($A8&lt;VLOOKUP(V$5,NFI,5,0),1,0)*Data_NFI_t[[#This Row],[Sewing Kit]],0)</f>
        <v>0</v>
      </c>
      <c r="AL8" s="901">
        <f>IF(NFI_Expiration=1,IF($A8&lt;VLOOKUP(V$5,NFI,5,0),1,0)*Data_NFI_t[[#This Row],[Solar Lantern]],0)</f>
        <v>0</v>
      </c>
      <c r="AM8" s="131" t="str">
        <f ca="1">IFERROR(OFFSET(Camp_List[P_Code],MATCH(Data_NFI_t[[#This Row],[Camp Name]],Camp_List[Camp Name],0)-1,0,1,1),"")</f>
        <v>MMR012CMP098</v>
      </c>
      <c r="AN8" s="513" t="str">
        <f ca="1">IFERROR(OFFSET(Camp_List[Status],MATCH(Data_NFI_t[[#This Row],[Camp Name]],Camp_List[Camp Name],0)-1,0,1,1),"")</f>
        <v>Open</v>
      </c>
      <c r="AO8" s="131"/>
      <c r="AR8" s="975"/>
    </row>
    <row r="9" spans="1:66" s="968" customFormat="1" ht="21" customHeight="1" x14ac:dyDescent="0.25">
      <c r="A9" s="903">
        <f>IF(ISBLANK(C9),"",(Report_Date-C9)/30)</f>
        <v>-0.7</v>
      </c>
      <c r="B9" s="904">
        <f>YEAR(Data_NFI_t[[#This Row],[Distribution Date]])</f>
        <v>2017</v>
      </c>
      <c r="C9" s="974">
        <v>42877</v>
      </c>
      <c r="D9" s="900" t="s">
        <v>970</v>
      </c>
      <c r="E9" s="900" t="s">
        <v>970</v>
      </c>
      <c r="F9" s="900" t="s">
        <v>7</v>
      </c>
      <c r="G9" s="906" t="s">
        <v>19</v>
      </c>
      <c r="H9" s="906" t="s">
        <v>70</v>
      </c>
      <c r="I9" s="907"/>
      <c r="J9" s="908">
        <v>30</v>
      </c>
      <c r="K9" s="908"/>
      <c r="L9" s="909"/>
      <c r="M9" s="909"/>
      <c r="N9" s="909"/>
      <c r="O9" s="909"/>
      <c r="P9" s="909"/>
      <c r="Q9" s="909"/>
      <c r="R9" s="910"/>
      <c r="S9" s="909"/>
      <c r="T9" s="909"/>
      <c r="U9" s="909"/>
      <c r="V9" s="909"/>
      <c r="W9" s="909"/>
      <c r="X9" s="901">
        <f>IF(NFI_Expiration=1,IF($A9&lt;VLOOKUP(I$5,NFI,5,0),1,0)*Data_NFI_t[[#This Row],[Hygiene Kit]],0)</f>
        <v>0</v>
      </c>
      <c r="Y9" s="901">
        <f>IF(NFI_Expiration=1,IF($A9&lt;VLOOKUP(J$5,NFI,5,0),1,0)*Data_NFI_t[[#This Row],[NFI Core Kit]],0)</f>
        <v>30</v>
      </c>
      <c r="Z9" s="902">
        <f>IF(NFI_Expiration=1,IF($A9&lt;VLOOKUP(K$5,NFI,5,0),1,0)*Data_NFI_t[[#This Row],[Sanitary Kit]],0)</f>
        <v>0</v>
      </c>
      <c r="AA9" s="902">
        <f>IF(NFI_Expiration=1,IF($A9&lt;VLOOKUP(L$5,NFI,5,0),1,0)*Data_NFI_t[[#This Row],[Mosquito net]],0)</f>
        <v>0</v>
      </c>
      <c r="AB9" s="902">
        <f>IF(NFI_Expiration=1,IF($A9&lt;VLOOKUP(M$5,NFI,5,0),1,0)*Data_NFI_t[[#This Row],[Tarpaulin]],0)</f>
        <v>0</v>
      </c>
      <c r="AC9" s="902">
        <f>IF(NFI_Expiration=1,IF($A9&lt;VLOOKUP(N$5,NFI,5,0),1,0)*Data_NFI_t[[#This Row],[Blanket]],0)</f>
        <v>0</v>
      </c>
      <c r="AD9" s="902">
        <f>IF(NFI_Expiration=1,IF($A9&lt;VLOOKUP(O$5,NFI,5,0),1,0)*Data_NFI_t[[#This Row],[Kitchen Set]],0)</f>
        <v>0</v>
      </c>
      <c r="AE9" s="902">
        <f>IF(NFI_Expiration=1,IF($A9&lt;VLOOKUP(P$5,NFI,5,0),1,0)*Data_NFI_t[[#This Row],[Complementary Kit]],0)</f>
        <v>0</v>
      </c>
      <c r="AF9" s="902">
        <f>IF(NFI_Expiration=1,IF($A9&lt;VLOOKUP(Q$5,NFI,5,0),1,0)*Data_NFI_t[[#This Row],[Plastic Bucket]],0)</f>
        <v>0</v>
      </c>
      <c r="AG9" s="901">
        <f>IF(NFI_Expiration=1,IF($A9&lt;VLOOKUP(R$5,NFI,5,0),1,0)*Data_NFI_t[[#This Row],[Jerry Can]],0)</f>
        <v>0</v>
      </c>
      <c r="AH9" s="901">
        <f>IF(NFI_Expiration=1,IF($A9&lt;VLOOKUP(S$5,NFI,5,0),1,0)*Data_NFI_t[[#This Row],[Plastic Mat]],0)*IF(Data_NFI_t[[#This Row],[Distribution Date]]&gt;"01-06-2015",1,2.5)</f>
        <v>0</v>
      </c>
      <c r="AI9" s="901">
        <f>IF(NFI_Expiration=1,IF($A9&lt;VLOOKUP(T$5,NFI,5,0),1,0)*Data_NFI_t[[#This Row],[Adult Clothes]],0)</f>
        <v>0</v>
      </c>
      <c r="AJ9" s="901">
        <f>IF(NFI_Expiration=1,IF($A9&lt;VLOOKUP(U$5,NFI,5,0),1,0)*Data_NFI_t[[#This Row],[Children Clothes]],0)</f>
        <v>0</v>
      </c>
      <c r="AK9" s="901">
        <f>IF(NFI_Expiration=1,IF($A9&lt;VLOOKUP(V$5,NFI,5,0),1,0)*Data_NFI_t[[#This Row],[Sewing Kit]],0)</f>
        <v>0</v>
      </c>
      <c r="AL9" s="901">
        <f>IF(NFI_Expiration=1,IF($A9&lt;VLOOKUP(V$5,NFI,5,0),1,0)*Data_NFI_t[[#This Row],[Solar Lantern]],0)</f>
        <v>0</v>
      </c>
      <c r="AM9" s="131" t="str">
        <f ca="1">IFERROR(OFFSET(Camp_List[P_Code],MATCH(Data_NFI_t[[#This Row],[Camp Name]],Camp_List[Camp Name],0)-1,0,1,1),"")</f>
        <v>MMR012CMP048</v>
      </c>
      <c r="AN9" s="513" t="str">
        <f ca="1">IFERROR(OFFSET(Camp_List[Status],MATCH(Data_NFI_t[[#This Row],[Camp Name]],Camp_List[Camp Name],0)-1,0,1,1),"")</f>
        <v>Open</v>
      </c>
      <c r="AO9" s="131"/>
      <c r="AR9" s="975"/>
    </row>
    <row r="10" spans="1:66" s="968" customFormat="1" ht="21" customHeight="1" x14ac:dyDescent="0.25">
      <c r="A10" s="903">
        <f t="shared" si="0"/>
        <v>-0.73333333333333328</v>
      </c>
      <c r="B10" s="904">
        <f>YEAR(Data_NFI_t[[#This Row],[Distribution Date]])</f>
        <v>2017</v>
      </c>
      <c r="C10" s="974">
        <v>42878</v>
      </c>
      <c r="D10" s="900" t="s">
        <v>1137</v>
      </c>
      <c r="E10" s="900" t="s">
        <v>1137</v>
      </c>
      <c r="F10" s="900" t="s">
        <v>7</v>
      </c>
      <c r="G10" s="906" t="s">
        <v>19</v>
      </c>
      <c r="H10" s="906" t="s">
        <v>61</v>
      </c>
      <c r="I10" s="907"/>
      <c r="J10" s="908"/>
      <c r="K10" s="908">
        <v>397</v>
      </c>
      <c r="L10" s="909"/>
      <c r="M10" s="909"/>
      <c r="N10" s="909"/>
      <c r="O10" s="909"/>
      <c r="P10" s="909"/>
      <c r="Q10" s="909"/>
      <c r="R10" s="910"/>
      <c r="S10" s="909"/>
      <c r="T10" s="909"/>
      <c r="U10" s="909"/>
      <c r="V10" s="909"/>
      <c r="W10" s="909"/>
      <c r="X10" s="901">
        <f>IF(NFI_Expiration=1,IF($A10&lt;VLOOKUP(I$5,NFI,5,0),1,0)*Data_NFI_t[[#This Row],[Hygiene Kit]],0)</f>
        <v>0</v>
      </c>
      <c r="Y10" s="901">
        <f>IF(NFI_Expiration=1,IF($A10&lt;VLOOKUP(J$5,NFI,5,0),1,0)*Data_NFI_t[[#This Row],[NFI Core Kit]],0)</f>
        <v>0</v>
      </c>
      <c r="Z10" s="902">
        <f>IF(NFI_Expiration=1,IF($A10&lt;VLOOKUP(K$5,NFI,5,0),1,0)*Data_NFI_t[[#This Row],[Sanitary Kit]],0)</f>
        <v>397</v>
      </c>
      <c r="AA10" s="902">
        <f>IF(NFI_Expiration=1,IF($A10&lt;VLOOKUP(L$5,NFI,5,0),1,0)*Data_NFI_t[[#This Row],[Mosquito net]],0)</f>
        <v>0</v>
      </c>
      <c r="AB10" s="902">
        <f>IF(NFI_Expiration=1,IF($A10&lt;VLOOKUP(M$5,NFI,5,0),1,0)*Data_NFI_t[[#This Row],[Tarpaulin]],0)</f>
        <v>0</v>
      </c>
      <c r="AC10" s="902">
        <f>IF(NFI_Expiration=1,IF($A10&lt;VLOOKUP(N$5,NFI,5,0),1,0)*Data_NFI_t[[#This Row],[Blanket]],0)</f>
        <v>0</v>
      </c>
      <c r="AD10" s="902">
        <f>IF(NFI_Expiration=1,IF($A10&lt;VLOOKUP(O$5,NFI,5,0),1,0)*Data_NFI_t[[#This Row],[Kitchen Set]],0)</f>
        <v>0</v>
      </c>
      <c r="AE10" s="902">
        <f>IF(NFI_Expiration=1,IF($A10&lt;VLOOKUP(P$5,NFI,5,0),1,0)*Data_NFI_t[[#This Row],[Complementary Kit]],0)</f>
        <v>0</v>
      </c>
      <c r="AF10" s="902">
        <f>IF(NFI_Expiration=1,IF($A10&lt;VLOOKUP(Q$5,NFI,5,0),1,0)*Data_NFI_t[[#This Row],[Plastic Bucket]],0)</f>
        <v>0</v>
      </c>
      <c r="AG10" s="901">
        <f>IF(NFI_Expiration=1,IF($A10&lt;VLOOKUP(R$5,NFI,5,0),1,0)*Data_NFI_t[[#This Row],[Jerry Can]],0)</f>
        <v>0</v>
      </c>
      <c r="AH10" s="901">
        <f>IF(NFI_Expiration=1,IF($A10&lt;VLOOKUP(S$5,NFI,5,0),1,0)*Data_NFI_t[[#This Row],[Plastic Mat]],0)</f>
        <v>0</v>
      </c>
      <c r="AI10" s="901">
        <f>IF(NFI_Expiration=1,IF($A10&lt;VLOOKUP(T$5,NFI,5,0),1,0)*Data_NFI_t[[#This Row],[Adult Clothes]],0)</f>
        <v>0</v>
      </c>
      <c r="AJ10" s="901">
        <f>IF(NFI_Expiration=1,IF($A10&lt;VLOOKUP(U$5,NFI,5,0),1,0)*Data_NFI_t[[#This Row],[Children Clothes]],0)</f>
        <v>0</v>
      </c>
      <c r="AK10" s="901">
        <f>IF(NFI_Expiration=1,IF($A10&lt;VLOOKUP(V$5,NFI,5,0),1,0)*Data_NFI_t[[#This Row],[Sewing Kit]],0)</f>
        <v>0</v>
      </c>
      <c r="AL10" s="901">
        <f>IF(NFI_Expiration=1,IF($A10&lt;VLOOKUP(V$5,NFI,5,0),1,0)*Data_NFI_t[[#This Row],[Solar Lantern]],0)</f>
        <v>0</v>
      </c>
      <c r="AM10" s="131" t="str">
        <f ca="1">IFERROR(OFFSET(Camp_List[P_Code],MATCH(Data_NFI_t[[#This Row],[Camp Name]],Camp_List[Camp Name],0)-1,0,1,1),"")</f>
        <v>MMR012CMP039</v>
      </c>
      <c r="AN10" s="513" t="str">
        <f ca="1">IFERROR(OFFSET(Camp_List[Status],MATCH(Data_NFI_t[[#This Row],[Camp Name]],Camp_List[Camp Name],0)-1,0,1,1),"")</f>
        <v>Open</v>
      </c>
      <c r="AO10" s="131"/>
      <c r="AR10" s="975"/>
    </row>
    <row r="11" spans="1:66" s="968" customFormat="1" ht="21" customHeight="1" x14ac:dyDescent="0.25">
      <c r="A11" s="903">
        <f>IF(ISBLANK(C11),"",(Report_Date-C11)/30)</f>
        <v>-0.46666666666666667</v>
      </c>
      <c r="B11" s="904">
        <f>YEAR(Data_NFI_t[[#This Row],[Distribution Date]])</f>
        <v>2017</v>
      </c>
      <c r="C11" s="974">
        <v>42870</v>
      </c>
      <c r="D11" s="900" t="s">
        <v>1137</v>
      </c>
      <c r="E11" s="900" t="s">
        <v>1137</v>
      </c>
      <c r="F11" s="900" t="s">
        <v>7</v>
      </c>
      <c r="G11" s="906" t="s">
        <v>19</v>
      </c>
      <c r="H11" s="906" t="s">
        <v>628</v>
      </c>
      <c r="I11" s="907"/>
      <c r="J11" s="908"/>
      <c r="K11" s="908">
        <v>656</v>
      </c>
      <c r="L11" s="909"/>
      <c r="M11" s="909"/>
      <c r="N11" s="909"/>
      <c r="O11" s="909"/>
      <c r="P11" s="909"/>
      <c r="Q11" s="909">
        <v>104</v>
      </c>
      <c r="R11" s="910"/>
      <c r="S11" s="909"/>
      <c r="T11" s="909"/>
      <c r="U11" s="909"/>
      <c r="V11" s="909"/>
      <c r="W11" s="909"/>
      <c r="X11" s="901">
        <f>IF(NFI_Expiration=1,IF($A11&lt;VLOOKUP(I$5,NFI,5,0),1,0)*Data_NFI_t[[#This Row],[Hygiene Kit]],0)</f>
        <v>0</v>
      </c>
      <c r="Y11" s="901">
        <f>IF(NFI_Expiration=1,IF($A11&lt;VLOOKUP(J$5,NFI,5,0),1,0)*Data_NFI_t[[#This Row],[NFI Core Kit]],0)</f>
        <v>0</v>
      </c>
      <c r="Z11" s="902">
        <f>IF(NFI_Expiration=1,IF($A11&lt;VLOOKUP(K$5,NFI,5,0),1,0)*Data_NFI_t[[#This Row],[Sanitary Kit]],0)</f>
        <v>656</v>
      </c>
      <c r="AA11" s="902">
        <f>IF(NFI_Expiration=1,IF($A11&lt;VLOOKUP(L$5,NFI,5,0),1,0)*Data_NFI_t[[#This Row],[Mosquito net]],0)</f>
        <v>0</v>
      </c>
      <c r="AB11" s="902">
        <f>IF(NFI_Expiration=1,IF($A11&lt;VLOOKUP(M$5,NFI,5,0),1,0)*Data_NFI_t[[#This Row],[Tarpaulin]],0)</f>
        <v>0</v>
      </c>
      <c r="AC11" s="902">
        <f>IF(NFI_Expiration=1,IF($A11&lt;VLOOKUP(N$5,NFI,5,0),1,0)*Data_NFI_t[[#This Row],[Blanket]],0)</f>
        <v>0</v>
      </c>
      <c r="AD11" s="902">
        <f>IF(NFI_Expiration=1,IF($A11&lt;VLOOKUP(O$5,NFI,5,0),1,0)*Data_NFI_t[[#This Row],[Kitchen Set]],0)</f>
        <v>0</v>
      </c>
      <c r="AE11" s="902">
        <f>IF(NFI_Expiration=1,IF($A11&lt;VLOOKUP(P$5,NFI,5,0),1,0)*Data_NFI_t[[#This Row],[Complementary Kit]],0)</f>
        <v>0</v>
      </c>
      <c r="AF11" s="902">
        <f>IF(NFI_Expiration=1,IF($A11&lt;VLOOKUP(Q$5,NFI,5,0),1,0)*Data_NFI_t[[#This Row],[Plastic Bucket]],0)</f>
        <v>104</v>
      </c>
      <c r="AG11" s="901">
        <f>IF(NFI_Expiration=1,IF($A11&lt;VLOOKUP(R$5,NFI,5,0),1,0)*Data_NFI_t[[#This Row],[Jerry Can]],0)</f>
        <v>0</v>
      </c>
      <c r="AH11" s="901">
        <f>IF(NFI_Expiration=1,IF($A11&lt;VLOOKUP(S$5,NFI,5,0),1,0)*Data_NFI_t[[#This Row],[Plastic Mat]],0)*IF(Data_NFI_t[[#This Row],[Distribution Date]]&gt;"01-06-2015",1,2.5)</f>
        <v>0</v>
      </c>
      <c r="AI11" s="901">
        <f>IF(NFI_Expiration=1,IF($A11&lt;VLOOKUP(T$5,NFI,5,0),1,0)*Data_NFI_t[[#This Row],[Adult Clothes]],0)</f>
        <v>0</v>
      </c>
      <c r="AJ11" s="901">
        <f>IF(NFI_Expiration=1,IF($A11&lt;VLOOKUP(U$5,NFI,5,0),1,0)*Data_NFI_t[[#This Row],[Children Clothes]],0)</f>
        <v>0</v>
      </c>
      <c r="AK11" s="901">
        <f>IF(NFI_Expiration=1,IF($A11&lt;VLOOKUP(V$5,NFI,5,0),1,0)*Data_NFI_t[[#This Row],[Sewing Kit]],0)</f>
        <v>0</v>
      </c>
      <c r="AL11" s="901">
        <f>IF(NFI_Expiration=1,IF($A11&lt;VLOOKUP(V$5,NFI,5,0),1,0)*Data_NFI_t[[#This Row],[Solar Lantern]],0)</f>
        <v>0</v>
      </c>
      <c r="AM11" s="131" t="str">
        <f ca="1">IFERROR(OFFSET(Camp_List[P_Code],MATCH(Data_NFI_t[[#This Row],[Camp Name]],Camp_List[Camp Name],0)-1,0,1,1),"")</f>
        <v>MMR012CMP092</v>
      </c>
      <c r="AN11" s="513" t="str">
        <f ca="1">IFERROR(OFFSET(Camp_List[Status],MATCH(Data_NFI_t[[#This Row],[Camp Name]],Camp_List[Camp Name],0)-1,0,1,1),"")</f>
        <v>Open</v>
      </c>
      <c r="AO11" s="131"/>
      <c r="AR11" s="975"/>
    </row>
    <row r="12" spans="1:66" s="968" customFormat="1" ht="21" customHeight="1" x14ac:dyDescent="0.25">
      <c r="A12" s="903">
        <f>IF(ISBLANK(C12),"",(Report_Date-C12)/30)</f>
        <v>-0.33333333333333331</v>
      </c>
      <c r="B12" s="904">
        <f>YEAR(Data_NFI_t[[#This Row],[Distribution Date]])</f>
        <v>2017</v>
      </c>
      <c r="C12" s="974">
        <v>42866</v>
      </c>
      <c r="D12" s="900" t="s">
        <v>1137</v>
      </c>
      <c r="E12" s="900" t="s">
        <v>1137</v>
      </c>
      <c r="F12" s="900" t="s">
        <v>7</v>
      </c>
      <c r="G12" s="906" t="s">
        <v>19</v>
      </c>
      <c r="H12" s="906" t="s">
        <v>70</v>
      </c>
      <c r="I12" s="907"/>
      <c r="J12" s="908"/>
      <c r="K12" s="908">
        <v>998</v>
      </c>
      <c r="L12" s="909"/>
      <c r="M12" s="909"/>
      <c r="N12" s="909"/>
      <c r="O12" s="909"/>
      <c r="P12" s="909"/>
      <c r="Q12" s="909"/>
      <c r="R12" s="910"/>
      <c r="S12" s="909"/>
      <c r="T12" s="909"/>
      <c r="U12" s="909"/>
      <c r="V12" s="909"/>
      <c r="W12" s="909"/>
      <c r="X12" s="901">
        <f>IF(NFI_Expiration=1,IF($A12&lt;VLOOKUP(I$5,NFI,5,0),1,0)*Data_NFI_t[[#This Row],[Hygiene Kit]],0)</f>
        <v>0</v>
      </c>
      <c r="Y12" s="901">
        <f>IF(NFI_Expiration=1,IF($A12&lt;VLOOKUP(J$5,NFI,5,0),1,0)*Data_NFI_t[[#This Row],[NFI Core Kit]],0)</f>
        <v>0</v>
      </c>
      <c r="Z12" s="902">
        <f>IF(NFI_Expiration=1,IF($A12&lt;VLOOKUP(K$5,NFI,5,0),1,0)*Data_NFI_t[[#This Row],[Sanitary Kit]],0)</f>
        <v>998</v>
      </c>
      <c r="AA12" s="902">
        <f>IF(NFI_Expiration=1,IF($A12&lt;VLOOKUP(L$5,NFI,5,0),1,0)*Data_NFI_t[[#This Row],[Mosquito net]],0)</f>
        <v>0</v>
      </c>
      <c r="AB12" s="902">
        <f>IF(NFI_Expiration=1,IF($A12&lt;VLOOKUP(M$5,NFI,5,0),1,0)*Data_NFI_t[[#This Row],[Tarpaulin]],0)</f>
        <v>0</v>
      </c>
      <c r="AC12" s="902">
        <f>IF(NFI_Expiration=1,IF($A12&lt;VLOOKUP(N$5,NFI,5,0),1,0)*Data_NFI_t[[#This Row],[Blanket]],0)</f>
        <v>0</v>
      </c>
      <c r="AD12" s="902">
        <f>IF(NFI_Expiration=1,IF($A12&lt;VLOOKUP(O$5,NFI,5,0),1,0)*Data_NFI_t[[#This Row],[Kitchen Set]],0)</f>
        <v>0</v>
      </c>
      <c r="AE12" s="902">
        <f>IF(NFI_Expiration=1,IF($A12&lt;VLOOKUP(P$5,NFI,5,0),1,0)*Data_NFI_t[[#This Row],[Complementary Kit]],0)</f>
        <v>0</v>
      </c>
      <c r="AF12" s="902">
        <f>IF(NFI_Expiration=1,IF($A12&lt;VLOOKUP(Q$5,NFI,5,0),1,0)*Data_NFI_t[[#This Row],[Plastic Bucket]],0)</f>
        <v>0</v>
      </c>
      <c r="AG12" s="901">
        <f>IF(NFI_Expiration=1,IF($A12&lt;VLOOKUP(R$5,NFI,5,0),1,0)*Data_NFI_t[[#This Row],[Jerry Can]],0)</f>
        <v>0</v>
      </c>
      <c r="AH12" s="901">
        <f>IF(NFI_Expiration=1,IF($A12&lt;VLOOKUP(S$5,NFI,5,0),1,0)*Data_NFI_t[[#This Row],[Plastic Mat]],0)*IF(Data_NFI_t[[#This Row],[Distribution Date]]&gt;"01-06-2015",1,2.5)</f>
        <v>0</v>
      </c>
      <c r="AI12" s="901">
        <f>IF(NFI_Expiration=1,IF($A12&lt;VLOOKUP(T$5,NFI,5,0),1,0)*Data_NFI_t[[#This Row],[Adult Clothes]],0)</f>
        <v>0</v>
      </c>
      <c r="AJ12" s="901">
        <f>IF(NFI_Expiration=1,IF($A12&lt;VLOOKUP(U$5,NFI,5,0),1,0)*Data_NFI_t[[#This Row],[Children Clothes]],0)</f>
        <v>0</v>
      </c>
      <c r="AK12" s="901">
        <f>IF(NFI_Expiration=1,IF($A12&lt;VLOOKUP(V$5,NFI,5,0),1,0)*Data_NFI_t[[#This Row],[Sewing Kit]],0)</f>
        <v>0</v>
      </c>
      <c r="AL12" s="901">
        <f>IF(NFI_Expiration=1,IF($A12&lt;VLOOKUP(V$5,NFI,5,0),1,0)*Data_NFI_t[[#This Row],[Solar Lantern]],0)</f>
        <v>0</v>
      </c>
      <c r="AM12" s="131" t="str">
        <f ca="1">IFERROR(OFFSET(Camp_List[P_Code],MATCH(Data_NFI_t[[#This Row],[Camp Name]],Camp_List[Camp Name],0)-1,0,1,1),"")</f>
        <v>MMR012CMP048</v>
      </c>
      <c r="AN12" s="513" t="str">
        <f ca="1">IFERROR(OFFSET(Camp_List[Status],MATCH(Data_NFI_t[[#This Row],[Camp Name]],Camp_List[Camp Name],0)-1,0,1,1),"")</f>
        <v>Open</v>
      </c>
      <c r="AO12" s="131"/>
      <c r="AR12" s="975"/>
    </row>
    <row r="13" spans="1:66" s="968" customFormat="1" ht="21" customHeight="1" x14ac:dyDescent="0.25">
      <c r="A13" s="903">
        <f t="shared" si="0"/>
        <v>-0.13333333333333333</v>
      </c>
      <c r="B13" s="904">
        <f>YEAR(Data_NFI_t[[#This Row],[Distribution Date]])</f>
        <v>2017</v>
      </c>
      <c r="C13" s="974">
        <v>42860</v>
      </c>
      <c r="D13" s="900" t="s">
        <v>285</v>
      </c>
      <c r="E13" s="900" t="s">
        <v>285</v>
      </c>
      <c r="F13" s="900" t="s">
        <v>7</v>
      </c>
      <c r="G13" s="906" t="s">
        <v>15</v>
      </c>
      <c r="H13" s="906" t="s">
        <v>47</v>
      </c>
      <c r="I13" s="907"/>
      <c r="J13" s="908"/>
      <c r="K13" s="908"/>
      <c r="L13" s="909">
        <v>182</v>
      </c>
      <c r="M13" s="909">
        <v>182</v>
      </c>
      <c r="N13" s="909">
        <v>182</v>
      </c>
      <c r="O13" s="909">
        <v>91</v>
      </c>
      <c r="P13" s="909"/>
      <c r="Q13" s="909"/>
      <c r="R13" s="910">
        <v>91</v>
      </c>
      <c r="S13" s="909">
        <v>455</v>
      </c>
      <c r="T13" s="909"/>
      <c r="U13" s="909"/>
      <c r="V13" s="909"/>
      <c r="W13" s="909"/>
      <c r="X13" s="901">
        <f>IF(NFI_Expiration=1,IF($A13&lt;VLOOKUP(I$5,NFI,5,0),1,0)*Data_NFI_t[[#This Row],[Hygiene Kit]],0)</f>
        <v>0</v>
      </c>
      <c r="Y13" s="901">
        <f>IF(NFI_Expiration=1,IF($A13&lt;VLOOKUP(J$5,NFI,5,0),1,0)*Data_NFI_t[[#This Row],[NFI Core Kit]],0)</f>
        <v>0</v>
      </c>
      <c r="Z13" s="902">
        <f>IF(NFI_Expiration=1,IF($A13&lt;VLOOKUP(K$5,NFI,5,0),1,0)*Data_NFI_t[[#This Row],[Sanitary Kit]],0)</f>
        <v>0</v>
      </c>
      <c r="AA13" s="902">
        <f>IF(NFI_Expiration=1,IF($A13&lt;VLOOKUP(L$5,NFI,5,0),1,0)*Data_NFI_t[[#This Row],[Mosquito net]],0)</f>
        <v>182</v>
      </c>
      <c r="AB13" s="902">
        <f>IF(NFI_Expiration=1,IF($A13&lt;VLOOKUP(M$5,NFI,5,0),1,0)*Data_NFI_t[[#This Row],[Tarpaulin]],0)</f>
        <v>182</v>
      </c>
      <c r="AC13" s="902">
        <f>IF(NFI_Expiration=1,IF($A13&lt;VLOOKUP(N$5,NFI,5,0),1,0)*Data_NFI_t[[#This Row],[Blanket]],0)</f>
        <v>182</v>
      </c>
      <c r="AD13" s="902">
        <f>IF(NFI_Expiration=1,IF($A13&lt;VLOOKUP(O$5,NFI,5,0),1,0)*Data_NFI_t[[#This Row],[Kitchen Set]],0)</f>
        <v>91</v>
      </c>
      <c r="AE13" s="902">
        <f>IF(NFI_Expiration=1,IF($A13&lt;VLOOKUP(P$5,NFI,5,0),1,0)*Data_NFI_t[[#This Row],[Complementary Kit]],0)</f>
        <v>0</v>
      </c>
      <c r="AF13" s="902">
        <f>IF(NFI_Expiration=1,IF($A13&lt;VLOOKUP(Q$5,NFI,5,0),1,0)*Data_NFI_t[[#This Row],[Plastic Bucket]],0)</f>
        <v>0</v>
      </c>
      <c r="AG13" s="901">
        <f>IF(NFI_Expiration=1,IF($A13&lt;VLOOKUP(R$5,NFI,5,0),1,0)*Data_NFI_t[[#This Row],[Jerry Can]],0)</f>
        <v>91</v>
      </c>
      <c r="AH13" s="901">
        <f>IF(NFI_Expiration=1,IF($A13&lt;VLOOKUP(S$5,NFI,5,0),1,0)*Data_NFI_t[[#This Row],[Plastic Mat]],0)</f>
        <v>455</v>
      </c>
      <c r="AI13" s="901">
        <f>IF(NFI_Expiration=1,IF($A13&lt;VLOOKUP(T$5,NFI,5,0),1,0)*Data_NFI_t[[#This Row],[Adult Clothes]],0)</f>
        <v>0</v>
      </c>
      <c r="AJ13" s="901">
        <f>IF(NFI_Expiration=1,IF($A13&lt;VLOOKUP(U$5,NFI,5,0),1,0)*Data_NFI_t[[#This Row],[Children Clothes]],0)</f>
        <v>0</v>
      </c>
      <c r="AK13" s="901">
        <f>IF(NFI_Expiration=1,IF($A13&lt;VLOOKUP(V$5,NFI,5,0),1,0)*Data_NFI_t[[#This Row],[Sewing Kit]],0)</f>
        <v>0</v>
      </c>
      <c r="AL13" s="901">
        <f>IF(NFI_Expiration=1,IF($A13&lt;VLOOKUP(V$5,NFI,5,0),1,0)*Data_NFI_t[[#This Row],[Solar Lantern]],0)</f>
        <v>0</v>
      </c>
      <c r="AM13" s="131" t="str">
        <f ca="1">IFERROR(OFFSET(Camp_List[P_Code],MATCH(Data_NFI_t[[#This Row],[Camp Name]],Camp_List[Camp Name],0)-1,0,1,1),"")</f>
        <v>MMR012CMP023</v>
      </c>
      <c r="AN13" s="513" t="str">
        <f ca="1">IFERROR(OFFSET(Camp_List[Status],MATCH(Data_NFI_t[[#This Row],[Camp Name]],Camp_List[Camp Name],0)-1,0,1,1),"")</f>
        <v>Open</v>
      </c>
      <c r="AO13" s="131"/>
      <c r="AR13" s="975"/>
    </row>
    <row r="14" spans="1:66" s="968" customFormat="1" ht="16.5" customHeight="1" x14ac:dyDescent="0.25">
      <c r="A14" s="903">
        <f t="shared" ref="A14:A22" si="1">IF(ISBLANK(C14),"",(Report_Date-C14)/30)</f>
        <v>0.16666666666666666</v>
      </c>
      <c r="B14" s="904">
        <f>YEAR(Data_NFI_t[[#This Row],[Distribution Date]])</f>
        <v>2017</v>
      </c>
      <c r="C14" s="974">
        <v>42851</v>
      </c>
      <c r="D14" s="900" t="s">
        <v>285</v>
      </c>
      <c r="E14" s="900" t="s">
        <v>623</v>
      </c>
      <c r="F14" s="900" t="s">
        <v>7</v>
      </c>
      <c r="G14" s="906" t="s">
        <v>14</v>
      </c>
      <c r="H14" s="906" t="s">
        <v>1067</v>
      </c>
      <c r="I14" s="907"/>
      <c r="J14" s="908"/>
      <c r="K14" s="908"/>
      <c r="L14" s="909"/>
      <c r="M14" s="909"/>
      <c r="N14" s="909"/>
      <c r="O14" s="909"/>
      <c r="P14" s="909"/>
      <c r="Q14" s="909"/>
      <c r="R14" s="910"/>
      <c r="S14" s="909"/>
      <c r="T14" s="909"/>
      <c r="U14" s="909"/>
      <c r="V14" s="909"/>
      <c r="W14" s="909">
        <v>148</v>
      </c>
      <c r="X14" s="901">
        <f>IF(NFI_Expiration=1,IF($A14&lt;VLOOKUP(I$5,NFI,5,0),1,0)*Data_NFI_t[[#This Row],[Hygiene Kit]],0)</f>
        <v>0</v>
      </c>
      <c r="Y14" s="901">
        <f>IF(NFI_Expiration=1,IF($A14&lt;VLOOKUP(J$5,NFI,5,0),1,0)*Data_NFI_t[[#This Row],[NFI Core Kit]],0)</f>
        <v>0</v>
      </c>
      <c r="Z14" s="902">
        <f>IF(NFI_Expiration=1,IF($A14&lt;VLOOKUP(K$5,NFI,5,0),1,0)*Data_NFI_t[[#This Row],[Sanitary Kit]],0)</f>
        <v>0</v>
      </c>
      <c r="AA14" s="902">
        <f>IF(NFI_Expiration=1,IF($A14&lt;VLOOKUP(L$5,NFI,5,0),1,0)*Data_NFI_t[[#This Row],[Mosquito net]],0)</f>
        <v>0</v>
      </c>
      <c r="AB14" s="902">
        <f>IF(NFI_Expiration=1,IF($A14&lt;VLOOKUP(M$5,NFI,5,0),1,0)*Data_NFI_t[[#This Row],[Tarpaulin]],0)</f>
        <v>0</v>
      </c>
      <c r="AC14" s="902">
        <f>IF(NFI_Expiration=1,IF($A14&lt;VLOOKUP(N$5,NFI,5,0),1,0)*Data_NFI_t[[#This Row],[Blanket]],0)</f>
        <v>0</v>
      </c>
      <c r="AD14" s="902">
        <f>IF(NFI_Expiration=1,IF($A14&lt;VLOOKUP(O$5,NFI,5,0),1,0)*Data_NFI_t[[#This Row],[Kitchen Set]],0)</f>
        <v>0</v>
      </c>
      <c r="AE14" s="902">
        <f>IF(NFI_Expiration=1,IF($A14&lt;VLOOKUP(P$5,NFI,5,0),1,0)*Data_NFI_t[[#This Row],[Complementary Kit]],0)</f>
        <v>0</v>
      </c>
      <c r="AF14" s="902">
        <f>IF(NFI_Expiration=1,IF($A14&lt;VLOOKUP(Q$5,NFI,5,0),1,0)*Data_NFI_t[[#This Row],[Plastic Bucket]],0)</f>
        <v>0</v>
      </c>
      <c r="AG14" s="901">
        <f>IF(NFI_Expiration=1,IF($A14&lt;VLOOKUP(R$5,NFI,5,0),1,0)*Data_NFI_t[[#This Row],[Jerry Can]],0)</f>
        <v>0</v>
      </c>
      <c r="AH14" s="901">
        <f>IF(NFI_Expiration=1,IF($A14&lt;VLOOKUP(S$5,NFI,5,0),1,0)*Data_NFI_t[[#This Row],[Plastic Mat]],0)</f>
        <v>0</v>
      </c>
      <c r="AI14" s="901">
        <f>IF(NFI_Expiration=1,IF($A14&lt;VLOOKUP(T$5,NFI,5,0),1,0)*Data_NFI_t[[#This Row],[Adult Clothes]],0)</f>
        <v>0</v>
      </c>
      <c r="AJ14" s="901">
        <f>IF(NFI_Expiration=1,IF($A14&lt;VLOOKUP(U$5,NFI,5,0),1,0)*Data_NFI_t[[#This Row],[Children Clothes]],0)</f>
        <v>0</v>
      </c>
      <c r="AK14" s="901">
        <f>IF(NFI_Expiration=1,IF($A14&lt;VLOOKUP(V$5,NFI,5,0),1,0)*Data_NFI_t[[#This Row],[Sewing Kit]],0)</f>
        <v>0</v>
      </c>
      <c r="AL14" s="901">
        <f>IF(NFI_Expiration=1,IF($A14&lt;VLOOKUP(V$5,NFI,5,0),1,0)*Data_NFI_t[[#This Row],[Solar Lantern]],0)</f>
        <v>148</v>
      </c>
      <c r="AM14" s="131" t="str">
        <f ca="1">IFERROR(OFFSET(Camp_List[P_Code],MATCH(Data_NFI_t[[#This Row],[Camp Name]],Camp_List[Camp Name],0)-1,0,1,1),"")</f>
        <v>MMR012CMP017</v>
      </c>
      <c r="AN14" s="513" t="str">
        <f ca="1">IFERROR(OFFSET(Camp_List[Status],MATCH(Data_NFI_t[[#This Row],[Camp Name]],Camp_List[Camp Name],0)-1,0,1,1),"")</f>
        <v>Open</v>
      </c>
      <c r="AO14" s="131"/>
      <c r="AR14" s="975"/>
    </row>
    <row r="15" spans="1:66" s="968" customFormat="1" ht="16.5" customHeight="1" x14ac:dyDescent="0.25">
      <c r="A15" s="903">
        <f t="shared" si="1"/>
        <v>0.2</v>
      </c>
      <c r="B15" s="904">
        <f>YEAR(Data_NFI_t[[#This Row],[Distribution Date]])</f>
        <v>2017</v>
      </c>
      <c r="C15" s="974">
        <v>42850</v>
      </c>
      <c r="D15" s="900" t="s">
        <v>285</v>
      </c>
      <c r="E15" s="900" t="s">
        <v>623</v>
      </c>
      <c r="F15" s="900" t="s">
        <v>7</v>
      </c>
      <c r="G15" s="906" t="s">
        <v>14</v>
      </c>
      <c r="H15" s="906" t="s">
        <v>40</v>
      </c>
      <c r="I15" s="907"/>
      <c r="J15" s="908"/>
      <c r="K15" s="908"/>
      <c r="L15" s="909"/>
      <c r="M15" s="909"/>
      <c r="N15" s="909"/>
      <c r="O15" s="909"/>
      <c r="P15" s="909"/>
      <c r="Q15" s="909"/>
      <c r="R15" s="910"/>
      <c r="S15" s="909"/>
      <c r="T15" s="909"/>
      <c r="U15" s="909"/>
      <c r="V15" s="909"/>
      <c r="W15" s="909">
        <v>241</v>
      </c>
      <c r="X15" s="901">
        <f>IF(NFI_Expiration=1,IF($A15&lt;VLOOKUP(I$5,NFI,5,0),1,0)*Data_NFI_t[[#This Row],[Hygiene Kit]],0)</f>
        <v>0</v>
      </c>
      <c r="Y15" s="901">
        <f>IF(NFI_Expiration=1,IF($A15&lt;VLOOKUP(J$5,NFI,5,0),1,0)*Data_NFI_t[[#This Row],[NFI Core Kit]],0)</f>
        <v>0</v>
      </c>
      <c r="Z15" s="902">
        <f>IF(NFI_Expiration=1,IF($A15&lt;VLOOKUP(K$5,NFI,5,0),1,0)*Data_NFI_t[[#This Row],[Sanitary Kit]],0)</f>
        <v>0</v>
      </c>
      <c r="AA15" s="902">
        <f>IF(NFI_Expiration=1,IF($A15&lt;VLOOKUP(L$5,NFI,5,0),1,0)*Data_NFI_t[[#This Row],[Mosquito net]],0)</f>
        <v>0</v>
      </c>
      <c r="AB15" s="902">
        <f>IF(NFI_Expiration=1,IF($A15&lt;VLOOKUP(M$5,NFI,5,0),1,0)*Data_NFI_t[[#This Row],[Tarpaulin]],0)</f>
        <v>0</v>
      </c>
      <c r="AC15" s="902">
        <f>IF(NFI_Expiration=1,IF($A15&lt;VLOOKUP(N$5,NFI,5,0),1,0)*Data_NFI_t[[#This Row],[Blanket]],0)</f>
        <v>0</v>
      </c>
      <c r="AD15" s="902">
        <f>IF(NFI_Expiration=1,IF($A15&lt;VLOOKUP(O$5,NFI,5,0),1,0)*Data_NFI_t[[#This Row],[Kitchen Set]],0)</f>
        <v>0</v>
      </c>
      <c r="AE15" s="902">
        <f>IF(NFI_Expiration=1,IF($A15&lt;VLOOKUP(P$5,NFI,5,0),1,0)*Data_NFI_t[[#This Row],[Complementary Kit]],0)</f>
        <v>0</v>
      </c>
      <c r="AF15" s="902">
        <f>IF(NFI_Expiration=1,IF($A15&lt;VLOOKUP(Q$5,NFI,5,0),1,0)*Data_NFI_t[[#This Row],[Plastic Bucket]],0)</f>
        <v>0</v>
      </c>
      <c r="AG15" s="901">
        <f>IF(NFI_Expiration=1,IF($A15&lt;VLOOKUP(R$5,NFI,5,0),1,0)*Data_NFI_t[[#This Row],[Jerry Can]],0)</f>
        <v>0</v>
      </c>
      <c r="AH15" s="901">
        <f>IF(NFI_Expiration=1,IF($A15&lt;VLOOKUP(S$5,NFI,5,0),1,0)*Data_NFI_t[[#This Row],[Plastic Mat]],0)</f>
        <v>0</v>
      </c>
      <c r="AI15" s="901">
        <f>IF(NFI_Expiration=1,IF($A15&lt;VLOOKUP(T$5,NFI,5,0),1,0)*Data_NFI_t[[#This Row],[Adult Clothes]],0)</f>
        <v>0</v>
      </c>
      <c r="AJ15" s="901">
        <f>IF(NFI_Expiration=1,IF($A15&lt;VLOOKUP(U$5,NFI,5,0),1,0)*Data_NFI_t[[#This Row],[Children Clothes]],0)</f>
        <v>0</v>
      </c>
      <c r="AK15" s="901">
        <f>IF(NFI_Expiration=1,IF($A15&lt;VLOOKUP(V$5,NFI,5,0),1,0)*Data_NFI_t[[#This Row],[Sewing Kit]],0)</f>
        <v>0</v>
      </c>
      <c r="AL15" s="901">
        <f>IF(NFI_Expiration=1,IF($A15&lt;VLOOKUP(V$5,NFI,5,0),1,0)*Data_NFI_t[[#This Row],[Solar Lantern]],0)</f>
        <v>241</v>
      </c>
      <c r="AM15" s="131" t="str">
        <f ca="1">IFERROR(OFFSET(Camp_List[P_Code],MATCH(Data_NFI_t[[#This Row],[Camp Name]],Camp_List[Camp Name],0)-1,0,1,1),"")</f>
        <v>MMR012CMP016</v>
      </c>
      <c r="AN15" s="513" t="str">
        <f ca="1">IFERROR(OFFSET(Camp_List[Status],MATCH(Data_NFI_t[[#This Row],[Camp Name]],Camp_List[Camp Name],0)-1,0,1,1),"")</f>
        <v>Open</v>
      </c>
      <c r="AO15" s="131"/>
      <c r="AR15" s="975"/>
    </row>
    <row r="16" spans="1:66" s="968" customFormat="1" ht="16.5" customHeight="1" x14ac:dyDescent="0.25">
      <c r="A16" s="903">
        <f t="shared" si="1"/>
        <v>0.66666666666666663</v>
      </c>
      <c r="B16" s="904">
        <f>YEAR(Data_NFI_t[[#This Row],[Distribution Date]])</f>
        <v>2017</v>
      </c>
      <c r="C16" s="974">
        <v>42836</v>
      </c>
      <c r="D16" s="900" t="s">
        <v>1137</v>
      </c>
      <c r="E16" s="900" t="s">
        <v>1137</v>
      </c>
      <c r="F16" s="900" t="s">
        <v>7</v>
      </c>
      <c r="G16" s="906" t="s">
        <v>19</v>
      </c>
      <c r="H16" s="906" t="s">
        <v>628</v>
      </c>
      <c r="I16" s="907"/>
      <c r="J16" s="908"/>
      <c r="K16" s="908"/>
      <c r="L16" s="909"/>
      <c r="M16" s="909"/>
      <c r="N16" s="909"/>
      <c r="O16" s="909"/>
      <c r="P16" s="909">
        <v>6</v>
      </c>
      <c r="Q16" s="909"/>
      <c r="R16" s="910"/>
      <c r="S16" s="909"/>
      <c r="T16" s="909"/>
      <c r="U16" s="909"/>
      <c r="V16" s="909"/>
      <c r="W16" s="909"/>
      <c r="X16" s="901">
        <f>IF(NFI_Expiration=1,IF($A16&lt;VLOOKUP(I$5,NFI,5,0),1,0)*Data_NFI_t[[#This Row],[Hygiene Kit]],0)</f>
        <v>0</v>
      </c>
      <c r="Y16" s="901">
        <f>IF(NFI_Expiration=1,IF($A16&lt;VLOOKUP(J$5,NFI,5,0),1,0)*Data_NFI_t[[#This Row],[NFI Core Kit]],0)</f>
        <v>0</v>
      </c>
      <c r="Z16" s="902">
        <f>IF(NFI_Expiration=1,IF($A16&lt;VLOOKUP(K$5,NFI,5,0),1,0)*Data_NFI_t[[#This Row],[Sanitary Kit]],0)</f>
        <v>0</v>
      </c>
      <c r="AA16" s="902">
        <f>IF(NFI_Expiration=1,IF($A16&lt;VLOOKUP(L$5,NFI,5,0),1,0)*Data_NFI_t[[#This Row],[Mosquito net]],0)</f>
        <v>0</v>
      </c>
      <c r="AB16" s="902">
        <f>IF(NFI_Expiration=1,IF($A16&lt;VLOOKUP(M$5,NFI,5,0),1,0)*Data_NFI_t[[#This Row],[Tarpaulin]],0)</f>
        <v>0</v>
      </c>
      <c r="AC16" s="902">
        <f>IF(NFI_Expiration=1,IF($A16&lt;VLOOKUP(N$5,NFI,5,0),1,0)*Data_NFI_t[[#This Row],[Blanket]],0)</f>
        <v>0</v>
      </c>
      <c r="AD16" s="902">
        <f>IF(NFI_Expiration=1,IF($A16&lt;VLOOKUP(O$5,NFI,5,0),1,0)*Data_NFI_t[[#This Row],[Kitchen Set]],0)</f>
        <v>0</v>
      </c>
      <c r="AE16" s="902">
        <f>IF(NFI_Expiration=1,IF($A16&lt;VLOOKUP(P$5,NFI,5,0),1,0)*Data_NFI_t[[#This Row],[Complementary Kit]],0)</f>
        <v>6</v>
      </c>
      <c r="AF16" s="902">
        <f>IF(NFI_Expiration=1,IF($A16&lt;VLOOKUP(Q$5,NFI,5,0),1,0)*Data_NFI_t[[#This Row],[Plastic Bucket]],0)</f>
        <v>0</v>
      </c>
      <c r="AG16" s="901">
        <f>IF(NFI_Expiration=1,IF($A16&lt;VLOOKUP(R$5,NFI,5,0),1,0)*Data_NFI_t[[#This Row],[Jerry Can]],0)</f>
        <v>0</v>
      </c>
      <c r="AH16" s="901">
        <f>IF(NFI_Expiration=1,IF($A16&lt;VLOOKUP(S$5,NFI,5,0),1,0)*Data_NFI_t[[#This Row],[Plastic Mat]],0)</f>
        <v>0</v>
      </c>
      <c r="AI16" s="901">
        <f>IF(NFI_Expiration=1,IF($A16&lt;VLOOKUP(T$5,NFI,5,0),1,0)*Data_NFI_t[[#This Row],[Adult Clothes]],0)</f>
        <v>0</v>
      </c>
      <c r="AJ16" s="901">
        <f>IF(NFI_Expiration=1,IF($A16&lt;VLOOKUP(U$5,NFI,5,0),1,0)*Data_NFI_t[[#This Row],[Children Clothes]],0)</f>
        <v>0</v>
      </c>
      <c r="AK16" s="901">
        <f>IF(NFI_Expiration=1,IF($A16&lt;VLOOKUP(V$5,NFI,5,0),1,0)*Data_NFI_t[[#This Row],[Sewing Kit]],0)</f>
        <v>0</v>
      </c>
      <c r="AL16" s="901">
        <f>IF(NFI_Expiration=1,IF($A16&lt;VLOOKUP(V$5,NFI,5,0),1,0)*Data_NFI_t[[#This Row],[Solar Lantern]],0)</f>
        <v>0</v>
      </c>
      <c r="AM16" s="131" t="str">
        <f ca="1">IFERROR(OFFSET(Camp_List[P_Code],MATCH(Data_NFI_t[[#This Row],[Camp Name]],Camp_List[Camp Name],0)-1,0,1,1),"")</f>
        <v>MMR012CMP092</v>
      </c>
      <c r="AN16" s="513" t="str">
        <f ca="1">IFERROR(OFFSET(Camp_List[Status],MATCH(Data_NFI_t[[#This Row],[Camp Name]],Camp_List[Camp Name],0)-1,0,1,1),"")</f>
        <v>Open</v>
      </c>
      <c r="AO16" s="131"/>
      <c r="AR16" s="975"/>
    </row>
    <row r="17" spans="1:44" s="968" customFormat="1" ht="16.5" customHeight="1" x14ac:dyDescent="0.25">
      <c r="A17" s="903">
        <f t="shared" si="1"/>
        <v>0.7</v>
      </c>
      <c r="B17" s="904">
        <f>YEAR(Data_NFI_t[[#This Row],[Distribution Date]])</f>
        <v>2017</v>
      </c>
      <c r="C17" s="974">
        <v>42835</v>
      </c>
      <c r="D17" s="900" t="s">
        <v>1137</v>
      </c>
      <c r="E17" s="900" t="s">
        <v>1137</v>
      </c>
      <c r="F17" s="900" t="s">
        <v>7</v>
      </c>
      <c r="G17" s="906" t="s">
        <v>19</v>
      </c>
      <c r="H17" s="906" t="s">
        <v>70</v>
      </c>
      <c r="I17" s="907"/>
      <c r="J17" s="908"/>
      <c r="K17" s="908"/>
      <c r="L17" s="909"/>
      <c r="M17" s="909"/>
      <c r="N17" s="909"/>
      <c r="O17" s="909"/>
      <c r="P17" s="909"/>
      <c r="Q17" s="909"/>
      <c r="R17" s="910">
        <v>125</v>
      </c>
      <c r="S17" s="909"/>
      <c r="T17" s="909"/>
      <c r="U17" s="909"/>
      <c r="V17" s="909"/>
      <c r="W17" s="909"/>
      <c r="X17" s="901">
        <f>IF(NFI_Expiration=1,IF($A17&lt;VLOOKUP(I$5,NFI,5,0),1,0)*Data_NFI_t[[#This Row],[Hygiene Kit]],0)</f>
        <v>0</v>
      </c>
      <c r="Y17" s="901">
        <f>IF(NFI_Expiration=1,IF($A17&lt;VLOOKUP(J$5,NFI,5,0),1,0)*Data_NFI_t[[#This Row],[NFI Core Kit]],0)</f>
        <v>0</v>
      </c>
      <c r="Z17" s="902">
        <f>IF(NFI_Expiration=1,IF($A17&lt;VLOOKUP(K$5,NFI,5,0),1,0)*Data_NFI_t[[#This Row],[Sanitary Kit]],0)</f>
        <v>0</v>
      </c>
      <c r="AA17" s="902">
        <f>IF(NFI_Expiration=1,IF($A17&lt;VLOOKUP(L$5,NFI,5,0),1,0)*Data_NFI_t[[#This Row],[Mosquito net]],0)</f>
        <v>0</v>
      </c>
      <c r="AB17" s="902">
        <f>IF(NFI_Expiration=1,IF($A17&lt;VLOOKUP(M$5,NFI,5,0),1,0)*Data_NFI_t[[#This Row],[Tarpaulin]],0)</f>
        <v>0</v>
      </c>
      <c r="AC17" s="902">
        <f>IF(NFI_Expiration=1,IF($A17&lt;VLOOKUP(N$5,NFI,5,0),1,0)*Data_NFI_t[[#This Row],[Blanket]],0)</f>
        <v>0</v>
      </c>
      <c r="AD17" s="902">
        <f>IF(NFI_Expiration=1,IF($A17&lt;VLOOKUP(O$5,NFI,5,0),1,0)*Data_NFI_t[[#This Row],[Kitchen Set]],0)</f>
        <v>0</v>
      </c>
      <c r="AE17" s="902">
        <f>IF(NFI_Expiration=1,IF($A17&lt;VLOOKUP(P$5,NFI,5,0),1,0)*Data_NFI_t[[#This Row],[Complementary Kit]],0)</f>
        <v>0</v>
      </c>
      <c r="AF17" s="902">
        <f>IF(NFI_Expiration=1,IF($A17&lt;VLOOKUP(Q$5,NFI,5,0),1,0)*Data_NFI_t[[#This Row],[Plastic Bucket]],0)</f>
        <v>0</v>
      </c>
      <c r="AG17" s="901">
        <f>IF(NFI_Expiration=1,IF($A17&lt;VLOOKUP(R$5,NFI,5,0),1,0)*Data_NFI_t[[#This Row],[Jerry Can]],0)</f>
        <v>125</v>
      </c>
      <c r="AH17" s="901">
        <f>IF(NFI_Expiration=1,IF($A17&lt;VLOOKUP(S$5,NFI,5,0),1,0)*Data_NFI_t[[#This Row],[Plastic Mat]],0)</f>
        <v>0</v>
      </c>
      <c r="AI17" s="901">
        <f>IF(NFI_Expiration=1,IF($A17&lt;VLOOKUP(T$5,NFI,5,0),1,0)*Data_NFI_t[[#This Row],[Adult Clothes]],0)</f>
        <v>0</v>
      </c>
      <c r="AJ17" s="901">
        <f>IF(NFI_Expiration=1,IF($A17&lt;VLOOKUP(U$5,NFI,5,0),1,0)*Data_NFI_t[[#This Row],[Children Clothes]],0)</f>
        <v>0</v>
      </c>
      <c r="AK17" s="901">
        <f>IF(NFI_Expiration=1,IF($A17&lt;VLOOKUP(V$5,NFI,5,0),1,0)*Data_NFI_t[[#This Row],[Sewing Kit]],0)</f>
        <v>0</v>
      </c>
      <c r="AL17" s="901">
        <f>IF(NFI_Expiration=1,IF($A17&lt;VLOOKUP(V$5,NFI,5,0),1,0)*Data_NFI_t[[#This Row],[Solar Lantern]],0)</f>
        <v>0</v>
      </c>
      <c r="AM17" s="131" t="str">
        <f ca="1">IFERROR(OFFSET(Camp_List[P_Code],MATCH(Data_NFI_t[[#This Row],[Camp Name]],Camp_List[Camp Name],0)-1,0,1,1),"")</f>
        <v>MMR012CMP048</v>
      </c>
      <c r="AN17" s="513" t="str">
        <f ca="1">IFERROR(OFFSET(Camp_List[Status],MATCH(Data_NFI_t[[#This Row],[Camp Name]],Camp_List[Camp Name],0)-1,0,1,1),"")</f>
        <v>Open</v>
      </c>
      <c r="AO17" s="131"/>
      <c r="AR17" s="975"/>
    </row>
    <row r="18" spans="1:44" s="968" customFormat="1" ht="16.5" customHeight="1" x14ac:dyDescent="0.25">
      <c r="A18" s="903">
        <f t="shared" si="1"/>
        <v>0.8</v>
      </c>
      <c r="B18" s="904">
        <f>YEAR(Data_NFI_t[[#This Row],[Distribution Date]])</f>
        <v>2017</v>
      </c>
      <c r="C18" s="974">
        <v>42832</v>
      </c>
      <c r="D18" s="900" t="s">
        <v>1117</v>
      </c>
      <c r="E18" s="900" t="s">
        <v>1117</v>
      </c>
      <c r="F18" s="900" t="s">
        <v>7</v>
      </c>
      <c r="G18" s="906" t="s">
        <v>19</v>
      </c>
      <c r="H18" s="906" t="s">
        <v>68</v>
      </c>
      <c r="I18" s="907"/>
      <c r="J18" s="908"/>
      <c r="K18" s="908">
        <v>1137</v>
      </c>
      <c r="L18" s="909"/>
      <c r="M18" s="909"/>
      <c r="N18" s="909"/>
      <c r="O18" s="909"/>
      <c r="P18" s="909"/>
      <c r="Q18" s="909"/>
      <c r="R18" s="910"/>
      <c r="S18" s="909"/>
      <c r="T18" s="909"/>
      <c r="U18" s="909"/>
      <c r="V18" s="909"/>
      <c r="W18" s="909"/>
      <c r="X18" s="901">
        <f>IF(NFI_Expiration=1,IF($A18&lt;VLOOKUP(I$5,NFI,5,0),1,0)*Data_NFI_t[[#This Row],[Hygiene Kit]],0)</f>
        <v>0</v>
      </c>
      <c r="Y18" s="901">
        <f>IF(NFI_Expiration=1,IF($A18&lt;VLOOKUP(J$5,NFI,5,0),1,0)*Data_NFI_t[[#This Row],[NFI Core Kit]],0)</f>
        <v>0</v>
      </c>
      <c r="Z18" s="902">
        <f>IF(NFI_Expiration=1,IF($A18&lt;VLOOKUP(K$5,NFI,5,0),1,0)*Data_NFI_t[[#This Row],[Sanitary Kit]],0)</f>
        <v>1137</v>
      </c>
      <c r="AA18" s="902">
        <f>IF(NFI_Expiration=1,IF($A18&lt;VLOOKUP(L$5,NFI,5,0),1,0)*Data_NFI_t[[#This Row],[Mosquito net]],0)</f>
        <v>0</v>
      </c>
      <c r="AB18" s="902">
        <f>IF(NFI_Expiration=1,IF($A18&lt;VLOOKUP(M$5,NFI,5,0),1,0)*Data_NFI_t[[#This Row],[Tarpaulin]],0)</f>
        <v>0</v>
      </c>
      <c r="AC18" s="902">
        <f>IF(NFI_Expiration=1,IF($A18&lt;VLOOKUP(N$5,NFI,5,0),1,0)*Data_NFI_t[[#This Row],[Blanket]],0)</f>
        <v>0</v>
      </c>
      <c r="AD18" s="902">
        <f>IF(NFI_Expiration=1,IF($A18&lt;VLOOKUP(O$5,NFI,5,0),1,0)*Data_NFI_t[[#This Row],[Kitchen Set]],0)</f>
        <v>0</v>
      </c>
      <c r="AE18" s="902">
        <f>IF(NFI_Expiration=1,IF($A18&lt;VLOOKUP(P$5,NFI,5,0),1,0)*Data_NFI_t[[#This Row],[Complementary Kit]],0)</f>
        <v>0</v>
      </c>
      <c r="AF18" s="902">
        <f>IF(NFI_Expiration=1,IF($A18&lt;VLOOKUP(Q$5,NFI,5,0),1,0)*Data_NFI_t[[#This Row],[Plastic Bucket]],0)</f>
        <v>0</v>
      </c>
      <c r="AG18" s="901">
        <f>IF(NFI_Expiration=1,IF($A18&lt;VLOOKUP(R$5,NFI,5,0),1,0)*Data_NFI_t[[#This Row],[Jerry Can]],0)</f>
        <v>0</v>
      </c>
      <c r="AH18" s="901">
        <f>IF(NFI_Expiration=1,IF($A18&lt;VLOOKUP(S$5,NFI,5,0),1,0)*Data_NFI_t[[#This Row],[Plastic Mat]],0)</f>
        <v>0</v>
      </c>
      <c r="AI18" s="901">
        <f>IF(NFI_Expiration=1,IF($A18&lt;VLOOKUP(T$5,NFI,5,0),1,0)*Data_NFI_t[[#This Row],[Adult Clothes]],0)</f>
        <v>0</v>
      </c>
      <c r="AJ18" s="901">
        <f>IF(NFI_Expiration=1,IF($A18&lt;VLOOKUP(U$5,NFI,5,0),1,0)*Data_NFI_t[[#This Row],[Children Clothes]],0)</f>
        <v>0</v>
      </c>
      <c r="AK18" s="901">
        <f>IF(NFI_Expiration=1,IF($A18&lt;VLOOKUP(V$5,NFI,5,0),1,0)*Data_NFI_t[[#This Row],[Sewing Kit]],0)</f>
        <v>0</v>
      </c>
      <c r="AL18" s="901">
        <f>IF(NFI_Expiration=1,IF($A18&lt;VLOOKUP(V$5,NFI,5,0),1,0)*Data_NFI_t[[#This Row],[Solar Lantern]],0)</f>
        <v>0</v>
      </c>
      <c r="AM18" s="131" t="str">
        <f ca="1">IFERROR(OFFSET(Camp_List[P_Code],MATCH(Data_NFI_t[[#This Row],[Camp Name]],Camp_List[Camp Name],0)-1,0,1,1),"")</f>
        <v>MMR012CMP046</v>
      </c>
      <c r="AN18" s="513" t="str">
        <f ca="1">IFERROR(OFFSET(Camp_List[Status],MATCH(Data_NFI_t[[#This Row],[Camp Name]],Camp_List[Camp Name],0)-1,0,1,1),"")</f>
        <v>Open</v>
      </c>
      <c r="AO18" s="131"/>
      <c r="AR18" s="975"/>
    </row>
    <row r="19" spans="1:44" s="968" customFormat="1" ht="16.5" customHeight="1" x14ac:dyDescent="0.25">
      <c r="A19" s="903">
        <f t="shared" si="1"/>
        <v>0.83333333333333337</v>
      </c>
      <c r="B19" s="904">
        <f>YEAR(Data_NFI_t[[#This Row],[Distribution Date]])</f>
        <v>2017</v>
      </c>
      <c r="C19" s="974">
        <v>42831</v>
      </c>
      <c r="D19" s="900" t="s">
        <v>1117</v>
      </c>
      <c r="E19" s="900" t="s">
        <v>1117</v>
      </c>
      <c r="F19" s="900" t="s">
        <v>7</v>
      </c>
      <c r="G19" s="906" t="s">
        <v>19</v>
      </c>
      <c r="H19" s="906" t="s">
        <v>64</v>
      </c>
      <c r="I19" s="907"/>
      <c r="J19" s="908"/>
      <c r="K19" s="908">
        <v>400</v>
      </c>
      <c r="L19" s="909"/>
      <c r="M19" s="909"/>
      <c r="N19" s="909"/>
      <c r="O19" s="909"/>
      <c r="P19" s="909"/>
      <c r="Q19" s="909"/>
      <c r="R19" s="910"/>
      <c r="S19" s="909"/>
      <c r="T19" s="909"/>
      <c r="U19" s="909"/>
      <c r="V19" s="909"/>
      <c r="W19" s="909"/>
      <c r="X19" s="901">
        <f>IF(NFI_Expiration=1,IF($A19&lt;VLOOKUP(I$5,NFI,5,0),1,0)*Data_NFI_t[[#This Row],[Hygiene Kit]],0)</f>
        <v>0</v>
      </c>
      <c r="Y19" s="901">
        <f>IF(NFI_Expiration=1,IF($A19&lt;VLOOKUP(J$5,NFI,5,0),1,0)*Data_NFI_t[[#This Row],[NFI Core Kit]],0)</f>
        <v>0</v>
      </c>
      <c r="Z19" s="902">
        <f>IF(NFI_Expiration=1,IF($A19&lt;VLOOKUP(K$5,NFI,5,0),1,0)*Data_NFI_t[[#This Row],[Sanitary Kit]],0)</f>
        <v>400</v>
      </c>
      <c r="AA19" s="902">
        <f>IF(NFI_Expiration=1,IF($A19&lt;VLOOKUP(L$5,NFI,5,0),1,0)*Data_NFI_t[[#This Row],[Mosquito net]],0)</f>
        <v>0</v>
      </c>
      <c r="AB19" s="902">
        <f>IF(NFI_Expiration=1,IF($A19&lt;VLOOKUP(M$5,NFI,5,0),1,0)*Data_NFI_t[[#This Row],[Tarpaulin]],0)</f>
        <v>0</v>
      </c>
      <c r="AC19" s="902">
        <f>IF(NFI_Expiration=1,IF($A19&lt;VLOOKUP(N$5,NFI,5,0),1,0)*Data_NFI_t[[#This Row],[Blanket]],0)</f>
        <v>0</v>
      </c>
      <c r="AD19" s="902">
        <f>IF(NFI_Expiration=1,IF($A19&lt;VLOOKUP(O$5,NFI,5,0),1,0)*Data_NFI_t[[#This Row],[Kitchen Set]],0)</f>
        <v>0</v>
      </c>
      <c r="AE19" s="902">
        <f>IF(NFI_Expiration=1,IF($A19&lt;VLOOKUP(P$5,NFI,5,0),1,0)*Data_NFI_t[[#This Row],[Complementary Kit]],0)</f>
        <v>0</v>
      </c>
      <c r="AF19" s="902">
        <f>IF(NFI_Expiration=1,IF($A19&lt;VLOOKUP(Q$5,NFI,5,0),1,0)*Data_NFI_t[[#This Row],[Plastic Bucket]],0)</f>
        <v>0</v>
      </c>
      <c r="AG19" s="901">
        <f>IF(NFI_Expiration=1,IF($A19&lt;VLOOKUP(R$5,NFI,5,0),1,0)*Data_NFI_t[[#This Row],[Jerry Can]],0)</f>
        <v>0</v>
      </c>
      <c r="AH19" s="901">
        <f>IF(NFI_Expiration=1,IF($A19&lt;VLOOKUP(S$5,NFI,5,0),1,0)*Data_NFI_t[[#This Row],[Plastic Mat]],0)</f>
        <v>0</v>
      </c>
      <c r="AI19" s="901">
        <f>IF(NFI_Expiration=1,IF($A19&lt;VLOOKUP(T$5,NFI,5,0),1,0)*Data_NFI_t[[#This Row],[Adult Clothes]],0)</f>
        <v>0</v>
      </c>
      <c r="AJ19" s="901">
        <f>IF(NFI_Expiration=1,IF($A19&lt;VLOOKUP(U$5,NFI,5,0),1,0)*Data_NFI_t[[#This Row],[Children Clothes]],0)</f>
        <v>0</v>
      </c>
      <c r="AK19" s="901">
        <f>IF(NFI_Expiration=1,IF($A19&lt;VLOOKUP(V$5,NFI,5,0),1,0)*Data_NFI_t[[#This Row],[Sewing Kit]],0)</f>
        <v>0</v>
      </c>
      <c r="AL19" s="901">
        <f>IF(NFI_Expiration=1,IF($A19&lt;VLOOKUP(V$5,NFI,5,0),1,0)*Data_NFI_t[[#This Row],[Solar Lantern]],0)</f>
        <v>0</v>
      </c>
      <c r="AM19" s="131" t="str">
        <f ca="1">IFERROR(OFFSET(Camp_List[P_Code],MATCH(Data_NFI_t[[#This Row],[Camp Name]],Camp_List[Camp Name],0)-1,0,1,1),"")</f>
        <v>MMR012CMP042</v>
      </c>
      <c r="AN19" s="513" t="str">
        <f ca="1">IFERROR(OFFSET(Camp_List[Status],MATCH(Data_NFI_t[[#This Row],[Camp Name]],Camp_List[Camp Name],0)-1,0,1,1),"")</f>
        <v>Open</v>
      </c>
      <c r="AO19" s="131"/>
      <c r="AR19" s="975"/>
    </row>
    <row r="20" spans="1:44" s="968" customFormat="1" ht="16.5" customHeight="1" x14ac:dyDescent="0.25">
      <c r="A20" s="903">
        <f t="shared" si="1"/>
        <v>0.8666666666666667</v>
      </c>
      <c r="B20" s="904">
        <f>YEAR(Data_NFI_t[[#This Row],[Distribution Date]])</f>
        <v>2017</v>
      </c>
      <c r="C20" s="974">
        <v>42830</v>
      </c>
      <c r="D20" s="900" t="s">
        <v>1117</v>
      </c>
      <c r="E20" s="900" t="s">
        <v>1117</v>
      </c>
      <c r="F20" s="900" t="s">
        <v>7</v>
      </c>
      <c r="G20" s="906" t="s">
        <v>19</v>
      </c>
      <c r="H20" s="906" t="s">
        <v>63</v>
      </c>
      <c r="I20" s="907"/>
      <c r="J20" s="908"/>
      <c r="K20" s="908">
        <v>2007</v>
      </c>
      <c r="L20" s="909"/>
      <c r="M20" s="909"/>
      <c r="N20" s="909"/>
      <c r="O20" s="909"/>
      <c r="P20" s="909"/>
      <c r="Q20" s="909"/>
      <c r="R20" s="910"/>
      <c r="S20" s="909"/>
      <c r="T20" s="909"/>
      <c r="U20" s="909"/>
      <c r="V20" s="909"/>
      <c r="W20" s="909"/>
      <c r="X20" s="901">
        <f>IF(NFI_Expiration=1,IF($A20&lt;VLOOKUP(I$5,NFI,5,0),1,0)*Data_NFI_t[[#This Row],[Hygiene Kit]],0)</f>
        <v>0</v>
      </c>
      <c r="Y20" s="901">
        <f>IF(NFI_Expiration=1,IF($A20&lt;VLOOKUP(J$5,NFI,5,0),1,0)*Data_NFI_t[[#This Row],[NFI Core Kit]],0)</f>
        <v>0</v>
      </c>
      <c r="Z20" s="902">
        <f>IF(NFI_Expiration=1,IF($A20&lt;VLOOKUP(K$5,NFI,5,0),1,0)*Data_NFI_t[[#This Row],[Sanitary Kit]],0)</f>
        <v>2007</v>
      </c>
      <c r="AA20" s="902">
        <f>IF(NFI_Expiration=1,IF($A20&lt;VLOOKUP(L$5,NFI,5,0),1,0)*Data_NFI_t[[#This Row],[Mosquito net]],0)</f>
        <v>0</v>
      </c>
      <c r="AB20" s="902">
        <f>IF(NFI_Expiration=1,IF($A20&lt;VLOOKUP(M$5,NFI,5,0),1,0)*Data_NFI_t[[#This Row],[Tarpaulin]],0)</f>
        <v>0</v>
      </c>
      <c r="AC20" s="902">
        <f>IF(NFI_Expiration=1,IF($A20&lt;VLOOKUP(N$5,NFI,5,0),1,0)*Data_NFI_t[[#This Row],[Blanket]],0)</f>
        <v>0</v>
      </c>
      <c r="AD20" s="902">
        <f>IF(NFI_Expiration=1,IF($A20&lt;VLOOKUP(O$5,NFI,5,0),1,0)*Data_NFI_t[[#This Row],[Kitchen Set]],0)</f>
        <v>0</v>
      </c>
      <c r="AE20" s="902">
        <f>IF(NFI_Expiration=1,IF($A20&lt;VLOOKUP(P$5,NFI,5,0),1,0)*Data_NFI_t[[#This Row],[Complementary Kit]],0)</f>
        <v>0</v>
      </c>
      <c r="AF20" s="902">
        <f>IF(NFI_Expiration=1,IF($A20&lt;VLOOKUP(Q$5,NFI,5,0),1,0)*Data_NFI_t[[#This Row],[Plastic Bucket]],0)</f>
        <v>0</v>
      </c>
      <c r="AG20" s="901">
        <f>IF(NFI_Expiration=1,IF($A20&lt;VLOOKUP(R$5,NFI,5,0),1,0)*Data_NFI_t[[#This Row],[Jerry Can]],0)</f>
        <v>0</v>
      </c>
      <c r="AH20" s="901">
        <f>IF(NFI_Expiration=1,IF($A20&lt;VLOOKUP(S$5,NFI,5,0),1,0)*Data_NFI_t[[#This Row],[Plastic Mat]],0)</f>
        <v>0</v>
      </c>
      <c r="AI20" s="901">
        <f>IF(NFI_Expiration=1,IF($A20&lt;VLOOKUP(T$5,NFI,5,0),1,0)*Data_NFI_t[[#This Row],[Adult Clothes]],0)</f>
        <v>0</v>
      </c>
      <c r="AJ20" s="901">
        <f>IF(NFI_Expiration=1,IF($A20&lt;VLOOKUP(U$5,NFI,5,0),1,0)*Data_NFI_t[[#This Row],[Children Clothes]],0)</f>
        <v>0</v>
      </c>
      <c r="AK20" s="901">
        <f>IF(NFI_Expiration=1,IF($A20&lt;VLOOKUP(V$5,NFI,5,0),1,0)*Data_NFI_t[[#This Row],[Sewing Kit]],0)</f>
        <v>0</v>
      </c>
      <c r="AL20" s="901">
        <f>IF(NFI_Expiration=1,IF($A20&lt;VLOOKUP(V$5,NFI,5,0),1,0)*Data_NFI_t[[#This Row],[Solar Lantern]],0)</f>
        <v>0</v>
      </c>
      <c r="AM20" s="131" t="str">
        <f ca="1">IFERROR(OFFSET(Camp_List[P_Code],MATCH(Data_NFI_t[[#This Row],[Camp Name]],Camp_List[Camp Name],0)-1,0,1,1),"")</f>
        <v>MMR012CMP041</v>
      </c>
      <c r="AN20" s="513" t="str">
        <f ca="1">IFERROR(OFFSET(Camp_List[Status],MATCH(Data_NFI_t[[#This Row],[Camp Name]],Camp_List[Camp Name],0)-1,0,1,1),"")</f>
        <v>Open</v>
      </c>
      <c r="AO20" s="131"/>
      <c r="AR20" s="975"/>
    </row>
    <row r="21" spans="1:44" s="968" customFormat="1" ht="16.5" customHeight="1" x14ac:dyDescent="0.25">
      <c r="A21" s="903">
        <f t="shared" si="1"/>
        <v>0.9</v>
      </c>
      <c r="B21" s="904">
        <f>YEAR(Data_NFI_t[[#This Row],[Distribution Date]])</f>
        <v>2017</v>
      </c>
      <c r="C21" s="974">
        <v>42829</v>
      </c>
      <c r="D21" s="900" t="s">
        <v>1117</v>
      </c>
      <c r="E21" s="900" t="s">
        <v>1117</v>
      </c>
      <c r="F21" s="900" t="s">
        <v>7</v>
      </c>
      <c r="G21" s="906" t="s">
        <v>19</v>
      </c>
      <c r="H21" s="906" t="s">
        <v>630</v>
      </c>
      <c r="I21" s="907"/>
      <c r="J21" s="908"/>
      <c r="K21" s="908">
        <v>1236</v>
      </c>
      <c r="L21" s="909"/>
      <c r="M21" s="909"/>
      <c r="N21" s="909"/>
      <c r="O21" s="909"/>
      <c r="P21" s="909"/>
      <c r="Q21" s="909"/>
      <c r="R21" s="910"/>
      <c r="S21" s="909"/>
      <c r="T21" s="909"/>
      <c r="U21" s="909"/>
      <c r="V21" s="909"/>
      <c r="W21" s="909"/>
      <c r="X21" s="901">
        <f>IF(NFI_Expiration=1,IF($A21&lt;VLOOKUP(I$5,NFI,5,0),1,0)*Data_NFI_t[[#This Row],[Hygiene Kit]],0)</f>
        <v>0</v>
      </c>
      <c r="Y21" s="901">
        <f>IF(NFI_Expiration=1,IF($A21&lt;VLOOKUP(J$5,NFI,5,0),1,0)*Data_NFI_t[[#This Row],[NFI Core Kit]],0)</f>
        <v>0</v>
      </c>
      <c r="Z21" s="902">
        <f>IF(NFI_Expiration=1,IF($A21&lt;VLOOKUP(K$5,NFI,5,0),1,0)*Data_NFI_t[[#This Row],[Sanitary Kit]],0)</f>
        <v>1236</v>
      </c>
      <c r="AA21" s="902">
        <f>IF(NFI_Expiration=1,IF($A21&lt;VLOOKUP(L$5,NFI,5,0),1,0)*Data_NFI_t[[#This Row],[Mosquito net]],0)</f>
        <v>0</v>
      </c>
      <c r="AB21" s="902">
        <f>IF(NFI_Expiration=1,IF($A21&lt;VLOOKUP(M$5,NFI,5,0),1,0)*Data_NFI_t[[#This Row],[Tarpaulin]],0)</f>
        <v>0</v>
      </c>
      <c r="AC21" s="902">
        <f>IF(NFI_Expiration=1,IF($A21&lt;VLOOKUP(N$5,NFI,5,0),1,0)*Data_NFI_t[[#This Row],[Blanket]],0)</f>
        <v>0</v>
      </c>
      <c r="AD21" s="902">
        <f>IF(NFI_Expiration=1,IF($A21&lt;VLOOKUP(O$5,NFI,5,0),1,0)*Data_NFI_t[[#This Row],[Kitchen Set]],0)</f>
        <v>0</v>
      </c>
      <c r="AE21" s="902">
        <f>IF(NFI_Expiration=1,IF($A21&lt;VLOOKUP(P$5,NFI,5,0),1,0)*Data_NFI_t[[#This Row],[Complementary Kit]],0)</f>
        <v>0</v>
      </c>
      <c r="AF21" s="902">
        <f>IF(NFI_Expiration=1,IF($A21&lt;VLOOKUP(Q$5,NFI,5,0),1,0)*Data_NFI_t[[#This Row],[Plastic Bucket]],0)</f>
        <v>0</v>
      </c>
      <c r="AG21" s="901">
        <f>IF(NFI_Expiration=1,IF($A21&lt;VLOOKUP(R$5,NFI,5,0),1,0)*Data_NFI_t[[#This Row],[Jerry Can]],0)</f>
        <v>0</v>
      </c>
      <c r="AH21" s="901">
        <f>IF(NFI_Expiration=1,IF($A21&lt;VLOOKUP(S$5,NFI,5,0),1,0)*Data_NFI_t[[#This Row],[Plastic Mat]],0)</f>
        <v>0</v>
      </c>
      <c r="AI21" s="901">
        <f>IF(NFI_Expiration=1,IF($A21&lt;VLOOKUP(T$5,NFI,5,0),1,0)*Data_NFI_t[[#This Row],[Adult Clothes]],0)</f>
        <v>0</v>
      </c>
      <c r="AJ21" s="901">
        <f>IF(NFI_Expiration=1,IF($A21&lt;VLOOKUP(U$5,NFI,5,0),1,0)*Data_NFI_t[[#This Row],[Children Clothes]],0)</f>
        <v>0</v>
      </c>
      <c r="AK21" s="901">
        <f>IF(NFI_Expiration=1,IF($A21&lt;VLOOKUP(V$5,NFI,5,0),1,0)*Data_NFI_t[[#This Row],[Sewing Kit]],0)</f>
        <v>0</v>
      </c>
      <c r="AL21" s="901">
        <f>IF(NFI_Expiration=1,IF($A21&lt;VLOOKUP(V$5,NFI,5,0),1,0)*Data_NFI_t[[#This Row],[Solar Lantern]],0)</f>
        <v>0</v>
      </c>
      <c r="AM21" s="131" t="str">
        <f ca="1">IFERROR(OFFSET(Camp_List[P_Code],MATCH(Data_NFI_t[[#This Row],[Camp Name]],Camp_List[Camp Name],0)-1,0,1,1),"")</f>
        <v>MMR012CMP114</v>
      </c>
      <c r="AN21" s="513" t="str">
        <f ca="1">IFERROR(OFFSET(Camp_List[Status],MATCH(Data_NFI_t[[#This Row],[Camp Name]],Camp_List[Camp Name],0)-1,0,1,1),"")</f>
        <v>Open</v>
      </c>
      <c r="AO21" s="131"/>
      <c r="AR21" s="975"/>
    </row>
    <row r="22" spans="1:44" s="968" customFormat="1" ht="16.5" customHeight="1" x14ac:dyDescent="0.25">
      <c r="A22" s="903">
        <f t="shared" si="1"/>
        <v>0.93333333333333335</v>
      </c>
      <c r="B22" s="904">
        <f>YEAR(Data_NFI_t[[#This Row],[Distribution Date]])</f>
        <v>2017</v>
      </c>
      <c r="C22" s="974">
        <v>42828</v>
      </c>
      <c r="D22" s="900" t="s">
        <v>1117</v>
      </c>
      <c r="E22" s="900" t="s">
        <v>1117</v>
      </c>
      <c r="F22" s="900" t="s">
        <v>7</v>
      </c>
      <c r="G22" s="906" t="s">
        <v>19</v>
      </c>
      <c r="H22" s="906" t="s">
        <v>629</v>
      </c>
      <c r="I22" s="907"/>
      <c r="J22" s="908"/>
      <c r="K22" s="908">
        <v>1127</v>
      </c>
      <c r="L22" s="909"/>
      <c r="M22" s="909"/>
      <c r="N22" s="909"/>
      <c r="O22" s="909"/>
      <c r="P22" s="909"/>
      <c r="Q22" s="909"/>
      <c r="R22" s="910"/>
      <c r="S22" s="909"/>
      <c r="T22" s="909"/>
      <c r="U22" s="909"/>
      <c r="V22" s="909"/>
      <c r="W22" s="909"/>
      <c r="X22" s="901">
        <f>IF(NFI_Expiration=1,IF($A22&lt;VLOOKUP(I$5,NFI,5,0),1,0)*Data_NFI_t[[#This Row],[Hygiene Kit]],0)</f>
        <v>0</v>
      </c>
      <c r="Y22" s="901">
        <f>IF(NFI_Expiration=1,IF($A22&lt;VLOOKUP(J$5,NFI,5,0),1,0)*Data_NFI_t[[#This Row],[NFI Core Kit]],0)</f>
        <v>0</v>
      </c>
      <c r="Z22" s="902">
        <f>IF(NFI_Expiration=1,IF($A22&lt;VLOOKUP(K$5,NFI,5,0),1,0)*Data_NFI_t[[#This Row],[Sanitary Kit]],0)</f>
        <v>1127</v>
      </c>
      <c r="AA22" s="902">
        <f>IF(NFI_Expiration=1,IF($A22&lt;VLOOKUP(L$5,NFI,5,0),1,0)*Data_NFI_t[[#This Row],[Mosquito net]],0)</f>
        <v>0</v>
      </c>
      <c r="AB22" s="902">
        <f>IF(NFI_Expiration=1,IF($A22&lt;VLOOKUP(M$5,NFI,5,0),1,0)*Data_NFI_t[[#This Row],[Tarpaulin]],0)</f>
        <v>0</v>
      </c>
      <c r="AC22" s="902">
        <f>IF(NFI_Expiration=1,IF($A22&lt;VLOOKUP(N$5,NFI,5,0),1,0)*Data_NFI_t[[#This Row],[Blanket]],0)</f>
        <v>0</v>
      </c>
      <c r="AD22" s="902">
        <f>IF(NFI_Expiration=1,IF($A22&lt;VLOOKUP(O$5,NFI,5,0),1,0)*Data_NFI_t[[#This Row],[Kitchen Set]],0)</f>
        <v>0</v>
      </c>
      <c r="AE22" s="902">
        <f>IF(NFI_Expiration=1,IF($A22&lt;VLOOKUP(P$5,NFI,5,0),1,0)*Data_NFI_t[[#This Row],[Complementary Kit]],0)</f>
        <v>0</v>
      </c>
      <c r="AF22" s="902">
        <f>IF(NFI_Expiration=1,IF($A22&lt;VLOOKUP(Q$5,NFI,5,0),1,0)*Data_NFI_t[[#This Row],[Plastic Bucket]],0)</f>
        <v>0</v>
      </c>
      <c r="AG22" s="901">
        <f>IF(NFI_Expiration=1,IF($A22&lt;VLOOKUP(R$5,NFI,5,0),1,0)*Data_NFI_t[[#This Row],[Jerry Can]],0)</f>
        <v>0</v>
      </c>
      <c r="AH22" s="901">
        <f>IF(NFI_Expiration=1,IF($A22&lt;VLOOKUP(S$5,NFI,5,0),1,0)*Data_NFI_t[[#This Row],[Plastic Mat]],0)</f>
        <v>0</v>
      </c>
      <c r="AI22" s="901">
        <f>IF(NFI_Expiration=1,IF($A22&lt;VLOOKUP(T$5,NFI,5,0),1,0)*Data_NFI_t[[#This Row],[Adult Clothes]],0)</f>
        <v>0</v>
      </c>
      <c r="AJ22" s="901">
        <f>IF(NFI_Expiration=1,IF($A22&lt;VLOOKUP(U$5,NFI,5,0),1,0)*Data_NFI_t[[#This Row],[Children Clothes]],0)</f>
        <v>0</v>
      </c>
      <c r="AK22" s="901">
        <f>IF(NFI_Expiration=1,IF($A22&lt;VLOOKUP(V$5,NFI,5,0),1,0)*Data_NFI_t[[#This Row],[Sewing Kit]],0)</f>
        <v>0</v>
      </c>
      <c r="AL22" s="901">
        <f>IF(NFI_Expiration=1,IF($A22&lt;VLOOKUP(V$5,NFI,5,0),1,0)*Data_NFI_t[[#This Row],[Solar Lantern]],0)</f>
        <v>0</v>
      </c>
      <c r="AM22" s="131" t="str">
        <f ca="1">IFERROR(OFFSET(Camp_List[P_Code],MATCH(Data_NFI_t[[#This Row],[Camp Name]],Camp_List[Camp Name],0)-1,0,1,1),"")</f>
        <v>MMR012CMP113</v>
      </c>
      <c r="AN22" s="513" t="str">
        <f ca="1">IFERROR(OFFSET(Camp_List[Status],MATCH(Data_NFI_t[[#This Row],[Camp Name]],Camp_List[Camp Name],0)-1,0,1,1),"")</f>
        <v>Open</v>
      </c>
      <c r="AO22" s="131"/>
      <c r="AR22" s="975"/>
    </row>
    <row r="23" spans="1:44" s="52" customFormat="1" ht="16.5" customHeight="1" x14ac:dyDescent="0.25">
      <c r="A23" s="903">
        <f t="shared" ref="A23:A86" si="2">IF(ISBLANK(C23),"",(Report_Date-C23)/30)</f>
        <v>1.1333333333333333</v>
      </c>
      <c r="B23" s="904">
        <f>YEAR(Data_NFI_t[[#This Row],[Distribution Date]])</f>
        <v>2017</v>
      </c>
      <c r="C23" s="967">
        <v>42822</v>
      </c>
      <c r="D23" s="900" t="s">
        <v>622</v>
      </c>
      <c r="E23" s="900" t="s">
        <v>622</v>
      </c>
      <c r="F23" s="900" t="s">
        <v>7</v>
      </c>
      <c r="G23" s="906" t="s">
        <v>19</v>
      </c>
      <c r="H23" s="906" t="s">
        <v>635</v>
      </c>
      <c r="I23" s="907"/>
      <c r="J23" s="908"/>
      <c r="K23" s="908"/>
      <c r="L23" s="909">
        <v>1450</v>
      </c>
      <c r="M23" s="909"/>
      <c r="N23" s="909">
        <v>1450</v>
      </c>
      <c r="O23" s="909"/>
      <c r="P23" s="909"/>
      <c r="Q23" s="909">
        <v>1450</v>
      </c>
      <c r="R23" s="910">
        <v>2900</v>
      </c>
      <c r="S23" s="909"/>
      <c r="T23" s="909">
        <v>2175</v>
      </c>
      <c r="U23" s="909">
        <v>725</v>
      </c>
      <c r="V23" s="909"/>
      <c r="W23" s="909"/>
      <c r="X23" s="901">
        <f>IF(NFI_Expiration=1,IF($A23&lt;VLOOKUP(I$5,NFI,5,0),1,0)*Data_NFI_t[[#This Row],[Hygiene Kit]],0)</f>
        <v>0</v>
      </c>
      <c r="Y23" s="901">
        <f>IF(NFI_Expiration=1,IF($A23&lt;VLOOKUP(J$5,NFI,5,0),1,0)*Data_NFI_t[[#This Row],[NFI Core Kit]],0)</f>
        <v>0</v>
      </c>
      <c r="Z23" s="902">
        <f>IF(NFI_Expiration=1,IF($A23&lt;VLOOKUP(K$5,NFI,5,0),1,0)*Data_NFI_t[[#This Row],[Sanitary Kit]],0)</f>
        <v>0</v>
      </c>
      <c r="AA23" s="902">
        <f>IF(NFI_Expiration=1,IF($A23&lt;VLOOKUP(L$5,NFI,5,0),1,0)*Data_NFI_t[[#This Row],[Mosquito net]],0)</f>
        <v>1450</v>
      </c>
      <c r="AB23" s="902">
        <f>IF(NFI_Expiration=1,IF($A23&lt;VLOOKUP(M$5,NFI,5,0),1,0)*Data_NFI_t[[#This Row],[Tarpaulin]],0)</f>
        <v>0</v>
      </c>
      <c r="AC23" s="902">
        <f>IF(NFI_Expiration=1,IF($A23&lt;VLOOKUP(N$5,NFI,5,0),1,0)*Data_NFI_t[[#This Row],[Blanket]],0)</f>
        <v>1450</v>
      </c>
      <c r="AD23" s="902">
        <f>IF(NFI_Expiration=1,IF($A23&lt;VLOOKUP(O$5,NFI,5,0),1,0)*Data_NFI_t[[#This Row],[Kitchen Set]],0)</f>
        <v>0</v>
      </c>
      <c r="AE23" s="902">
        <f>IF(NFI_Expiration=1,IF($A23&lt;VLOOKUP(P$5,NFI,5,0),1,0)*Data_NFI_t[[#This Row],[Complementary Kit]],0)</f>
        <v>0</v>
      </c>
      <c r="AF23" s="902">
        <f>IF(NFI_Expiration=1,IF($A23&lt;VLOOKUP(Q$5,NFI,5,0),1,0)*Data_NFI_t[[#This Row],[Plastic Bucket]],0)</f>
        <v>1450</v>
      </c>
      <c r="AG23" s="901">
        <f>IF(NFI_Expiration=1,IF($A23&lt;VLOOKUP(R$5,NFI,5,0),1,0)*Data_NFI_t[[#This Row],[Jerry Can]],0)</f>
        <v>2900</v>
      </c>
      <c r="AH23" s="901">
        <f>IF(NFI_Expiration=1,IF($A23&lt;VLOOKUP(S$5,NFI,5,0),1,0)*Data_NFI_t[[#This Row],[Plastic Mat]],0)</f>
        <v>0</v>
      </c>
      <c r="AI23" s="901">
        <f>IF(NFI_Expiration=1,IF($A23&lt;VLOOKUP(T$5,NFI,5,0),1,0)*Data_NFI_t[[#This Row],[Adult Clothes]],0)</f>
        <v>2175</v>
      </c>
      <c r="AJ23" s="901">
        <f>IF(NFI_Expiration=1,IF($A23&lt;VLOOKUP(U$5,NFI,5,0),1,0)*Data_NFI_t[[#This Row],[Children Clothes]],0)</f>
        <v>725</v>
      </c>
      <c r="AK23" s="901">
        <f>IF(NFI_Expiration=1,IF($A23&lt;VLOOKUP(V$5,NFI,5,0),1,0)*Data_NFI_t[[#This Row],[Sewing Kit]],0)</f>
        <v>0</v>
      </c>
      <c r="AL23" s="901">
        <f>IF(NFI_Expiration=1,IF($A23&lt;VLOOKUP(V$5,NFI,5,0),1,0)*Data_NFI_t[[#This Row],[Solar Lantern]],0)</f>
        <v>0</v>
      </c>
      <c r="AM23" s="131" t="str">
        <f ca="1">IFERROR(OFFSET(Camp_List[P_Code],MATCH(Data_NFI_t[[#This Row],[Camp Name]],Camp_List[Camp Name],0)-1,0,1,1),"")</f>
        <v>MMR012CMP116</v>
      </c>
      <c r="AN23" s="513" t="str">
        <f ca="1">IFERROR(OFFSET(Camp_List[Status],MATCH(Data_NFI_t[[#This Row],[Camp Name]],Camp_List[Camp Name],0)-1,0,1,1),"")</f>
        <v>Open</v>
      </c>
      <c r="AO23" s="131"/>
      <c r="AP23" s="968"/>
      <c r="AQ23" s="968"/>
      <c r="AR23" s="792"/>
    </row>
    <row r="24" spans="1:44" s="52" customFormat="1" ht="25.5" customHeight="1" x14ac:dyDescent="0.25">
      <c r="A24" s="903">
        <f t="shared" si="2"/>
        <v>1.4666666666666666</v>
      </c>
      <c r="B24" s="904">
        <f>YEAR(Data_NFI_t[[#This Row],[Distribution Date]])</f>
        <v>2017</v>
      </c>
      <c r="C24" s="967">
        <v>42812</v>
      </c>
      <c r="D24" s="900" t="s">
        <v>706</v>
      </c>
      <c r="E24" s="900" t="s">
        <v>706</v>
      </c>
      <c r="F24" s="900" t="s">
        <v>7</v>
      </c>
      <c r="G24" s="906" t="s">
        <v>866</v>
      </c>
      <c r="H24" s="906" t="s">
        <v>38</v>
      </c>
      <c r="I24" s="907"/>
      <c r="J24" s="908"/>
      <c r="K24" s="908">
        <v>622</v>
      </c>
      <c r="L24" s="909"/>
      <c r="M24" s="909"/>
      <c r="N24" s="909"/>
      <c r="O24" s="909"/>
      <c r="P24" s="909"/>
      <c r="Q24" s="909"/>
      <c r="R24" s="910"/>
      <c r="S24" s="909"/>
      <c r="T24" s="909"/>
      <c r="U24" s="909"/>
      <c r="V24" s="909"/>
      <c r="W24" s="909"/>
      <c r="X24" s="901">
        <f>IF(NFI_Expiration=1,IF($A24&lt;VLOOKUP(I$5,NFI,5,0),1,0)*Data_NFI_t[[#This Row],[Hygiene Kit]],0)</f>
        <v>0</v>
      </c>
      <c r="Y24" s="901">
        <f>IF(NFI_Expiration=1,IF($A24&lt;VLOOKUP(J$5,NFI,5,0),1,0)*Data_NFI_t[[#This Row],[NFI Core Kit]],0)</f>
        <v>0</v>
      </c>
      <c r="Z24" s="902">
        <f>IF(NFI_Expiration=1,IF($A24&lt;VLOOKUP(K$5,NFI,5,0),1,0)*Data_NFI_t[[#This Row],[Sanitary Kit]],0)</f>
        <v>622</v>
      </c>
      <c r="AA24" s="902">
        <f>IF(NFI_Expiration=1,IF($A24&lt;VLOOKUP(L$5,NFI,5,0),1,0)*Data_NFI_t[[#This Row],[Mosquito net]],0)</f>
        <v>0</v>
      </c>
      <c r="AB24" s="902">
        <f>IF(NFI_Expiration=1,IF($A24&lt;VLOOKUP(M$5,NFI,5,0),1,0)*Data_NFI_t[[#This Row],[Tarpaulin]],0)</f>
        <v>0</v>
      </c>
      <c r="AC24" s="902">
        <f>IF(NFI_Expiration=1,IF($A24&lt;VLOOKUP(N$5,NFI,5,0),1,0)*Data_NFI_t[[#This Row],[Blanket]],0)</f>
        <v>0</v>
      </c>
      <c r="AD24" s="902">
        <f>IF(NFI_Expiration=1,IF($A24&lt;VLOOKUP(O$5,NFI,5,0),1,0)*Data_NFI_t[[#This Row],[Kitchen Set]],0)</f>
        <v>0</v>
      </c>
      <c r="AE24" s="902">
        <f>IF(NFI_Expiration=1,IF($A24&lt;VLOOKUP(P$5,NFI,5,0),1,0)*Data_NFI_t[[#This Row],[Complementary Kit]],0)</f>
        <v>0</v>
      </c>
      <c r="AF24" s="902">
        <f>IF(NFI_Expiration=1,IF($A24&lt;VLOOKUP(Q$5,NFI,5,0),1,0)*Data_NFI_t[[#This Row],[Plastic Bucket]],0)</f>
        <v>0</v>
      </c>
      <c r="AG24" s="901">
        <f>IF(NFI_Expiration=1,IF($A24&lt;VLOOKUP(R$5,NFI,5,0),1,0)*Data_NFI_t[[#This Row],[Jerry Can]],0)</f>
        <v>0</v>
      </c>
      <c r="AH24" s="901">
        <f>IF(NFI_Expiration=1,IF($A24&lt;VLOOKUP(S$5,NFI,5,0),1,0)*Data_NFI_t[[#This Row],[Plastic Mat]],0)</f>
        <v>0</v>
      </c>
      <c r="AI24" s="901">
        <f>IF(NFI_Expiration=1,IF($A24&lt;VLOOKUP(T$5,NFI,5,0),1,0)*Data_NFI_t[[#This Row],[Adult Clothes]],0)</f>
        <v>0</v>
      </c>
      <c r="AJ24" s="901">
        <f>IF(NFI_Expiration=1,IF($A24&lt;VLOOKUP(U$5,NFI,5,0),1,0)*Data_NFI_t[[#This Row],[Children Clothes]],0)</f>
        <v>0</v>
      </c>
      <c r="AK24" s="901">
        <f>IF(NFI_Expiration=1,IF($A24&lt;VLOOKUP(V$5,NFI,5,0),1,0)*Data_NFI_t[[#This Row],[Sewing Kit]],0)</f>
        <v>0</v>
      </c>
      <c r="AL24" s="901">
        <f>IF(NFI_Expiration=1,IF($A24&lt;VLOOKUP(V$5,NFI,5,0),1,0)*Data_NFI_t[[#This Row],[Solar Lantern]],0)</f>
        <v>0</v>
      </c>
      <c r="AM24" s="131" t="str">
        <f ca="1">IFERROR(OFFSET(Camp_List[P_Code],MATCH(Data_NFI_t[[#This Row],[Camp Name]],Camp_List[Camp Name],0)-1,0,1,1),"")</f>
        <v>MMR012CMP014</v>
      </c>
      <c r="AN24" s="513" t="str">
        <f ca="1">IFERROR(OFFSET(Camp_List[Status],MATCH(Data_NFI_t[[#This Row],[Camp Name]],Camp_List[Camp Name],0)-1,0,1,1),"")</f>
        <v>Open</v>
      </c>
      <c r="AO24" s="131"/>
      <c r="AP24" s="968"/>
      <c r="AQ24" s="968"/>
      <c r="AR24" s="792"/>
    </row>
    <row r="25" spans="1:44" s="52" customFormat="1" ht="25.5" customHeight="1" x14ac:dyDescent="0.25">
      <c r="A25" s="903">
        <f t="shared" si="2"/>
        <v>1.5</v>
      </c>
      <c r="B25" s="904">
        <f>YEAR(Data_NFI_t[[#This Row],[Distribution Date]])</f>
        <v>2017</v>
      </c>
      <c r="C25" s="967">
        <v>42811</v>
      </c>
      <c r="D25" s="900" t="s">
        <v>285</v>
      </c>
      <c r="E25" s="900" t="s">
        <v>623</v>
      </c>
      <c r="F25" s="900" t="s">
        <v>7</v>
      </c>
      <c r="G25" s="906" t="s">
        <v>19</v>
      </c>
      <c r="H25" s="906" t="s">
        <v>68</v>
      </c>
      <c r="I25" s="907"/>
      <c r="J25" s="908"/>
      <c r="K25" s="908"/>
      <c r="L25" s="909">
        <v>2380</v>
      </c>
      <c r="M25" s="909"/>
      <c r="N25" s="909">
        <v>4760</v>
      </c>
      <c r="O25" s="909"/>
      <c r="P25" s="909"/>
      <c r="Q25" s="909"/>
      <c r="R25" s="910"/>
      <c r="S25" s="909">
        <v>11900</v>
      </c>
      <c r="T25" s="909"/>
      <c r="U25" s="909"/>
      <c r="V25" s="909"/>
      <c r="W25" s="909"/>
      <c r="X25" s="901">
        <f>IF(NFI_Expiration=1,IF($A25&lt;VLOOKUP(I$5,NFI,5,0),1,0)*Data_NFI_t[[#This Row],[Hygiene Kit]],0)</f>
        <v>0</v>
      </c>
      <c r="Y25" s="901">
        <f>IF(NFI_Expiration=1,IF($A25&lt;VLOOKUP(J$5,NFI,5,0),1,0)*Data_NFI_t[[#This Row],[NFI Core Kit]],0)</f>
        <v>0</v>
      </c>
      <c r="Z25" s="902">
        <f>IF(NFI_Expiration=1,IF($A25&lt;VLOOKUP(K$5,NFI,5,0),1,0)*Data_NFI_t[[#This Row],[Sanitary Kit]],0)</f>
        <v>0</v>
      </c>
      <c r="AA25" s="902">
        <f>IF(NFI_Expiration=1,IF($A25&lt;VLOOKUP(L$5,NFI,5,0),1,0)*Data_NFI_t[[#This Row],[Mosquito net]],0)</f>
        <v>2380</v>
      </c>
      <c r="AB25" s="902">
        <f>IF(NFI_Expiration=1,IF($A25&lt;VLOOKUP(M$5,NFI,5,0),1,0)*Data_NFI_t[[#This Row],[Tarpaulin]],0)</f>
        <v>0</v>
      </c>
      <c r="AC25" s="902">
        <f>IF(NFI_Expiration=1,IF($A25&lt;VLOOKUP(N$5,NFI,5,0),1,0)*Data_NFI_t[[#This Row],[Blanket]],0)</f>
        <v>4760</v>
      </c>
      <c r="AD25" s="902">
        <f>IF(NFI_Expiration=1,IF($A25&lt;VLOOKUP(O$5,NFI,5,0),1,0)*Data_NFI_t[[#This Row],[Kitchen Set]],0)</f>
        <v>0</v>
      </c>
      <c r="AE25" s="902">
        <f>IF(NFI_Expiration=1,IF($A25&lt;VLOOKUP(P$5,NFI,5,0),1,0)*Data_NFI_t[[#This Row],[Complementary Kit]],0)</f>
        <v>0</v>
      </c>
      <c r="AF25" s="902">
        <f>IF(NFI_Expiration=1,IF($A25&lt;VLOOKUP(Q$5,NFI,5,0),1,0)*Data_NFI_t[[#This Row],[Plastic Bucket]],0)</f>
        <v>0</v>
      </c>
      <c r="AG25" s="901">
        <f>IF(NFI_Expiration=1,IF($A25&lt;VLOOKUP(R$5,NFI,5,0),1,0)*Data_NFI_t[[#This Row],[Jerry Can]],0)</f>
        <v>0</v>
      </c>
      <c r="AH25" s="901">
        <f>IF(NFI_Expiration=1,IF($A25&lt;VLOOKUP(S$5,NFI,5,0),1,0)*Data_NFI_t[[#This Row],[Plastic Mat]],0)</f>
        <v>11900</v>
      </c>
      <c r="AI25" s="901">
        <f>IF(NFI_Expiration=1,IF($A25&lt;VLOOKUP(T$5,NFI,5,0),1,0)*Data_NFI_t[[#This Row],[Adult Clothes]],0)</f>
        <v>0</v>
      </c>
      <c r="AJ25" s="901">
        <f>IF(NFI_Expiration=1,IF($A25&lt;VLOOKUP(U$5,NFI,5,0),1,0)*Data_NFI_t[[#This Row],[Children Clothes]],0)</f>
        <v>0</v>
      </c>
      <c r="AK25" s="901">
        <f>IF(NFI_Expiration=1,IF($A25&lt;VLOOKUP(V$5,NFI,5,0),1,0)*Data_NFI_t[[#This Row],[Sewing Kit]],0)</f>
        <v>0</v>
      </c>
      <c r="AL25" s="901">
        <f>IF(NFI_Expiration=1,IF($A25&lt;VLOOKUP(V$5,NFI,5,0),1,0)*Data_NFI_t[[#This Row],[Solar Lantern]],0)</f>
        <v>0</v>
      </c>
      <c r="AM25" s="131" t="str">
        <f ca="1">IFERROR(OFFSET(Camp_List[P_Code],MATCH(Data_NFI_t[[#This Row],[Camp Name]],Camp_List[Camp Name],0)-1,0,1,1),"")</f>
        <v>MMR012CMP046</v>
      </c>
      <c r="AN25" s="513" t="str">
        <f ca="1">IFERROR(OFFSET(Camp_List[Status],MATCH(Data_NFI_t[[#This Row],[Camp Name]],Camp_List[Camp Name],0)-1,0,1,1),"")</f>
        <v>Open</v>
      </c>
      <c r="AO25" s="131"/>
      <c r="AP25" s="968"/>
      <c r="AQ25" s="968"/>
      <c r="AR25" s="792"/>
    </row>
    <row r="26" spans="1:44" s="52" customFormat="1" ht="25.5" customHeight="1" x14ac:dyDescent="0.25">
      <c r="A26" s="903">
        <f t="shared" si="2"/>
        <v>1.5333333333333334</v>
      </c>
      <c r="B26" s="904">
        <f>YEAR(Data_NFI_t[[#This Row],[Distribution Date]])</f>
        <v>2017</v>
      </c>
      <c r="C26" s="967">
        <v>42810</v>
      </c>
      <c r="D26" s="900" t="s">
        <v>285</v>
      </c>
      <c r="E26" s="900" t="s">
        <v>623</v>
      </c>
      <c r="F26" s="900" t="s">
        <v>7</v>
      </c>
      <c r="G26" s="906" t="s">
        <v>14</v>
      </c>
      <c r="H26" s="906" t="s">
        <v>1067</v>
      </c>
      <c r="I26" s="907"/>
      <c r="J26" s="908"/>
      <c r="K26" s="908"/>
      <c r="L26" s="909">
        <v>856</v>
      </c>
      <c r="M26" s="909"/>
      <c r="N26" s="909"/>
      <c r="O26" s="909"/>
      <c r="P26" s="909"/>
      <c r="Q26" s="909"/>
      <c r="R26" s="910"/>
      <c r="S26" s="909"/>
      <c r="T26" s="909"/>
      <c r="U26" s="909"/>
      <c r="V26" s="909"/>
      <c r="W26" s="909"/>
      <c r="X26" s="901">
        <f>IF(NFI_Expiration=1,IF($A26&lt;VLOOKUP(I$5,NFI,5,0),1,0)*Data_NFI_t[[#This Row],[Hygiene Kit]],0)</f>
        <v>0</v>
      </c>
      <c r="Y26" s="901">
        <f>IF(NFI_Expiration=1,IF($A26&lt;VLOOKUP(J$5,NFI,5,0),1,0)*Data_NFI_t[[#This Row],[NFI Core Kit]],0)</f>
        <v>0</v>
      </c>
      <c r="Z26" s="902">
        <f>IF(NFI_Expiration=1,IF($A26&lt;VLOOKUP(K$5,NFI,5,0),1,0)*Data_NFI_t[[#This Row],[Sanitary Kit]],0)</f>
        <v>0</v>
      </c>
      <c r="AA26" s="902">
        <f>IF(NFI_Expiration=1,IF($A26&lt;VLOOKUP(L$5,NFI,5,0),1,0)*Data_NFI_t[[#This Row],[Mosquito net]],0)</f>
        <v>856</v>
      </c>
      <c r="AB26" s="902">
        <f>IF(NFI_Expiration=1,IF($A26&lt;VLOOKUP(M$5,NFI,5,0),1,0)*Data_NFI_t[[#This Row],[Tarpaulin]],0)</f>
        <v>0</v>
      </c>
      <c r="AC26" s="902">
        <f>IF(NFI_Expiration=1,IF($A26&lt;VLOOKUP(N$5,NFI,5,0),1,0)*Data_NFI_t[[#This Row],[Blanket]],0)</f>
        <v>0</v>
      </c>
      <c r="AD26" s="902">
        <f>IF(NFI_Expiration=1,IF($A26&lt;VLOOKUP(O$5,NFI,5,0),1,0)*Data_NFI_t[[#This Row],[Kitchen Set]],0)</f>
        <v>0</v>
      </c>
      <c r="AE26" s="902">
        <f>IF(NFI_Expiration=1,IF($A26&lt;VLOOKUP(P$5,NFI,5,0),1,0)*Data_NFI_t[[#This Row],[Complementary Kit]],0)</f>
        <v>0</v>
      </c>
      <c r="AF26" s="902">
        <f>IF(NFI_Expiration=1,IF($A26&lt;VLOOKUP(Q$5,NFI,5,0),1,0)*Data_NFI_t[[#This Row],[Plastic Bucket]],0)</f>
        <v>0</v>
      </c>
      <c r="AG26" s="901">
        <f>IF(NFI_Expiration=1,IF($A26&lt;VLOOKUP(R$5,NFI,5,0),1,0)*Data_NFI_t[[#This Row],[Jerry Can]],0)</f>
        <v>0</v>
      </c>
      <c r="AH26" s="901">
        <f>IF(NFI_Expiration=1,IF($A26&lt;VLOOKUP(S$5,NFI,5,0),1,0)*Data_NFI_t[[#This Row],[Plastic Mat]],0)</f>
        <v>0</v>
      </c>
      <c r="AI26" s="901">
        <f>IF(NFI_Expiration=1,IF($A26&lt;VLOOKUP(T$5,NFI,5,0),1,0)*Data_NFI_t[[#This Row],[Adult Clothes]],0)</f>
        <v>0</v>
      </c>
      <c r="AJ26" s="901">
        <f>IF(NFI_Expiration=1,IF($A26&lt;VLOOKUP(U$5,NFI,5,0),1,0)*Data_NFI_t[[#This Row],[Children Clothes]],0)</f>
        <v>0</v>
      </c>
      <c r="AK26" s="901">
        <f>IF(NFI_Expiration=1,IF($A26&lt;VLOOKUP(V$5,NFI,5,0),1,0)*Data_NFI_t[[#This Row],[Sewing Kit]],0)</f>
        <v>0</v>
      </c>
      <c r="AL26" s="901">
        <f>IF(NFI_Expiration=1,IF($A26&lt;VLOOKUP(V$5,NFI,5,0),1,0)*Data_NFI_t[[#This Row],[Solar Lantern]],0)</f>
        <v>0</v>
      </c>
      <c r="AM26" s="131" t="str">
        <f ca="1">IFERROR(OFFSET(Camp_List[P_Code],MATCH(Data_NFI_t[[#This Row],[Camp Name]],Camp_List[Camp Name],0)-1,0,1,1),"")</f>
        <v>MMR012CMP017</v>
      </c>
      <c r="AN26" s="513" t="str">
        <f ca="1">IFERROR(OFFSET(Camp_List[Status],MATCH(Data_NFI_t[[#This Row],[Camp Name]],Camp_List[Camp Name],0)-1,0,1,1),"")</f>
        <v>Open</v>
      </c>
      <c r="AO26" s="131"/>
      <c r="AP26" s="968"/>
      <c r="AQ26" s="968"/>
      <c r="AR26" s="792"/>
    </row>
    <row r="27" spans="1:44" s="52" customFormat="1" ht="25.5" customHeight="1" x14ac:dyDescent="0.25">
      <c r="A27" s="903">
        <f t="shared" si="2"/>
        <v>1.5333333333333334</v>
      </c>
      <c r="B27" s="904">
        <f>YEAR(Data_NFI_t[[#This Row],[Distribution Date]])</f>
        <v>2017</v>
      </c>
      <c r="C27" s="967">
        <v>42810</v>
      </c>
      <c r="D27" s="900" t="s">
        <v>285</v>
      </c>
      <c r="E27" s="900" t="s">
        <v>623</v>
      </c>
      <c r="F27" s="900" t="s">
        <v>7</v>
      </c>
      <c r="G27" s="906" t="s">
        <v>14</v>
      </c>
      <c r="H27" s="906" t="s">
        <v>40</v>
      </c>
      <c r="I27" s="907"/>
      <c r="J27" s="908"/>
      <c r="K27" s="908"/>
      <c r="L27" s="909">
        <v>1238</v>
      </c>
      <c r="M27" s="909"/>
      <c r="N27" s="909"/>
      <c r="O27" s="909"/>
      <c r="P27" s="909"/>
      <c r="Q27" s="909"/>
      <c r="R27" s="910"/>
      <c r="S27" s="909"/>
      <c r="T27" s="909"/>
      <c r="U27" s="909"/>
      <c r="V27" s="909"/>
      <c r="W27" s="909"/>
      <c r="X27" s="901">
        <f>IF(NFI_Expiration=1,IF($A27&lt;VLOOKUP(I$5,NFI,5,0),1,0)*Data_NFI_t[[#This Row],[Hygiene Kit]],0)</f>
        <v>0</v>
      </c>
      <c r="Y27" s="901">
        <f>IF(NFI_Expiration=1,IF($A27&lt;VLOOKUP(J$5,NFI,5,0),1,0)*Data_NFI_t[[#This Row],[NFI Core Kit]],0)</f>
        <v>0</v>
      </c>
      <c r="Z27" s="902">
        <f>IF(NFI_Expiration=1,IF($A27&lt;VLOOKUP(K$5,NFI,5,0),1,0)*Data_NFI_t[[#This Row],[Sanitary Kit]],0)</f>
        <v>0</v>
      </c>
      <c r="AA27" s="902">
        <f>IF(NFI_Expiration=1,IF($A27&lt;VLOOKUP(L$5,NFI,5,0),1,0)*Data_NFI_t[[#This Row],[Mosquito net]],0)</f>
        <v>1238</v>
      </c>
      <c r="AB27" s="902">
        <f>IF(NFI_Expiration=1,IF($A27&lt;VLOOKUP(M$5,NFI,5,0),1,0)*Data_NFI_t[[#This Row],[Tarpaulin]],0)</f>
        <v>0</v>
      </c>
      <c r="AC27" s="902">
        <f>IF(NFI_Expiration=1,IF($A27&lt;VLOOKUP(N$5,NFI,5,0),1,0)*Data_NFI_t[[#This Row],[Blanket]],0)</f>
        <v>0</v>
      </c>
      <c r="AD27" s="902">
        <f>IF(NFI_Expiration=1,IF($A27&lt;VLOOKUP(O$5,NFI,5,0),1,0)*Data_NFI_t[[#This Row],[Kitchen Set]],0)</f>
        <v>0</v>
      </c>
      <c r="AE27" s="902">
        <f>IF(NFI_Expiration=1,IF($A27&lt;VLOOKUP(P$5,NFI,5,0),1,0)*Data_NFI_t[[#This Row],[Complementary Kit]],0)</f>
        <v>0</v>
      </c>
      <c r="AF27" s="902">
        <f>IF(NFI_Expiration=1,IF($A27&lt;VLOOKUP(Q$5,NFI,5,0),1,0)*Data_NFI_t[[#This Row],[Plastic Bucket]],0)</f>
        <v>0</v>
      </c>
      <c r="AG27" s="901">
        <f>IF(NFI_Expiration=1,IF($A27&lt;VLOOKUP(R$5,NFI,5,0),1,0)*Data_NFI_t[[#This Row],[Jerry Can]],0)</f>
        <v>0</v>
      </c>
      <c r="AH27" s="901">
        <f>IF(NFI_Expiration=1,IF($A27&lt;VLOOKUP(S$5,NFI,5,0),1,0)*Data_NFI_t[[#This Row],[Plastic Mat]],0)</f>
        <v>0</v>
      </c>
      <c r="AI27" s="901">
        <f>IF(NFI_Expiration=1,IF($A27&lt;VLOOKUP(T$5,NFI,5,0),1,0)*Data_NFI_t[[#This Row],[Adult Clothes]],0)</f>
        <v>0</v>
      </c>
      <c r="AJ27" s="901">
        <f>IF(NFI_Expiration=1,IF($A27&lt;VLOOKUP(U$5,NFI,5,0),1,0)*Data_NFI_t[[#This Row],[Children Clothes]],0)</f>
        <v>0</v>
      </c>
      <c r="AK27" s="901">
        <f>IF(NFI_Expiration=1,IF($A27&lt;VLOOKUP(V$5,NFI,5,0),1,0)*Data_NFI_t[[#This Row],[Sewing Kit]],0)</f>
        <v>0</v>
      </c>
      <c r="AL27" s="901">
        <f>IF(NFI_Expiration=1,IF($A27&lt;VLOOKUP(V$5,NFI,5,0),1,0)*Data_NFI_t[[#This Row],[Solar Lantern]],0)</f>
        <v>0</v>
      </c>
      <c r="AM27" s="131" t="str">
        <f ca="1">IFERROR(OFFSET(Camp_List[P_Code],MATCH(Data_NFI_t[[#This Row],[Camp Name]],Camp_List[Camp Name],0)-1,0,1,1),"")</f>
        <v>MMR012CMP016</v>
      </c>
      <c r="AN27" s="513" t="str">
        <f ca="1">IFERROR(OFFSET(Camp_List[Status],MATCH(Data_NFI_t[[#This Row],[Camp Name]],Camp_List[Camp Name],0)-1,0,1,1),"")</f>
        <v>Open</v>
      </c>
      <c r="AO27" s="131"/>
      <c r="AP27" s="968"/>
      <c r="AQ27" s="968"/>
      <c r="AR27" s="792"/>
    </row>
    <row r="28" spans="1:44" s="52" customFormat="1" ht="25.5" customHeight="1" x14ac:dyDescent="0.25">
      <c r="A28" s="903">
        <f t="shared" si="2"/>
        <v>1.6</v>
      </c>
      <c r="B28" s="904">
        <f>YEAR(Data_NFI_t[[#This Row],[Distribution Date]])</f>
        <v>2017</v>
      </c>
      <c r="C28" s="967">
        <v>42808</v>
      </c>
      <c r="D28" s="900" t="s">
        <v>285</v>
      </c>
      <c r="E28" s="900" t="s">
        <v>623</v>
      </c>
      <c r="F28" s="900" t="s">
        <v>7</v>
      </c>
      <c r="G28" s="906" t="s">
        <v>19</v>
      </c>
      <c r="H28" s="906" t="s">
        <v>64</v>
      </c>
      <c r="I28" s="907"/>
      <c r="J28" s="908"/>
      <c r="K28" s="908"/>
      <c r="L28" s="909">
        <v>799</v>
      </c>
      <c r="M28" s="909"/>
      <c r="N28" s="909"/>
      <c r="O28" s="909">
        <v>799</v>
      </c>
      <c r="P28" s="909"/>
      <c r="Q28" s="909"/>
      <c r="R28" s="910"/>
      <c r="S28" s="909"/>
      <c r="T28" s="909"/>
      <c r="U28" s="909"/>
      <c r="V28" s="909"/>
      <c r="W28" s="909"/>
      <c r="X28" s="901">
        <f>IF(NFI_Expiration=1,IF($A28&lt;VLOOKUP(I$5,NFI,5,0),1,0)*Data_NFI_t[[#This Row],[Hygiene Kit]],0)</f>
        <v>0</v>
      </c>
      <c r="Y28" s="901">
        <f>IF(NFI_Expiration=1,IF($A28&lt;VLOOKUP(J$5,NFI,5,0),1,0)*Data_NFI_t[[#This Row],[NFI Core Kit]],0)</f>
        <v>0</v>
      </c>
      <c r="Z28" s="902">
        <f>IF(NFI_Expiration=1,IF($A28&lt;VLOOKUP(K$5,NFI,5,0),1,0)*Data_NFI_t[[#This Row],[Sanitary Kit]],0)</f>
        <v>0</v>
      </c>
      <c r="AA28" s="902">
        <f>IF(NFI_Expiration=1,IF($A28&lt;VLOOKUP(L$5,NFI,5,0),1,0)*Data_NFI_t[[#This Row],[Mosquito net]],0)</f>
        <v>799</v>
      </c>
      <c r="AB28" s="902">
        <f>IF(NFI_Expiration=1,IF($A28&lt;VLOOKUP(M$5,NFI,5,0),1,0)*Data_NFI_t[[#This Row],[Tarpaulin]],0)</f>
        <v>0</v>
      </c>
      <c r="AC28" s="902">
        <f>IF(NFI_Expiration=1,IF($A28&lt;VLOOKUP(N$5,NFI,5,0),1,0)*Data_NFI_t[[#This Row],[Blanket]],0)</f>
        <v>0</v>
      </c>
      <c r="AD28" s="902">
        <f>IF(NFI_Expiration=1,IF($A28&lt;VLOOKUP(O$5,NFI,5,0),1,0)*Data_NFI_t[[#This Row],[Kitchen Set]],0)</f>
        <v>799</v>
      </c>
      <c r="AE28" s="902">
        <f>IF(NFI_Expiration=1,IF($A28&lt;VLOOKUP(P$5,NFI,5,0),1,0)*Data_NFI_t[[#This Row],[Complementary Kit]],0)</f>
        <v>0</v>
      </c>
      <c r="AF28" s="902">
        <f>IF(NFI_Expiration=1,IF($A28&lt;VLOOKUP(Q$5,NFI,5,0),1,0)*Data_NFI_t[[#This Row],[Plastic Bucket]],0)</f>
        <v>0</v>
      </c>
      <c r="AG28" s="901">
        <f>IF(NFI_Expiration=1,IF($A28&lt;VLOOKUP(R$5,NFI,5,0),1,0)*Data_NFI_t[[#This Row],[Jerry Can]],0)</f>
        <v>0</v>
      </c>
      <c r="AH28" s="901">
        <f>IF(NFI_Expiration=1,IF($A28&lt;VLOOKUP(S$5,NFI,5,0),1,0)*Data_NFI_t[[#This Row],[Plastic Mat]],0)</f>
        <v>0</v>
      </c>
      <c r="AI28" s="901">
        <f>IF(NFI_Expiration=1,IF($A28&lt;VLOOKUP(T$5,NFI,5,0),1,0)*Data_NFI_t[[#This Row],[Adult Clothes]],0)</f>
        <v>0</v>
      </c>
      <c r="AJ28" s="901">
        <f>IF(NFI_Expiration=1,IF($A28&lt;VLOOKUP(U$5,NFI,5,0),1,0)*Data_NFI_t[[#This Row],[Children Clothes]],0)</f>
        <v>0</v>
      </c>
      <c r="AK28" s="901">
        <f>IF(NFI_Expiration=1,IF($A28&lt;VLOOKUP(V$5,NFI,5,0),1,0)*Data_NFI_t[[#This Row],[Sewing Kit]],0)</f>
        <v>0</v>
      </c>
      <c r="AL28" s="901">
        <f>IF(NFI_Expiration=1,IF($A28&lt;VLOOKUP(V$5,NFI,5,0),1,0)*Data_NFI_t[[#This Row],[Solar Lantern]],0)</f>
        <v>0</v>
      </c>
      <c r="AM28" s="131" t="str">
        <f ca="1">IFERROR(OFFSET(Camp_List[P_Code],MATCH(Data_NFI_t[[#This Row],[Camp Name]],Camp_List[Camp Name],0)-1,0,1,1),"")</f>
        <v>MMR012CMP042</v>
      </c>
      <c r="AN28" s="513" t="str">
        <f ca="1">IFERROR(OFFSET(Camp_List[Status],MATCH(Data_NFI_t[[#This Row],[Camp Name]],Camp_List[Camp Name],0)-1,0,1,1),"")</f>
        <v>Open</v>
      </c>
      <c r="AO28" s="131"/>
      <c r="AP28" s="968"/>
      <c r="AQ28" s="968"/>
      <c r="AR28" s="792"/>
    </row>
    <row r="29" spans="1:44" s="52" customFormat="1" ht="25.5" customHeight="1" x14ac:dyDescent="0.25">
      <c r="A29" s="903">
        <f t="shared" si="2"/>
        <v>1.7333333333333334</v>
      </c>
      <c r="B29" s="904">
        <f>YEAR(Data_NFI_t[[#This Row],[Distribution Date]])</f>
        <v>2017</v>
      </c>
      <c r="C29" s="967">
        <v>42804</v>
      </c>
      <c r="D29" s="900" t="s">
        <v>285</v>
      </c>
      <c r="E29" s="900" t="s">
        <v>623</v>
      </c>
      <c r="F29" s="900" t="s">
        <v>7</v>
      </c>
      <c r="G29" s="906" t="s">
        <v>19</v>
      </c>
      <c r="H29" s="906" t="s">
        <v>61</v>
      </c>
      <c r="I29" s="907"/>
      <c r="J29" s="908"/>
      <c r="K29" s="908"/>
      <c r="L29" s="909">
        <v>397</v>
      </c>
      <c r="M29" s="909"/>
      <c r="N29" s="909">
        <v>794</v>
      </c>
      <c r="O29" s="909">
        <v>397</v>
      </c>
      <c r="P29" s="909"/>
      <c r="Q29" s="909"/>
      <c r="R29" s="910"/>
      <c r="S29" s="909">
        <v>1859</v>
      </c>
      <c r="T29" s="909"/>
      <c r="U29" s="909"/>
      <c r="V29" s="909"/>
      <c r="W29" s="909"/>
      <c r="X29" s="901">
        <f>IF(NFI_Expiration=1,IF($A29&lt;VLOOKUP(I$5,NFI,5,0),1,0)*Data_NFI_t[[#This Row],[Hygiene Kit]],0)</f>
        <v>0</v>
      </c>
      <c r="Y29" s="901">
        <f>IF(NFI_Expiration=1,IF($A29&lt;VLOOKUP(J$5,NFI,5,0),1,0)*Data_NFI_t[[#This Row],[NFI Core Kit]],0)</f>
        <v>0</v>
      </c>
      <c r="Z29" s="902">
        <f>IF(NFI_Expiration=1,IF($A29&lt;VLOOKUP(K$5,NFI,5,0),1,0)*Data_NFI_t[[#This Row],[Sanitary Kit]],0)</f>
        <v>0</v>
      </c>
      <c r="AA29" s="902">
        <f>IF(NFI_Expiration=1,IF($A29&lt;VLOOKUP(L$5,NFI,5,0),1,0)*Data_NFI_t[[#This Row],[Mosquito net]],0)</f>
        <v>397</v>
      </c>
      <c r="AB29" s="902">
        <f>IF(NFI_Expiration=1,IF($A29&lt;VLOOKUP(M$5,NFI,5,0),1,0)*Data_NFI_t[[#This Row],[Tarpaulin]],0)</f>
        <v>0</v>
      </c>
      <c r="AC29" s="902">
        <f>IF(NFI_Expiration=1,IF($A29&lt;VLOOKUP(N$5,NFI,5,0),1,0)*Data_NFI_t[[#This Row],[Blanket]],0)</f>
        <v>794</v>
      </c>
      <c r="AD29" s="902">
        <f>IF(NFI_Expiration=1,IF($A29&lt;VLOOKUP(O$5,NFI,5,0),1,0)*Data_NFI_t[[#This Row],[Kitchen Set]],0)</f>
        <v>397</v>
      </c>
      <c r="AE29" s="902">
        <f>IF(NFI_Expiration=1,IF($A29&lt;VLOOKUP(P$5,NFI,5,0),1,0)*Data_NFI_t[[#This Row],[Complementary Kit]],0)</f>
        <v>0</v>
      </c>
      <c r="AF29" s="902">
        <f>IF(NFI_Expiration=1,IF($A29&lt;VLOOKUP(Q$5,NFI,5,0),1,0)*Data_NFI_t[[#This Row],[Plastic Bucket]],0)</f>
        <v>0</v>
      </c>
      <c r="AG29" s="901">
        <f>IF(NFI_Expiration=1,IF($A29&lt;VLOOKUP(R$5,NFI,5,0),1,0)*Data_NFI_t[[#This Row],[Jerry Can]],0)</f>
        <v>0</v>
      </c>
      <c r="AH29" s="901">
        <f>IF(NFI_Expiration=1,IF($A29&lt;VLOOKUP(S$5,NFI,5,0),1,0)*Data_NFI_t[[#This Row],[Plastic Mat]],0)</f>
        <v>1859</v>
      </c>
      <c r="AI29" s="901">
        <f>IF(NFI_Expiration=1,IF($A29&lt;VLOOKUP(T$5,NFI,5,0),1,0)*Data_NFI_t[[#This Row],[Adult Clothes]],0)</f>
        <v>0</v>
      </c>
      <c r="AJ29" s="901">
        <f>IF(NFI_Expiration=1,IF($A29&lt;VLOOKUP(U$5,NFI,5,0),1,0)*Data_NFI_t[[#This Row],[Children Clothes]],0)</f>
        <v>0</v>
      </c>
      <c r="AK29" s="901">
        <f>IF(NFI_Expiration=1,IF($A29&lt;VLOOKUP(V$5,NFI,5,0),1,0)*Data_NFI_t[[#This Row],[Sewing Kit]],0)</f>
        <v>0</v>
      </c>
      <c r="AL29" s="901">
        <f>IF(NFI_Expiration=1,IF($A29&lt;VLOOKUP(V$5,NFI,5,0),1,0)*Data_NFI_t[[#This Row],[Solar Lantern]],0)</f>
        <v>0</v>
      </c>
      <c r="AM29" s="131" t="str">
        <f ca="1">IFERROR(OFFSET(Camp_List[P_Code],MATCH(Data_NFI_t[[#This Row],[Camp Name]],Camp_List[Camp Name],0)-1,0,1,1),"")</f>
        <v>MMR012CMP039</v>
      </c>
      <c r="AN29" s="513" t="str">
        <f ca="1">IFERROR(OFFSET(Camp_List[Status],MATCH(Data_NFI_t[[#This Row],[Camp Name]],Camp_List[Camp Name],0)-1,0,1,1),"")</f>
        <v>Open</v>
      </c>
      <c r="AO29" s="131"/>
      <c r="AP29" s="968"/>
      <c r="AQ29" s="968"/>
      <c r="AR29" s="792"/>
    </row>
    <row r="30" spans="1:44" s="52" customFormat="1" ht="25.5" customHeight="1" x14ac:dyDescent="0.25">
      <c r="A30" s="903">
        <f t="shared" si="2"/>
        <v>1.8666666666666667</v>
      </c>
      <c r="B30" s="904">
        <f>YEAR(Data_NFI_t[[#This Row],[Distribution Date]])</f>
        <v>2017</v>
      </c>
      <c r="C30" s="967">
        <v>42800</v>
      </c>
      <c r="D30" s="900" t="s">
        <v>970</v>
      </c>
      <c r="E30" s="900" t="s">
        <v>970</v>
      </c>
      <c r="F30" s="900" t="s">
        <v>7</v>
      </c>
      <c r="G30" s="906" t="s">
        <v>16</v>
      </c>
      <c r="H30" s="906" t="s">
        <v>57</v>
      </c>
      <c r="I30" s="907"/>
      <c r="J30" s="908">
        <v>270</v>
      </c>
      <c r="K30" s="908"/>
      <c r="L30" s="909"/>
      <c r="M30" s="909"/>
      <c r="N30" s="909">
        <v>270</v>
      </c>
      <c r="O30" s="909"/>
      <c r="P30" s="909"/>
      <c r="Q30" s="909"/>
      <c r="R30" s="910"/>
      <c r="S30" s="909"/>
      <c r="T30" s="909"/>
      <c r="U30" s="909"/>
      <c r="V30" s="909"/>
      <c r="W30" s="909"/>
      <c r="X30" s="901">
        <f>IF(NFI_Expiration=1,IF($A30&lt;VLOOKUP(I$5,NFI,5,0),1,0)*Data_NFI_t[[#This Row],[Hygiene Kit]],0)</f>
        <v>0</v>
      </c>
      <c r="Y30" s="901">
        <f>IF(NFI_Expiration=1,IF($A30&lt;VLOOKUP(J$5,NFI,5,0),1,0)*Data_NFI_t[[#This Row],[NFI Core Kit]],0)</f>
        <v>270</v>
      </c>
      <c r="Z30" s="902">
        <f>IF(NFI_Expiration=1,IF($A30&lt;VLOOKUP(K$5,NFI,5,0),1,0)*Data_NFI_t[[#This Row],[Sanitary Kit]],0)</f>
        <v>0</v>
      </c>
      <c r="AA30" s="902">
        <f>IF(NFI_Expiration=1,IF($A30&lt;VLOOKUP(L$5,NFI,5,0),1,0)*Data_NFI_t[[#This Row],[Mosquito net]],0)</f>
        <v>0</v>
      </c>
      <c r="AB30" s="902">
        <f>IF(NFI_Expiration=1,IF($A30&lt;VLOOKUP(M$5,NFI,5,0),1,0)*Data_NFI_t[[#This Row],[Tarpaulin]],0)</f>
        <v>0</v>
      </c>
      <c r="AC30" s="902">
        <f>IF(NFI_Expiration=1,IF($A30&lt;VLOOKUP(N$5,NFI,5,0),1,0)*Data_NFI_t[[#This Row],[Blanket]],0)</f>
        <v>270</v>
      </c>
      <c r="AD30" s="902">
        <f>IF(NFI_Expiration=1,IF($A30&lt;VLOOKUP(O$5,NFI,5,0),1,0)*Data_NFI_t[[#This Row],[Kitchen Set]],0)</f>
        <v>0</v>
      </c>
      <c r="AE30" s="902">
        <f>IF(NFI_Expiration=1,IF($A30&lt;VLOOKUP(P$5,NFI,5,0),1,0)*Data_NFI_t[[#This Row],[Complementary Kit]],0)</f>
        <v>0</v>
      </c>
      <c r="AF30" s="902">
        <f>IF(NFI_Expiration=1,IF($A30&lt;VLOOKUP(Q$5,NFI,5,0),1,0)*Data_NFI_t[[#This Row],[Plastic Bucket]],0)</f>
        <v>0</v>
      </c>
      <c r="AG30" s="901">
        <f>IF(NFI_Expiration=1,IF($A30&lt;VLOOKUP(R$5,NFI,5,0),1,0)*Data_NFI_t[[#This Row],[Jerry Can]],0)</f>
        <v>0</v>
      </c>
      <c r="AH30" s="901">
        <f>IF(NFI_Expiration=1,IF($A30&lt;VLOOKUP(S$5,NFI,5,0),1,0)*Data_NFI_t[[#This Row],[Plastic Mat]],0)</f>
        <v>0</v>
      </c>
      <c r="AI30" s="901">
        <f>IF(NFI_Expiration=1,IF($A30&lt;VLOOKUP(T$5,NFI,5,0),1,0)*Data_NFI_t[[#This Row],[Adult Clothes]],0)</f>
        <v>0</v>
      </c>
      <c r="AJ30" s="901">
        <f>IF(NFI_Expiration=1,IF($A30&lt;VLOOKUP(U$5,NFI,5,0),1,0)*Data_NFI_t[[#This Row],[Children Clothes]],0)</f>
        <v>0</v>
      </c>
      <c r="AK30" s="901">
        <f>IF(NFI_Expiration=1,IF($A30&lt;VLOOKUP(V$5,NFI,5,0),1,0)*Data_NFI_t[[#This Row],[Sewing Kit]],0)</f>
        <v>0</v>
      </c>
      <c r="AL30" s="901">
        <f>IF(NFI_Expiration=1,IF($A30&lt;VLOOKUP(V$5,NFI,5,0),1,0)*Data_NFI_t[[#This Row],[Solar Lantern]],0)</f>
        <v>0</v>
      </c>
      <c r="AM30" s="131" t="str">
        <f ca="1">IFERROR(OFFSET(Camp_List[P_Code],MATCH(Data_NFI_t[[#This Row],[Camp Name]],Camp_List[Camp Name],0)-1,0,1,1),"")</f>
        <v>MMR012CMP034</v>
      </c>
      <c r="AN30" s="513" t="str">
        <f ca="1">IFERROR(OFFSET(Camp_List[Status],MATCH(Data_NFI_t[[#This Row],[Camp Name]],Camp_List[Camp Name],0)-1,0,1,1),"")</f>
        <v>Open</v>
      </c>
      <c r="AO30" s="131"/>
      <c r="AP30" s="968"/>
      <c r="AQ30" s="968"/>
      <c r="AR30" s="792"/>
    </row>
    <row r="31" spans="1:44" s="946" customFormat="1" ht="21" customHeight="1" x14ac:dyDescent="0.25">
      <c r="A31" s="949">
        <f t="shared" si="2"/>
        <v>2.1</v>
      </c>
      <c r="B31" s="950">
        <f>YEAR(Data_NFI_t[[#This Row],[Distribution Date]])</f>
        <v>2017</v>
      </c>
      <c r="C31" s="951">
        <v>42793</v>
      </c>
      <c r="D31" s="952" t="s">
        <v>295</v>
      </c>
      <c r="E31" s="953" t="s">
        <v>295</v>
      </c>
      <c r="F31" s="952" t="s">
        <v>7</v>
      </c>
      <c r="G31" s="947" t="s">
        <v>19</v>
      </c>
      <c r="H31" s="947" t="s">
        <v>635</v>
      </c>
      <c r="I31" s="948"/>
      <c r="J31" s="954"/>
      <c r="K31" s="954"/>
      <c r="L31" s="955"/>
      <c r="M31" s="955"/>
      <c r="N31" s="955"/>
      <c r="O31" s="955"/>
      <c r="P31" s="955"/>
      <c r="Q31" s="955"/>
      <c r="R31" s="956"/>
      <c r="S31" s="955"/>
      <c r="T31" s="955"/>
      <c r="U31" s="955">
        <v>2009</v>
      </c>
      <c r="V31" s="955"/>
      <c r="W31" s="955"/>
      <c r="X31" s="957">
        <f>IF(NFI_Expiration=1,IF($A31&lt;VLOOKUP(I$5,NFI,5,0),1,0)*Data_NFI_t[[#This Row],[Hygiene Kit]],0)</f>
        <v>0</v>
      </c>
      <c r="Y31" s="957">
        <f>IF(NFI_Expiration=1,IF($A31&lt;VLOOKUP(J$5,NFI,5,0),1,0)*Data_NFI_t[[#This Row],[NFI Core Kit]],0)</f>
        <v>0</v>
      </c>
      <c r="Z31" s="958">
        <f>IF(NFI_Expiration=1,IF($A31&lt;VLOOKUP(K$5,NFI,5,0),1,0)*Data_NFI_t[[#This Row],[Sanitary Kit]],0)</f>
        <v>0</v>
      </c>
      <c r="AA31" s="958">
        <f>IF(NFI_Expiration=1,IF($A31&lt;VLOOKUP(L$5,NFI,5,0),1,0)*Data_NFI_t[[#This Row],[Mosquito net]],0)</f>
        <v>0</v>
      </c>
      <c r="AB31" s="958">
        <f>IF(NFI_Expiration=1,IF($A31&lt;VLOOKUP(M$5,NFI,5,0),1,0)*Data_NFI_t[[#This Row],[Tarpaulin]],0)</f>
        <v>0</v>
      </c>
      <c r="AC31" s="958">
        <f>IF(NFI_Expiration=1,IF($A31&lt;VLOOKUP(N$5,NFI,5,0),1,0)*Data_NFI_t[[#This Row],[Blanket]],0)</f>
        <v>0</v>
      </c>
      <c r="AD31" s="958">
        <f>IF(NFI_Expiration=1,IF($A31&lt;VLOOKUP(O$5,NFI,5,0),1,0)*Data_NFI_t[[#This Row],[Kitchen Set]],0)</f>
        <v>0</v>
      </c>
      <c r="AE31" s="958">
        <f>IF(NFI_Expiration=1,IF($A31&lt;VLOOKUP(P$5,NFI,5,0),1,0)*Data_NFI_t[[#This Row],[Complementary Kit]],0)</f>
        <v>0</v>
      </c>
      <c r="AF31" s="958">
        <f>IF(NFI_Expiration=1,IF($A31&lt;VLOOKUP(Q$5,NFI,5,0),1,0)*Data_NFI_t[[#This Row],[Plastic Bucket]],0)</f>
        <v>0</v>
      </c>
      <c r="AG31" s="957">
        <f>IF(NFI_Expiration=1,IF($A31&lt;VLOOKUP(R$5,NFI,5,0),1,0)*Data_NFI_t[[#This Row],[Jerry Can]],0)</f>
        <v>0</v>
      </c>
      <c r="AH31" s="901">
        <f>IF(NFI_Expiration=1,IF($A31&lt;VLOOKUP(S$5,NFI,5,0),1,0)*Data_NFI_t[[#This Row],[Plastic Mat]],0)</f>
        <v>0</v>
      </c>
      <c r="AI31" s="957">
        <f>IF(NFI_Expiration=1,IF($A31&lt;VLOOKUP(T$5,NFI,5,0),1,0)*Data_NFI_t[[#This Row],[Adult Clothes]],0)</f>
        <v>0</v>
      </c>
      <c r="AJ31" s="957">
        <f>IF(NFI_Expiration=1,IF($A31&lt;VLOOKUP(U$5,NFI,5,0),1,0)*Data_NFI_t[[#This Row],[Children Clothes]],0)</f>
        <v>2009</v>
      </c>
      <c r="AK31" s="957">
        <f>IF(NFI_Expiration=1,IF($A31&lt;VLOOKUP(V$5,NFI,5,0),1,0)*Data_NFI_t[[#This Row],[Sewing Kit]],0)</f>
        <v>0</v>
      </c>
      <c r="AL31" s="901">
        <f>IF(NFI_Expiration=1,IF($A31&lt;VLOOKUP(V$5,NFI,5,0),1,0)*Data_NFI_t[[#This Row],[Solar Lantern]],0)</f>
        <v>0</v>
      </c>
      <c r="AM31" s="959" t="str">
        <f ca="1">IFERROR(OFFSET(Camp_List[P_Code],MATCH(Data_NFI_t[[#This Row],[Camp Name]],Camp_List[Camp Name],0)-1,0,1,1),"")</f>
        <v>MMR012CMP116</v>
      </c>
      <c r="AN31" s="960" t="str">
        <f ca="1">IFERROR(OFFSET(Camp_List[Status],MATCH(Data_NFI_t[[#This Row],[Camp Name]],Camp_List[Camp Name],0)-1,0,1,1),"")</f>
        <v>Open</v>
      </c>
      <c r="AO31" s="959"/>
    </row>
    <row r="32" spans="1:44" s="946" customFormat="1" ht="21" customHeight="1" x14ac:dyDescent="0.25">
      <c r="A32" s="949">
        <f t="shared" si="2"/>
        <v>2.8</v>
      </c>
      <c r="B32" s="950">
        <f>YEAR(Data_NFI_t[[#This Row],[Distribution Date]])</f>
        <v>2017</v>
      </c>
      <c r="C32" s="951">
        <v>42772</v>
      </c>
      <c r="D32" s="952" t="s">
        <v>1140</v>
      </c>
      <c r="E32" s="953" t="s">
        <v>623</v>
      </c>
      <c r="F32" s="952" t="s">
        <v>7</v>
      </c>
      <c r="G32" s="947" t="s">
        <v>19</v>
      </c>
      <c r="H32" s="947" t="s">
        <v>68</v>
      </c>
      <c r="I32" s="948"/>
      <c r="J32" s="954"/>
      <c r="K32" s="954"/>
      <c r="L32" s="955"/>
      <c r="M32" s="955"/>
      <c r="N32" s="955"/>
      <c r="O32" s="955"/>
      <c r="P32" s="955"/>
      <c r="Q32" s="955"/>
      <c r="R32" s="956"/>
      <c r="S32" s="955"/>
      <c r="T32" s="955"/>
      <c r="U32" s="961">
        <v>2017</v>
      </c>
      <c r="V32" s="955"/>
      <c r="W32" s="955"/>
      <c r="X32" s="957">
        <f>IF(NFI_Expiration=1,IF($A32&lt;VLOOKUP(I$5,NFI,5,0),1,0)*Data_NFI_t[[#This Row],[Hygiene Kit]],0)</f>
        <v>0</v>
      </c>
      <c r="Y32" s="957">
        <f>IF(NFI_Expiration=1,IF($A32&lt;VLOOKUP(J$5,NFI,5,0),1,0)*Data_NFI_t[[#This Row],[NFI Core Kit]],0)</f>
        <v>0</v>
      </c>
      <c r="Z32" s="958">
        <f>IF(NFI_Expiration=1,IF($A32&lt;VLOOKUP(K$5,NFI,5,0),1,0)*Data_NFI_t[[#This Row],[Sanitary Kit]],0)</f>
        <v>0</v>
      </c>
      <c r="AA32" s="958">
        <f>IF(NFI_Expiration=1,IF($A32&lt;VLOOKUP(L$5,NFI,5,0),1,0)*Data_NFI_t[[#This Row],[Mosquito net]],0)</f>
        <v>0</v>
      </c>
      <c r="AB32" s="958">
        <f>IF(NFI_Expiration=1,IF($A32&lt;VLOOKUP(M$5,NFI,5,0),1,0)*Data_NFI_t[[#This Row],[Tarpaulin]],0)</f>
        <v>0</v>
      </c>
      <c r="AC32" s="958">
        <f>IF(NFI_Expiration=1,IF($A32&lt;VLOOKUP(N$5,NFI,5,0),1,0)*Data_NFI_t[[#This Row],[Blanket]],0)</f>
        <v>0</v>
      </c>
      <c r="AD32" s="958">
        <f>IF(NFI_Expiration=1,IF($A32&lt;VLOOKUP(O$5,NFI,5,0),1,0)*Data_NFI_t[[#This Row],[Kitchen Set]],0)</f>
        <v>0</v>
      </c>
      <c r="AE32" s="958">
        <f>IF(NFI_Expiration=1,IF($A32&lt;VLOOKUP(P$5,NFI,5,0),1,0)*Data_NFI_t[[#This Row],[Complementary Kit]],0)</f>
        <v>0</v>
      </c>
      <c r="AF32" s="958">
        <f>IF(NFI_Expiration=1,IF($A32&lt;VLOOKUP(Q$5,NFI,5,0),1,0)*Data_NFI_t[[#This Row],[Plastic Bucket]],0)</f>
        <v>0</v>
      </c>
      <c r="AG32" s="957">
        <f>IF(NFI_Expiration=1,IF($A32&lt;VLOOKUP(R$5,NFI,5,0),1,0)*Data_NFI_t[[#This Row],[Jerry Can]],0)</f>
        <v>0</v>
      </c>
      <c r="AH32" s="901">
        <f>IF(NFI_Expiration=1,IF($A32&lt;VLOOKUP(S$5,NFI,5,0),1,0)*Data_NFI_t[[#This Row],[Plastic Mat]],0)</f>
        <v>0</v>
      </c>
      <c r="AI32" s="957">
        <f>IF(NFI_Expiration=1,IF($A32&lt;VLOOKUP(T$5,NFI,5,0),1,0)*Data_NFI_t[[#This Row],[Adult Clothes]],0)</f>
        <v>0</v>
      </c>
      <c r="AJ32" s="957">
        <f>IF(NFI_Expiration=1,IF($A32&lt;VLOOKUP(U$5,NFI,5,0),1,0)*Data_NFI_t[[#This Row],[Children Clothes]],0)</f>
        <v>2017</v>
      </c>
      <c r="AK32" s="957">
        <f>IF(NFI_Expiration=1,IF($A32&lt;VLOOKUP(V$5,NFI,5,0),1,0)*Data_NFI_t[[#This Row],[Sewing Kit]],0)</f>
        <v>0</v>
      </c>
      <c r="AL32" s="901">
        <f>IF(NFI_Expiration=1,IF($A32&lt;VLOOKUP(V$5,NFI,5,0),1,0)*Data_NFI_t[[#This Row],[Solar Lantern]],0)</f>
        <v>0</v>
      </c>
      <c r="AM32" s="959" t="str">
        <f ca="1">IFERROR(OFFSET(Camp_List[P_Code],MATCH(Data_NFI_t[[#This Row],[Camp Name]],Camp_List[Camp Name],0)-1,0,1,1),"")</f>
        <v>MMR012CMP046</v>
      </c>
      <c r="AN32" s="960" t="str">
        <f ca="1">IFERROR(OFFSET(Camp_List[Status],MATCH(Data_NFI_t[[#This Row],[Camp Name]],Camp_List[Camp Name],0)-1,0,1,1),"")</f>
        <v>Open</v>
      </c>
      <c r="AO32" s="959"/>
    </row>
    <row r="33" spans="1:44" s="946" customFormat="1" ht="21" customHeight="1" x14ac:dyDescent="0.25">
      <c r="A33" s="949">
        <f t="shared" si="2"/>
        <v>3</v>
      </c>
      <c r="B33" s="950">
        <f>YEAR(Data_NFI_t[[#This Row],[Distribution Date]])</f>
        <v>2017</v>
      </c>
      <c r="C33" s="951">
        <v>42766</v>
      </c>
      <c r="D33" s="952" t="s">
        <v>1137</v>
      </c>
      <c r="E33" s="953" t="s">
        <v>1137</v>
      </c>
      <c r="F33" s="952" t="s">
        <v>7</v>
      </c>
      <c r="G33" s="947" t="s">
        <v>19</v>
      </c>
      <c r="H33" s="947" t="s">
        <v>61</v>
      </c>
      <c r="I33" s="948"/>
      <c r="J33" s="954"/>
      <c r="K33" s="954">
        <v>397</v>
      </c>
      <c r="L33" s="955"/>
      <c r="M33" s="955"/>
      <c r="N33" s="955"/>
      <c r="O33" s="955"/>
      <c r="P33" s="955"/>
      <c r="Q33" s="955"/>
      <c r="R33" s="956"/>
      <c r="S33" s="955"/>
      <c r="T33" s="955"/>
      <c r="U33" s="955"/>
      <c r="V33" s="955"/>
      <c r="W33" s="955"/>
      <c r="X33" s="957">
        <f>IF(NFI_Expiration=1,IF($A33&lt;VLOOKUP(I$5,NFI,5,0),1,0)*Data_NFI_t[[#This Row],[Hygiene Kit]],0)</f>
        <v>0</v>
      </c>
      <c r="Y33" s="957">
        <f>IF(NFI_Expiration=1,IF($A33&lt;VLOOKUP(J$5,NFI,5,0),1,0)*Data_NFI_t[[#This Row],[NFI Core Kit]],0)</f>
        <v>0</v>
      </c>
      <c r="Z33" s="958">
        <f>IF(NFI_Expiration=1,IF($A33&lt;VLOOKUP(K$5,NFI,5,0),1,0)*Data_NFI_t[[#This Row],[Sanitary Kit]],0)</f>
        <v>397</v>
      </c>
      <c r="AA33" s="958">
        <f>IF(NFI_Expiration=1,IF($A33&lt;VLOOKUP(L$5,NFI,5,0),1,0)*Data_NFI_t[[#This Row],[Mosquito net]],0)</f>
        <v>0</v>
      </c>
      <c r="AB33" s="958">
        <f>IF(NFI_Expiration=1,IF($A33&lt;VLOOKUP(M$5,NFI,5,0),1,0)*Data_NFI_t[[#This Row],[Tarpaulin]],0)</f>
        <v>0</v>
      </c>
      <c r="AC33" s="958">
        <f>IF(NFI_Expiration=1,IF($A33&lt;VLOOKUP(N$5,NFI,5,0),1,0)*Data_NFI_t[[#This Row],[Blanket]],0)</f>
        <v>0</v>
      </c>
      <c r="AD33" s="958">
        <f>IF(NFI_Expiration=1,IF($A33&lt;VLOOKUP(O$5,NFI,5,0),1,0)*Data_NFI_t[[#This Row],[Kitchen Set]],0)</f>
        <v>0</v>
      </c>
      <c r="AE33" s="958">
        <f>IF(NFI_Expiration=1,IF($A33&lt;VLOOKUP(P$5,NFI,5,0),1,0)*Data_NFI_t[[#This Row],[Complementary Kit]],0)</f>
        <v>0</v>
      </c>
      <c r="AF33" s="958">
        <f>IF(NFI_Expiration=1,IF($A33&lt;VLOOKUP(Q$5,NFI,5,0),1,0)*Data_NFI_t[[#This Row],[Plastic Bucket]],0)</f>
        <v>0</v>
      </c>
      <c r="AG33" s="957">
        <f>IF(NFI_Expiration=1,IF($A33&lt;VLOOKUP(R$5,NFI,5,0),1,0)*Data_NFI_t[[#This Row],[Jerry Can]],0)</f>
        <v>0</v>
      </c>
      <c r="AH33" s="901">
        <f>IF(NFI_Expiration=1,IF($A33&lt;VLOOKUP(S$5,NFI,5,0),1,0)*Data_NFI_t[[#This Row],[Plastic Mat]],0)</f>
        <v>0</v>
      </c>
      <c r="AI33" s="957">
        <f>IF(NFI_Expiration=1,IF($A33&lt;VLOOKUP(T$5,NFI,5,0),1,0)*Data_NFI_t[[#This Row],[Adult Clothes]],0)</f>
        <v>0</v>
      </c>
      <c r="AJ33" s="957">
        <f>IF(NFI_Expiration=1,IF($A33&lt;VLOOKUP(U$5,NFI,5,0),1,0)*Data_NFI_t[[#This Row],[Children Clothes]],0)</f>
        <v>0</v>
      </c>
      <c r="AK33" s="957">
        <f>IF(NFI_Expiration=1,IF($A33&lt;VLOOKUP(V$5,NFI,5,0),1,0)*Data_NFI_t[[#This Row],[Sewing Kit]],0)</f>
        <v>0</v>
      </c>
      <c r="AL33" s="901">
        <f>IF(NFI_Expiration=1,IF($A33&lt;VLOOKUP(V$5,NFI,5,0),1,0)*Data_NFI_t[[#This Row],[Solar Lantern]],0)</f>
        <v>0</v>
      </c>
      <c r="AM33" s="959" t="str">
        <f ca="1">IFERROR(OFFSET(Camp_List[P_Code],MATCH(Data_NFI_t[[#This Row],[Camp Name]],Camp_List[Camp Name],0)-1,0,1,1),"")</f>
        <v>MMR012CMP039</v>
      </c>
      <c r="AN33" s="960" t="str">
        <f ca="1">IFERROR(OFFSET(Camp_List[Status],MATCH(Data_NFI_t[[#This Row],[Camp Name]],Camp_List[Camp Name],0)-1,0,1,1),"")</f>
        <v>Open</v>
      </c>
      <c r="AO33" s="959"/>
    </row>
    <row r="34" spans="1:44" s="52" customFormat="1" ht="17.25" customHeight="1" x14ac:dyDescent="0.25">
      <c r="A34" s="903">
        <f t="shared" si="2"/>
        <v>3.2666666666666666</v>
      </c>
      <c r="B34" s="904">
        <f>YEAR(Data_NFI_t[[#This Row],[Distribution Date]])</f>
        <v>2017</v>
      </c>
      <c r="C34" s="930">
        <v>42758</v>
      </c>
      <c r="D34" s="900" t="s">
        <v>1140</v>
      </c>
      <c r="E34" s="900" t="s">
        <v>623</v>
      </c>
      <c r="F34" s="900" t="s">
        <v>7</v>
      </c>
      <c r="G34" s="906" t="s">
        <v>14</v>
      </c>
      <c r="H34" s="906" t="s">
        <v>1067</v>
      </c>
      <c r="I34" s="907"/>
      <c r="J34" s="908"/>
      <c r="K34" s="908"/>
      <c r="L34" s="909"/>
      <c r="M34" s="909"/>
      <c r="N34" s="909"/>
      <c r="O34" s="909"/>
      <c r="P34" s="909"/>
      <c r="Q34" s="909"/>
      <c r="R34" s="910"/>
      <c r="S34" s="909"/>
      <c r="T34" s="909">
        <v>856</v>
      </c>
      <c r="U34" s="909"/>
      <c r="V34" s="909"/>
      <c r="W34" s="909"/>
      <c r="X34" s="901">
        <f>IF(NFI_Expiration=1,IF($A34&lt;VLOOKUP(I$5,NFI,5,0),1,0)*Data_NFI_t[[#This Row],[Hygiene Kit]],0)</f>
        <v>0</v>
      </c>
      <c r="Y34" s="901">
        <f>IF(NFI_Expiration=1,IF($A34&lt;VLOOKUP(J$5,NFI,5,0),1,0)*Data_NFI_t[[#This Row],[NFI Core Kit]],0)</f>
        <v>0</v>
      </c>
      <c r="Z34" s="902">
        <f>IF(NFI_Expiration=1,IF($A34&lt;VLOOKUP(K$5,NFI,5,0),1,0)*Data_NFI_t[[#This Row],[Sanitary Kit]],0)</f>
        <v>0</v>
      </c>
      <c r="AA34" s="902">
        <f>IF(NFI_Expiration=1,IF($A34&lt;VLOOKUP(L$5,NFI,5,0),1,0)*Data_NFI_t[[#This Row],[Mosquito net]],0)</f>
        <v>0</v>
      </c>
      <c r="AB34" s="902">
        <f>IF(NFI_Expiration=1,IF($A34&lt;VLOOKUP(M$5,NFI,5,0),1,0)*Data_NFI_t[[#This Row],[Tarpaulin]],0)</f>
        <v>0</v>
      </c>
      <c r="AC34" s="902">
        <f>IF(NFI_Expiration=1,IF($A34&lt;VLOOKUP(N$5,NFI,5,0),1,0)*Data_NFI_t[[#This Row],[Blanket]],0)</f>
        <v>0</v>
      </c>
      <c r="AD34" s="902">
        <f>IF(NFI_Expiration=1,IF($A34&lt;VLOOKUP(O$5,NFI,5,0),1,0)*Data_NFI_t[[#This Row],[Kitchen Set]],0)</f>
        <v>0</v>
      </c>
      <c r="AE34" s="902">
        <f>IF(NFI_Expiration=1,IF($A34&lt;VLOOKUP(P$5,NFI,5,0),1,0)*Data_NFI_t[[#This Row],[Complementary Kit]],0)</f>
        <v>0</v>
      </c>
      <c r="AF34" s="902">
        <f>IF(NFI_Expiration=1,IF($A34&lt;VLOOKUP(Q$5,NFI,5,0),1,0)*Data_NFI_t[[#This Row],[Plastic Bucket]],0)</f>
        <v>0</v>
      </c>
      <c r="AG34" s="901">
        <f>IF(NFI_Expiration=1,IF($A34&lt;VLOOKUP(R$5,NFI,5,0),1,0)*Data_NFI_t[[#This Row],[Jerry Can]],0)</f>
        <v>0</v>
      </c>
      <c r="AH34" s="901">
        <f>IF(NFI_Expiration=1,IF($A34&lt;VLOOKUP(S$5,NFI,5,0),1,0)*Data_NFI_t[[#This Row],[Plastic Mat]],0)</f>
        <v>0</v>
      </c>
      <c r="AI34" s="901">
        <f>IF(NFI_Expiration=1,IF($A34&lt;VLOOKUP(T$5,NFI,5,0),1,0)*Data_NFI_t[[#This Row],[Adult Clothes]],0)</f>
        <v>856</v>
      </c>
      <c r="AJ34" s="901">
        <f>IF(NFI_Expiration=1,IF($A34&lt;VLOOKUP(U$5,NFI,5,0),1,0)*Data_NFI_t[[#This Row],[Children Clothes]],0)</f>
        <v>0</v>
      </c>
      <c r="AK34" s="901">
        <f>IF(NFI_Expiration=1,IF($A34&lt;VLOOKUP(V$5,NFI,5,0),1,0)*Data_NFI_t[[#This Row],[Sewing Kit]],0)</f>
        <v>0</v>
      </c>
      <c r="AL34" s="901">
        <f>IF(NFI_Expiration=1,IF($A34&lt;VLOOKUP(V$5,NFI,5,0),1,0)*Data_NFI_t[[#This Row],[Solar Lantern]],0)</f>
        <v>0</v>
      </c>
      <c r="AM34" s="131" t="str">
        <f ca="1">IFERROR(OFFSET(Camp_List[P_Code],MATCH(Data_NFI_t[[#This Row],[Camp Name]],Camp_List[Camp Name],0)-1,0,1,1),"")</f>
        <v>MMR012CMP017</v>
      </c>
      <c r="AN34" s="513" t="str">
        <f ca="1">IFERROR(OFFSET(Camp_List[Status],MATCH(Data_NFI_t[[#This Row],[Camp Name]],Camp_List[Camp Name],0)-1,0,1,1),"")</f>
        <v>Open</v>
      </c>
      <c r="AO34" s="933" t="s">
        <v>1136</v>
      </c>
      <c r="AR34" s="792"/>
    </row>
    <row r="35" spans="1:44" s="52" customFormat="1" ht="17.25" customHeight="1" x14ac:dyDescent="0.25">
      <c r="A35" s="903">
        <f t="shared" si="2"/>
        <v>3.2666666666666666</v>
      </c>
      <c r="B35" s="904">
        <f>YEAR(Data_NFI_t[[#This Row],[Distribution Date]])</f>
        <v>2017</v>
      </c>
      <c r="C35" s="930">
        <v>42758</v>
      </c>
      <c r="D35" s="900" t="s">
        <v>1140</v>
      </c>
      <c r="E35" s="900" t="s">
        <v>623</v>
      </c>
      <c r="F35" s="900" t="s">
        <v>7</v>
      </c>
      <c r="G35" s="906" t="s">
        <v>14</v>
      </c>
      <c r="H35" s="906" t="s">
        <v>40</v>
      </c>
      <c r="I35" s="907"/>
      <c r="J35" s="908"/>
      <c r="K35" s="908"/>
      <c r="L35" s="909"/>
      <c r="M35" s="909"/>
      <c r="N35" s="909"/>
      <c r="O35" s="909"/>
      <c r="P35" s="909"/>
      <c r="Q35" s="909"/>
      <c r="R35" s="910"/>
      <c r="S35" s="909"/>
      <c r="T35" s="909">
        <v>1164</v>
      </c>
      <c r="U35" s="909"/>
      <c r="V35" s="909"/>
      <c r="W35" s="909"/>
      <c r="X35" s="901">
        <f>IF(NFI_Expiration=1,IF($A35&lt;VLOOKUP(I$5,NFI,5,0),1,0)*Data_NFI_t[[#This Row],[Hygiene Kit]],0)</f>
        <v>0</v>
      </c>
      <c r="Y35" s="901">
        <f>IF(NFI_Expiration=1,IF($A35&lt;VLOOKUP(J$5,NFI,5,0),1,0)*Data_NFI_t[[#This Row],[NFI Core Kit]],0)</f>
        <v>0</v>
      </c>
      <c r="Z35" s="902">
        <f>IF(NFI_Expiration=1,IF($A35&lt;VLOOKUP(K$5,NFI,5,0),1,0)*Data_NFI_t[[#This Row],[Sanitary Kit]],0)</f>
        <v>0</v>
      </c>
      <c r="AA35" s="902">
        <f>IF(NFI_Expiration=1,IF($A35&lt;VLOOKUP(L$5,NFI,5,0),1,0)*Data_NFI_t[[#This Row],[Mosquito net]],0)</f>
        <v>0</v>
      </c>
      <c r="AB35" s="902">
        <f>IF(NFI_Expiration=1,IF($A35&lt;VLOOKUP(M$5,NFI,5,0),1,0)*Data_NFI_t[[#This Row],[Tarpaulin]],0)</f>
        <v>0</v>
      </c>
      <c r="AC35" s="902">
        <f>IF(NFI_Expiration=1,IF($A35&lt;VLOOKUP(N$5,NFI,5,0),1,0)*Data_NFI_t[[#This Row],[Blanket]],0)</f>
        <v>0</v>
      </c>
      <c r="AD35" s="902">
        <f>IF(NFI_Expiration=1,IF($A35&lt;VLOOKUP(O$5,NFI,5,0),1,0)*Data_NFI_t[[#This Row],[Kitchen Set]],0)</f>
        <v>0</v>
      </c>
      <c r="AE35" s="902">
        <f>IF(NFI_Expiration=1,IF($A35&lt;VLOOKUP(P$5,NFI,5,0),1,0)*Data_NFI_t[[#This Row],[Complementary Kit]],0)</f>
        <v>0</v>
      </c>
      <c r="AF35" s="902">
        <f>IF(NFI_Expiration=1,IF($A35&lt;VLOOKUP(Q$5,NFI,5,0),1,0)*Data_NFI_t[[#This Row],[Plastic Bucket]],0)</f>
        <v>0</v>
      </c>
      <c r="AG35" s="901">
        <f>IF(NFI_Expiration=1,IF($A35&lt;VLOOKUP(R$5,NFI,5,0),1,0)*Data_NFI_t[[#This Row],[Jerry Can]],0)</f>
        <v>0</v>
      </c>
      <c r="AH35" s="901">
        <f>IF(NFI_Expiration=1,IF($A35&lt;VLOOKUP(S$5,NFI,5,0),1,0)*Data_NFI_t[[#This Row],[Plastic Mat]],0)</f>
        <v>0</v>
      </c>
      <c r="AI35" s="901">
        <f>IF(NFI_Expiration=1,IF($A35&lt;VLOOKUP(T$5,NFI,5,0),1,0)*Data_NFI_t[[#This Row],[Adult Clothes]],0)</f>
        <v>1164</v>
      </c>
      <c r="AJ35" s="901">
        <f>IF(NFI_Expiration=1,IF($A35&lt;VLOOKUP(U$5,NFI,5,0),1,0)*Data_NFI_t[[#This Row],[Children Clothes]],0)</f>
        <v>0</v>
      </c>
      <c r="AK35" s="901">
        <f>IF(NFI_Expiration=1,IF($A35&lt;VLOOKUP(V$5,NFI,5,0),1,0)*Data_NFI_t[[#This Row],[Sewing Kit]],0)</f>
        <v>0</v>
      </c>
      <c r="AL35" s="901">
        <f>IF(NFI_Expiration=1,IF($A35&lt;VLOOKUP(V$5,NFI,5,0),1,0)*Data_NFI_t[[#This Row],[Solar Lantern]],0)</f>
        <v>0</v>
      </c>
      <c r="AM35" s="131" t="str">
        <f ca="1">IFERROR(OFFSET(Camp_List[P_Code],MATCH(Data_NFI_t[[#This Row],[Camp Name]],Camp_List[Camp Name],0)-1,0,1,1),"")</f>
        <v>MMR012CMP016</v>
      </c>
      <c r="AN35" s="513" t="str">
        <f ca="1">IFERROR(OFFSET(Camp_List[Status],MATCH(Data_NFI_t[[#This Row],[Camp Name]],Camp_List[Camp Name],0)-1,0,1,1),"")</f>
        <v>Open</v>
      </c>
      <c r="AO35" s="933" t="s">
        <v>1136</v>
      </c>
      <c r="AR35" s="792"/>
    </row>
    <row r="36" spans="1:44" s="52" customFormat="1" ht="17.25" customHeight="1" x14ac:dyDescent="0.25">
      <c r="A36" s="903">
        <f t="shared" si="2"/>
        <v>3.2666666666666666</v>
      </c>
      <c r="B36" s="904">
        <f>YEAR(Data_NFI_t[[#This Row],[Distribution Date]])</f>
        <v>2017</v>
      </c>
      <c r="C36" s="930">
        <v>42758</v>
      </c>
      <c r="D36" s="900" t="s">
        <v>518</v>
      </c>
      <c r="E36" s="900" t="s">
        <v>518</v>
      </c>
      <c r="F36" s="900" t="s">
        <v>7</v>
      </c>
      <c r="G36" s="906" t="s">
        <v>19</v>
      </c>
      <c r="H36" s="906" t="s">
        <v>64</v>
      </c>
      <c r="I36" s="907"/>
      <c r="J36" s="908"/>
      <c r="K36" s="908">
        <v>799</v>
      </c>
      <c r="L36" s="909"/>
      <c r="M36" s="909"/>
      <c r="N36" s="909"/>
      <c r="O36" s="909"/>
      <c r="P36" s="909"/>
      <c r="Q36" s="909"/>
      <c r="R36" s="910"/>
      <c r="S36" s="909"/>
      <c r="T36" s="909"/>
      <c r="U36" s="909"/>
      <c r="V36" s="909"/>
      <c r="W36" s="909"/>
      <c r="X36" s="901">
        <f>IF(NFI_Expiration=1,IF($A36&lt;VLOOKUP(I$5,NFI,5,0),1,0)*Data_NFI_t[[#This Row],[Hygiene Kit]],0)</f>
        <v>0</v>
      </c>
      <c r="Y36" s="901">
        <f>IF(NFI_Expiration=1,IF($A36&lt;VLOOKUP(J$5,NFI,5,0),1,0)*Data_NFI_t[[#This Row],[NFI Core Kit]],0)</f>
        <v>0</v>
      </c>
      <c r="Z36" s="902">
        <f>IF(NFI_Expiration=1,IF($A36&lt;VLOOKUP(K$5,NFI,5,0),1,0)*Data_NFI_t[[#This Row],[Sanitary Kit]],0)</f>
        <v>799</v>
      </c>
      <c r="AA36" s="902">
        <f>IF(NFI_Expiration=1,IF($A36&lt;VLOOKUP(L$5,NFI,5,0),1,0)*Data_NFI_t[[#This Row],[Mosquito net]],0)</f>
        <v>0</v>
      </c>
      <c r="AB36" s="902">
        <f>IF(NFI_Expiration=1,IF($A36&lt;VLOOKUP(M$5,NFI,5,0),1,0)*Data_NFI_t[[#This Row],[Tarpaulin]],0)</f>
        <v>0</v>
      </c>
      <c r="AC36" s="902">
        <f>IF(NFI_Expiration=1,IF($A36&lt;VLOOKUP(N$5,NFI,5,0),1,0)*Data_NFI_t[[#This Row],[Blanket]],0)</f>
        <v>0</v>
      </c>
      <c r="AD36" s="902">
        <f>IF(NFI_Expiration=1,IF($A36&lt;VLOOKUP(O$5,NFI,5,0),1,0)*Data_NFI_t[[#This Row],[Kitchen Set]],0)</f>
        <v>0</v>
      </c>
      <c r="AE36" s="902">
        <f>IF(NFI_Expiration=1,IF($A36&lt;VLOOKUP(P$5,NFI,5,0),1,0)*Data_NFI_t[[#This Row],[Complementary Kit]],0)</f>
        <v>0</v>
      </c>
      <c r="AF36" s="902">
        <f>IF(NFI_Expiration=1,IF($A36&lt;VLOOKUP(Q$5,NFI,5,0),1,0)*Data_NFI_t[[#This Row],[Plastic Bucket]],0)</f>
        <v>0</v>
      </c>
      <c r="AG36" s="901">
        <f>IF(NFI_Expiration=1,IF($A36&lt;VLOOKUP(R$5,NFI,5,0),1,0)*Data_NFI_t[[#This Row],[Jerry Can]],0)</f>
        <v>0</v>
      </c>
      <c r="AH36" s="901">
        <f>IF(NFI_Expiration=1,IF($A36&lt;VLOOKUP(S$5,NFI,5,0),1,0)*Data_NFI_t[[#This Row],[Plastic Mat]],0)</f>
        <v>0</v>
      </c>
      <c r="AI36" s="901">
        <f>IF(NFI_Expiration=1,IF($A36&lt;VLOOKUP(T$5,NFI,5,0),1,0)*Data_NFI_t[[#This Row],[Adult Clothes]],0)</f>
        <v>0</v>
      </c>
      <c r="AJ36" s="901">
        <f>IF(NFI_Expiration=1,IF($A36&lt;VLOOKUP(U$5,NFI,5,0),1,0)*Data_NFI_t[[#This Row],[Children Clothes]],0)</f>
        <v>0</v>
      </c>
      <c r="AK36" s="901">
        <f>IF(NFI_Expiration=1,IF($A36&lt;VLOOKUP(V$5,NFI,5,0),1,0)*Data_NFI_t[[#This Row],[Sewing Kit]],0)</f>
        <v>0</v>
      </c>
      <c r="AL36" s="901">
        <f>IF(NFI_Expiration=1,IF($A36&lt;VLOOKUP(V$5,NFI,5,0),1,0)*Data_NFI_t[[#This Row],[Solar Lantern]],0)</f>
        <v>0</v>
      </c>
      <c r="AM36" s="131" t="str">
        <f ca="1">IFERROR(OFFSET(Camp_List[P_Code],MATCH(Data_NFI_t[[#This Row],[Camp Name]],Camp_List[Camp Name],0)-1,0,1,1),"")</f>
        <v>MMR012CMP042</v>
      </c>
      <c r="AN36" s="513" t="str">
        <f ca="1">IFERROR(OFFSET(Camp_List[Status],MATCH(Data_NFI_t[[#This Row],[Camp Name]],Camp_List[Camp Name],0)-1,0,1,1),"")</f>
        <v>Open</v>
      </c>
      <c r="AO36" s="933" t="s">
        <v>1136</v>
      </c>
      <c r="AR36" s="792"/>
    </row>
    <row r="37" spans="1:44" s="52" customFormat="1" ht="17.25" customHeight="1" x14ac:dyDescent="0.25">
      <c r="A37" s="903">
        <f t="shared" si="2"/>
        <v>3.2666666666666666</v>
      </c>
      <c r="B37" s="904">
        <f>YEAR(Data_NFI_t[[#This Row],[Distribution Date]])</f>
        <v>2017</v>
      </c>
      <c r="C37" s="930">
        <v>42758</v>
      </c>
      <c r="D37" s="900" t="s">
        <v>1129</v>
      </c>
      <c r="E37" s="900" t="s">
        <v>1129</v>
      </c>
      <c r="F37" s="900" t="s">
        <v>7</v>
      </c>
      <c r="G37" s="906" t="s">
        <v>866</v>
      </c>
      <c r="H37" s="906" t="s">
        <v>38</v>
      </c>
      <c r="I37" s="907"/>
      <c r="J37" s="908"/>
      <c r="K37" s="908"/>
      <c r="L37" s="909">
        <v>690</v>
      </c>
      <c r="M37" s="909"/>
      <c r="N37" s="909"/>
      <c r="O37" s="909"/>
      <c r="P37" s="909"/>
      <c r="Q37" s="909"/>
      <c r="R37" s="910"/>
      <c r="S37" s="909"/>
      <c r="T37" s="909"/>
      <c r="U37" s="909"/>
      <c r="V37" s="909"/>
      <c r="W37" s="909"/>
      <c r="X37" s="901">
        <f>IF(NFI_Expiration=1,IF($A37&lt;VLOOKUP(I$5,NFI,5,0),1,0)*Data_NFI_t[[#This Row],[Hygiene Kit]],0)</f>
        <v>0</v>
      </c>
      <c r="Y37" s="901">
        <f>IF(NFI_Expiration=1,IF($A37&lt;VLOOKUP(J$5,NFI,5,0),1,0)*Data_NFI_t[[#This Row],[NFI Core Kit]],0)</f>
        <v>0</v>
      </c>
      <c r="Z37" s="902">
        <f>IF(NFI_Expiration=1,IF($A37&lt;VLOOKUP(K$5,NFI,5,0),1,0)*Data_NFI_t[[#This Row],[Sanitary Kit]],0)</f>
        <v>0</v>
      </c>
      <c r="AA37" s="902">
        <f>IF(NFI_Expiration=1,IF($A37&lt;VLOOKUP(L$5,NFI,5,0),1,0)*Data_NFI_t[[#This Row],[Mosquito net]],0)</f>
        <v>690</v>
      </c>
      <c r="AB37" s="902">
        <f>IF(NFI_Expiration=1,IF($A37&lt;VLOOKUP(M$5,NFI,5,0),1,0)*Data_NFI_t[[#This Row],[Tarpaulin]],0)</f>
        <v>0</v>
      </c>
      <c r="AC37" s="902">
        <f>IF(NFI_Expiration=1,IF($A37&lt;VLOOKUP(N$5,NFI,5,0),1,0)*Data_NFI_t[[#This Row],[Blanket]],0)</f>
        <v>0</v>
      </c>
      <c r="AD37" s="902">
        <f>IF(NFI_Expiration=1,IF($A37&lt;VLOOKUP(O$5,NFI,5,0),1,0)*Data_NFI_t[[#This Row],[Kitchen Set]],0)</f>
        <v>0</v>
      </c>
      <c r="AE37" s="902">
        <f>IF(NFI_Expiration=1,IF($A37&lt;VLOOKUP(P$5,NFI,5,0),1,0)*Data_NFI_t[[#This Row],[Complementary Kit]],0)</f>
        <v>0</v>
      </c>
      <c r="AF37" s="902">
        <f>IF(NFI_Expiration=1,IF($A37&lt;VLOOKUP(Q$5,NFI,5,0),1,0)*Data_NFI_t[[#This Row],[Plastic Bucket]],0)</f>
        <v>0</v>
      </c>
      <c r="AG37" s="901">
        <f>IF(NFI_Expiration=1,IF($A37&lt;VLOOKUP(R$5,NFI,5,0),1,0)*Data_NFI_t[[#This Row],[Jerry Can]],0)</f>
        <v>0</v>
      </c>
      <c r="AH37" s="901">
        <f>IF(NFI_Expiration=1,IF($A37&lt;VLOOKUP(S$5,NFI,5,0),1,0)*Data_NFI_t[[#This Row],[Plastic Mat]],0)</f>
        <v>0</v>
      </c>
      <c r="AI37" s="901">
        <f>IF(NFI_Expiration=1,IF($A37&lt;VLOOKUP(T$5,NFI,5,0),1,0)*Data_NFI_t[[#This Row],[Adult Clothes]],0)</f>
        <v>0</v>
      </c>
      <c r="AJ37" s="901">
        <f>IF(NFI_Expiration=1,IF($A37&lt;VLOOKUP(U$5,NFI,5,0),1,0)*Data_NFI_t[[#This Row],[Children Clothes]],0)</f>
        <v>0</v>
      </c>
      <c r="AK37" s="901">
        <f>IF(NFI_Expiration=1,IF($A37&lt;VLOOKUP(V$5,NFI,5,0),1,0)*Data_NFI_t[[#This Row],[Sewing Kit]],0)</f>
        <v>0</v>
      </c>
      <c r="AL37" s="901">
        <f>IF(NFI_Expiration=1,IF($A37&lt;VLOOKUP(V$5,NFI,5,0),1,0)*Data_NFI_t[[#This Row],[Solar Lantern]],0)</f>
        <v>0</v>
      </c>
      <c r="AM37" s="131" t="str">
        <f ca="1">IFERROR(OFFSET(Camp_List[P_Code],MATCH(Data_NFI_t[[#This Row],[Camp Name]],Camp_List[Camp Name],0)-1,0,1,1),"")</f>
        <v>MMR012CMP014</v>
      </c>
      <c r="AN37" s="513" t="str">
        <f ca="1">IFERROR(OFFSET(Camp_List[Status],MATCH(Data_NFI_t[[#This Row],[Camp Name]],Camp_List[Camp Name],0)-1,0,1,1),"")</f>
        <v>Open</v>
      </c>
      <c r="AO37" s="933" t="s">
        <v>1135</v>
      </c>
      <c r="AR37" s="792"/>
    </row>
    <row r="38" spans="1:44" s="52" customFormat="1" ht="17.25" customHeight="1" x14ac:dyDescent="0.25">
      <c r="A38" s="903">
        <f t="shared" si="2"/>
        <v>3.4</v>
      </c>
      <c r="B38" s="904">
        <f>YEAR(Data_NFI_t[[#This Row],[Distribution Date]])</f>
        <v>2017</v>
      </c>
      <c r="C38" s="930">
        <v>42754</v>
      </c>
      <c r="D38" s="900" t="s">
        <v>1130</v>
      </c>
      <c r="E38" s="900" t="s">
        <v>1130</v>
      </c>
      <c r="F38" s="900" t="s">
        <v>7</v>
      </c>
      <c r="G38" s="906" t="s">
        <v>19</v>
      </c>
      <c r="H38" s="906" t="s">
        <v>635</v>
      </c>
      <c r="I38" s="907"/>
      <c r="J38" s="908">
        <v>350</v>
      </c>
      <c r="K38" s="908"/>
      <c r="L38" s="909"/>
      <c r="M38" s="909"/>
      <c r="N38" s="909"/>
      <c r="O38" s="909"/>
      <c r="P38" s="909"/>
      <c r="Q38" s="909"/>
      <c r="R38" s="910"/>
      <c r="S38" s="909"/>
      <c r="T38" s="909"/>
      <c r="U38" s="909"/>
      <c r="V38" s="909"/>
      <c r="W38" s="909"/>
      <c r="X38" s="901">
        <f>IF(NFI_Expiration=1,IF($A38&lt;VLOOKUP(I$5,NFI,5,0),1,0)*Data_NFI_t[[#This Row],[Hygiene Kit]],0)</f>
        <v>0</v>
      </c>
      <c r="Y38" s="901">
        <f>IF(NFI_Expiration=1,IF($A38&lt;VLOOKUP(J$5,NFI,5,0),1,0)*Data_NFI_t[[#This Row],[NFI Core Kit]],0)</f>
        <v>350</v>
      </c>
      <c r="Z38" s="902">
        <f>IF(NFI_Expiration=1,IF($A38&lt;VLOOKUP(K$5,NFI,5,0),1,0)*Data_NFI_t[[#This Row],[Sanitary Kit]],0)</f>
        <v>0</v>
      </c>
      <c r="AA38" s="902">
        <f>IF(NFI_Expiration=1,IF($A38&lt;VLOOKUP(L$5,NFI,5,0),1,0)*Data_NFI_t[[#This Row],[Mosquito net]],0)</f>
        <v>0</v>
      </c>
      <c r="AB38" s="902">
        <f>IF(NFI_Expiration=1,IF($A38&lt;VLOOKUP(M$5,NFI,5,0),1,0)*Data_NFI_t[[#This Row],[Tarpaulin]],0)</f>
        <v>0</v>
      </c>
      <c r="AC38" s="902">
        <f>IF(NFI_Expiration=1,IF($A38&lt;VLOOKUP(N$5,NFI,5,0),1,0)*Data_NFI_t[[#This Row],[Blanket]],0)</f>
        <v>0</v>
      </c>
      <c r="AD38" s="902">
        <f>IF(NFI_Expiration=1,IF($A38&lt;VLOOKUP(O$5,NFI,5,0),1,0)*Data_NFI_t[[#This Row],[Kitchen Set]],0)</f>
        <v>0</v>
      </c>
      <c r="AE38" s="902">
        <f>IF(NFI_Expiration=1,IF($A38&lt;VLOOKUP(P$5,NFI,5,0),1,0)*Data_NFI_t[[#This Row],[Complementary Kit]],0)</f>
        <v>0</v>
      </c>
      <c r="AF38" s="902">
        <f>IF(NFI_Expiration=1,IF($A38&lt;VLOOKUP(Q$5,NFI,5,0),1,0)*Data_NFI_t[[#This Row],[Plastic Bucket]],0)</f>
        <v>0</v>
      </c>
      <c r="AG38" s="901">
        <f>IF(NFI_Expiration=1,IF($A38&lt;VLOOKUP(R$5,NFI,5,0),1,0)*Data_NFI_t[[#This Row],[Jerry Can]],0)</f>
        <v>0</v>
      </c>
      <c r="AH38" s="901">
        <f>IF(NFI_Expiration=1,IF($A38&lt;VLOOKUP(S$5,NFI,5,0),1,0)*Data_NFI_t[[#This Row],[Plastic Mat]],0)</f>
        <v>0</v>
      </c>
      <c r="AI38" s="901">
        <f>IF(NFI_Expiration=1,IF($A38&lt;VLOOKUP(T$5,NFI,5,0),1,0)*Data_NFI_t[[#This Row],[Adult Clothes]],0)</f>
        <v>0</v>
      </c>
      <c r="AJ38" s="901">
        <f>IF(NFI_Expiration=1,IF($A38&lt;VLOOKUP(U$5,NFI,5,0),1,0)*Data_NFI_t[[#This Row],[Children Clothes]],0)</f>
        <v>0</v>
      </c>
      <c r="AK38" s="901">
        <f>IF(NFI_Expiration=1,IF($A38&lt;VLOOKUP(V$5,NFI,5,0),1,0)*Data_NFI_t[[#This Row],[Sewing Kit]],0)</f>
        <v>0</v>
      </c>
      <c r="AL38" s="901">
        <f>IF(NFI_Expiration=1,IF($A38&lt;VLOOKUP(V$5,NFI,5,0),1,0)*Data_NFI_t[[#This Row],[Solar Lantern]],0)</f>
        <v>0</v>
      </c>
      <c r="AM38" s="131" t="str">
        <f ca="1">IFERROR(OFFSET(Camp_List[P_Code],MATCH(Data_NFI_t[[#This Row],[Camp Name]],Camp_List[Camp Name],0)-1,0,1,1),"")</f>
        <v>MMR012CMP116</v>
      </c>
      <c r="AN38" s="513" t="str">
        <f ca="1">IFERROR(OFFSET(Camp_List[Status],MATCH(Data_NFI_t[[#This Row],[Camp Name]],Camp_List[Camp Name],0)-1,0,1,1),"")</f>
        <v>Open</v>
      </c>
      <c r="AO38" s="933" t="s">
        <v>1132</v>
      </c>
      <c r="AR38" s="792"/>
    </row>
    <row r="39" spans="1:44" s="52" customFormat="1" ht="17.25" customHeight="1" x14ac:dyDescent="0.25">
      <c r="A39" s="903">
        <f t="shared" si="2"/>
        <v>3.4</v>
      </c>
      <c r="B39" s="904">
        <f>YEAR(Data_NFI_t[[#This Row],[Distribution Date]])</f>
        <v>2017</v>
      </c>
      <c r="C39" s="930">
        <v>42754</v>
      </c>
      <c r="D39" s="900" t="s">
        <v>1140</v>
      </c>
      <c r="E39" s="900" t="s">
        <v>623</v>
      </c>
      <c r="F39" s="900" t="s">
        <v>7</v>
      </c>
      <c r="G39" s="906" t="s">
        <v>19</v>
      </c>
      <c r="H39" s="906" t="s">
        <v>635</v>
      </c>
      <c r="I39" s="907"/>
      <c r="J39" s="908"/>
      <c r="K39" s="908"/>
      <c r="L39" s="909"/>
      <c r="M39" s="909"/>
      <c r="N39" s="909"/>
      <c r="O39" s="909"/>
      <c r="P39" s="909"/>
      <c r="Q39" s="909"/>
      <c r="R39" s="910"/>
      <c r="S39" s="909"/>
      <c r="T39" s="909">
        <v>2222</v>
      </c>
      <c r="U39" s="909"/>
      <c r="V39" s="909"/>
      <c r="W39" s="909"/>
      <c r="X39" s="901">
        <f>IF(NFI_Expiration=1,IF($A39&lt;VLOOKUP(I$5,NFI,5,0),1,0)*Data_NFI_t[[#This Row],[Hygiene Kit]],0)</f>
        <v>0</v>
      </c>
      <c r="Y39" s="901">
        <f>IF(NFI_Expiration=1,IF($A39&lt;VLOOKUP(J$5,NFI,5,0),1,0)*Data_NFI_t[[#This Row],[NFI Core Kit]],0)</f>
        <v>0</v>
      </c>
      <c r="Z39" s="902">
        <f>IF(NFI_Expiration=1,IF($A39&lt;VLOOKUP(K$5,NFI,5,0),1,0)*Data_NFI_t[[#This Row],[Sanitary Kit]],0)</f>
        <v>0</v>
      </c>
      <c r="AA39" s="902">
        <f>IF(NFI_Expiration=1,IF($A39&lt;VLOOKUP(L$5,NFI,5,0),1,0)*Data_NFI_t[[#This Row],[Mosquito net]],0)</f>
        <v>0</v>
      </c>
      <c r="AB39" s="902">
        <f>IF(NFI_Expiration=1,IF($A39&lt;VLOOKUP(M$5,NFI,5,0),1,0)*Data_NFI_t[[#This Row],[Tarpaulin]],0)</f>
        <v>0</v>
      </c>
      <c r="AC39" s="902">
        <f>IF(NFI_Expiration=1,IF($A39&lt;VLOOKUP(N$5,NFI,5,0),1,0)*Data_NFI_t[[#This Row],[Blanket]],0)</f>
        <v>0</v>
      </c>
      <c r="AD39" s="902">
        <f>IF(NFI_Expiration=1,IF($A39&lt;VLOOKUP(O$5,NFI,5,0),1,0)*Data_NFI_t[[#This Row],[Kitchen Set]],0)</f>
        <v>0</v>
      </c>
      <c r="AE39" s="902">
        <f>IF(NFI_Expiration=1,IF($A39&lt;VLOOKUP(P$5,NFI,5,0),1,0)*Data_NFI_t[[#This Row],[Complementary Kit]],0)</f>
        <v>0</v>
      </c>
      <c r="AF39" s="902">
        <f>IF(NFI_Expiration=1,IF($A39&lt;VLOOKUP(Q$5,NFI,5,0),1,0)*Data_NFI_t[[#This Row],[Plastic Bucket]],0)</f>
        <v>0</v>
      </c>
      <c r="AG39" s="901">
        <f>IF(NFI_Expiration=1,IF($A39&lt;VLOOKUP(R$5,NFI,5,0),1,0)*Data_NFI_t[[#This Row],[Jerry Can]],0)</f>
        <v>0</v>
      </c>
      <c r="AH39" s="901">
        <f>IF(NFI_Expiration=1,IF($A39&lt;VLOOKUP(S$5,NFI,5,0),1,0)*Data_NFI_t[[#This Row],[Plastic Mat]],0)</f>
        <v>0</v>
      </c>
      <c r="AI39" s="901">
        <f>IF(NFI_Expiration=1,IF($A39&lt;VLOOKUP(T$5,NFI,5,0),1,0)*Data_NFI_t[[#This Row],[Adult Clothes]],0)</f>
        <v>2222</v>
      </c>
      <c r="AJ39" s="901">
        <f>IF(NFI_Expiration=1,IF($A39&lt;VLOOKUP(U$5,NFI,5,0),1,0)*Data_NFI_t[[#This Row],[Children Clothes]],0)</f>
        <v>0</v>
      </c>
      <c r="AK39" s="901">
        <f>IF(NFI_Expiration=1,IF($A39&lt;VLOOKUP(V$5,NFI,5,0),1,0)*Data_NFI_t[[#This Row],[Sewing Kit]],0)</f>
        <v>0</v>
      </c>
      <c r="AL39" s="901">
        <f>IF(NFI_Expiration=1,IF($A39&lt;VLOOKUP(V$5,NFI,5,0),1,0)*Data_NFI_t[[#This Row],[Solar Lantern]],0)</f>
        <v>0</v>
      </c>
      <c r="AM39" s="131" t="str">
        <f ca="1">IFERROR(OFFSET(Camp_List[P_Code],MATCH(Data_NFI_t[[#This Row],[Camp Name]],Camp_List[Camp Name],0)-1,0,1,1),"")</f>
        <v>MMR012CMP116</v>
      </c>
      <c r="AN39" s="513" t="str">
        <f ca="1">IFERROR(OFFSET(Camp_List[Status],MATCH(Data_NFI_t[[#This Row],[Camp Name]],Camp_List[Camp Name],0)-1,0,1,1),"")</f>
        <v>Open</v>
      </c>
      <c r="AO39" s="933" t="s">
        <v>1136</v>
      </c>
      <c r="AR39" s="792"/>
    </row>
    <row r="40" spans="1:44" s="52" customFormat="1" ht="17.25" customHeight="1" x14ac:dyDescent="0.25">
      <c r="A40" s="903">
        <f t="shared" si="2"/>
        <v>3.4</v>
      </c>
      <c r="B40" s="904">
        <f>YEAR(Data_NFI_t[[#This Row],[Distribution Date]])</f>
        <v>2017</v>
      </c>
      <c r="C40" s="930">
        <v>42754</v>
      </c>
      <c r="D40" s="900" t="s">
        <v>1140</v>
      </c>
      <c r="E40" s="900" t="s">
        <v>970</v>
      </c>
      <c r="F40" s="900" t="s">
        <v>7</v>
      </c>
      <c r="G40" s="906" t="s">
        <v>19</v>
      </c>
      <c r="H40" s="906" t="s">
        <v>70</v>
      </c>
      <c r="I40" s="907"/>
      <c r="J40" s="908"/>
      <c r="K40" s="908"/>
      <c r="L40" s="909"/>
      <c r="M40" s="909"/>
      <c r="N40" s="909"/>
      <c r="O40" s="909"/>
      <c r="P40" s="909"/>
      <c r="Q40" s="909"/>
      <c r="R40" s="910"/>
      <c r="S40" s="909"/>
      <c r="T40" s="909">
        <v>988</v>
      </c>
      <c r="U40" s="909">
        <v>988</v>
      </c>
      <c r="V40" s="909"/>
      <c r="W40" s="909"/>
      <c r="X40" s="901">
        <f>IF(NFI_Expiration=1,IF($A40&lt;VLOOKUP(I$5,NFI,5,0),1,0)*Data_NFI_t[[#This Row],[Hygiene Kit]],0)</f>
        <v>0</v>
      </c>
      <c r="Y40" s="901">
        <f>IF(NFI_Expiration=1,IF($A40&lt;VLOOKUP(J$5,NFI,5,0),1,0)*Data_NFI_t[[#This Row],[NFI Core Kit]],0)</f>
        <v>0</v>
      </c>
      <c r="Z40" s="902">
        <f>IF(NFI_Expiration=1,IF($A40&lt;VLOOKUP(K$5,NFI,5,0),1,0)*Data_NFI_t[[#This Row],[Sanitary Kit]],0)</f>
        <v>0</v>
      </c>
      <c r="AA40" s="902">
        <f>IF(NFI_Expiration=1,IF($A40&lt;VLOOKUP(L$5,NFI,5,0),1,0)*Data_NFI_t[[#This Row],[Mosquito net]],0)</f>
        <v>0</v>
      </c>
      <c r="AB40" s="902">
        <f>IF(NFI_Expiration=1,IF($A40&lt;VLOOKUP(M$5,NFI,5,0),1,0)*Data_NFI_t[[#This Row],[Tarpaulin]],0)</f>
        <v>0</v>
      </c>
      <c r="AC40" s="902">
        <f>IF(NFI_Expiration=1,IF($A40&lt;VLOOKUP(N$5,NFI,5,0),1,0)*Data_NFI_t[[#This Row],[Blanket]],0)</f>
        <v>0</v>
      </c>
      <c r="AD40" s="902">
        <f>IF(NFI_Expiration=1,IF($A40&lt;VLOOKUP(O$5,NFI,5,0),1,0)*Data_NFI_t[[#This Row],[Kitchen Set]],0)</f>
        <v>0</v>
      </c>
      <c r="AE40" s="902">
        <f>IF(NFI_Expiration=1,IF($A40&lt;VLOOKUP(P$5,NFI,5,0),1,0)*Data_NFI_t[[#This Row],[Complementary Kit]],0)</f>
        <v>0</v>
      </c>
      <c r="AF40" s="902">
        <f>IF(NFI_Expiration=1,IF($A40&lt;VLOOKUP(Q$5,NFI,5,0),1,0)*Data_NFI_t[[#This Row],[Plastic Bucket]],0)</f>
        <v>0</v>
      </c>
      <c r="AG40" s="901">
        <f>IF(NFI_Expiration=1,IF($A40&lt;VLOOKUP(R$5,NFI,5,0),1,0)*Data_NFI_t[[#This Row],[Jerry Can]],0)</f>
        <v>0</v>
      </c>
      <c r="AH40" s="901">
        <f>IF(NFI_Expiration=1,IF($A40&lt;VLOOKUP(S$5,NFI,5,0),1,0)*Data_NFI_t[[#This Row],[Plastic Mat]],0)</f>
        <v>0</v>
      </c>
      <c r="AI40" s="901">
        <f>IF(NFI_Expiration=1,IF($A40&lt;VLOOKUP(T$5,NFI,5,0),1,0)*Data_NFI_t[[#This Row],[Adult Clothes]],0)</f>
        <v>988</v>
      </c>
      <c r="AJ40" s="901">
        <f>IF(NFI_Expiration=1,IF($A40&lt;VLOOKUP(U$5,NFI,5,0),1,0)*Data_NFI_t[[#This Row],[Children Clothes]],0)</f>
        <v>988</v>
      </c>
      <c r="AK40" s="901">
        <f>IF(NFI_Expiration=1,IF($A40&lt;VLOOKUP(V$5,NFI,5,0),1,0)*Data_NFI_t[[#This Row],[Sewing Kit]],0)</f>
        <v>0</v>
      </c>
      <c r="AL40" s="901">
        <f>IF(NFI_Expiration=1,IF($A40&lt;VLOOKUP(V$5,NFI,5,0),1,0)*Data_NFI_t[[#This Row],[Solar Lantern]],0)</f>
        <v>0</v>
      </c>
      <c r="AM40" s="131" t="str">
        <f ca="1">IFERROR(OFFSET(Camp_List[P_Code],MATCH(Data_NFI_t[[#This Row],[Camp Name]],Camp_List[Camp Name],0)-1,0,1,1),"")</f>
        <v>MMR012CMP048</v>
      </c>
      <c r="AN40" s="513" t="str">
        <f ca="1">IFERROR(OFFSET(Camp_List[Status],MATCH(Data_NFI_t[[#This Row],[Camp Name]],Camp_List[Camp Name],0)-1,0,1,1),"")</f>
        <v>Open</v>
      </c>
      <c r="AO40" s="933" t="s">
        <v>1136</v>
      </c>
      <c r="AR40" s="792"/>
    </row>
    <row r="41" spans="1:44" s="52" customFormat="1" ht="17.25" customHeight="1" x14ac:dyDescent="0.25">
      <c r="A41" s="903">
        <f t="shared" si="2"/>
        <v>3.4333333333333331</v>
      </c>
      <c r="B41" s="904">
        <f>YEAR(Data_NFI_t[[#This Row],[Distribution Date]])</f>
        <v>2017</v>
      </c>
      <c r="C41" s="930">
        <v>42753</v>
      </c>
      <c r="D41" s="900" t="s">
        <v>1140</v>
      </c>
      <c r="E41" s="900" t="s">
        <v>623</v>
      </c>
      <c r="F41" s="900" t="s">
        <v>7</v>
      </c>
      <c r="G41" s="906" t="s">
        <v>19</v>
      </c>
      <c r="H41" s="906" t="s">
        <v>64</v>
      </c>
      <c r="I41" s="907"/>
      <c r="J41" s="908"/>
      <c r="K41" s="908"/>
      <c r="L41" s="909"/>
      <c r="M41" s="909"/>
      <c r="N41" s="909"/>
      <c r="O41" s="909"/>
      <c r="P41" s="909"/>
      <c r="Q41" s="909"/>
      <c r="R41" s="910"/>
      <c r="S41" s="909"/>
      <c r="T41" s="909">
        <v>799</v>
      </c>
      <c r="U41" s="909"/>
      <c r="V41" s="909"/>
      <c r="W41" s="909"/>
      <c r="X41" s="901">
        <f>IF(NFI_Expiration=1,IF($A41&lt;VLOOKUP(I$5,NFI,5,0),1,0)*Data_NFI_t[[#This Row],[Hygiene Kit]],0)</f>
        <v>0</v>
      </c>
      <c r="Y41" s="901">
        <f>IF(NFI_Expiration=1,IF($A41&lt;VLOOKUP(J$5,NFI,5,0),1,0)*Data_NFI_t[[#This Row],[NFI Core Kit]],0)</f>
        <v>0</v>
      </c>
      <c r="Z41" s="902">
        <f>IF(NFI_Expiration=1,IF($A41&lt;VLOOKUP(K$5,NFI,5,0),1,0)*Data_NFI_t[[#This Row],[Sanitary Kit]],0)</f>
        <v>0</v>
      </c>
      <c r="AA41" s="902">
        <f>IF(NFI_Expiration=1,IF($A41&lt;VLOOKUP(L$5,NFI,5,0),1,0)*Data_NFI_t[[#This Row],[Mosquito net]],0)</f>
        <v>0</v>
      </c>
      <c r="AB41" s="902">
        <f>IF(NFI_Expiration=1,IF($A41&lt;VLOOKUP(M$5,NFI,5,0),1,0)*Data_NFI_t[[#This Row],[Tarpaulin]],0)</f>
        <v>0</v>
      </c>
      <c r="AC41" s="902">
        <f>IF(NFI_Expiration=1,IF($A41&lt;VLOOKUP(N$5,NFI,5,0),1,0)*Data_NFI_t[[#This Row],[Blanket]],0)</f>
        <v>0</v>
      </c>
      <c r="AD41" s="902">
        <f>IF(NFI_Expiration=1,IF($A41&lt;VLOOKUP(O$5,NFI,5,0),1,0)*Data_NFI_t[[#This Row],[Kitchen Set]],0)</f>
        <v>0</v>
      </c>
      <c r="AE41" s="902">
        <f>IF(NFI_Expiration=1,IF($A41&lt;VLOOKUP(P$5,NFI,5,0),1,0)*Data_NFI_t[[#This Row],[Complementary Kit]],0)</f>
        <v>0</v>
      </c>
      <c r="AF41" s="902">
        <f>IF(NFI_Expiration=1,IF($A41&lt;VLOOKUP(Q$5,NFI,5,0),1,0)*Data_NFI_t[[#This Row],[Plastic Bucket]],0)</f>
        <v>0</v>
      </c>
      <c r="AG41" s="901">
        <f>IF(NFI_Expiration=1,IF($A41&lt;VLOOKUP(R$5,NFI,5,0),1,0)*Data_NFI_t[[#This Row],[Jerry Can]],0)</f>
        <v>0</v>
      </c>
      <c r="AH41" s="901">
        <f>IF(NFI_Expiration=1,IF($A41&lt;VLOOKUP(S$5,NFI,5,0),1,0)*Data_NFI_t[[#This Row],[Plastic Mat]],0)</f>
        <v>0</v>
      </c>
      <c r="AI41" s="901">
        <f>IF(NFI_Expiration=1,IF($A41&lt;VLOOKUP(T$5,NFI,5,0),1,0)*Data_NFI_t[[#This Row],[Adult Clothes]],0)</f>
        <v>799</v>
      </c>
      <c r="AJ41" s="901">
        <f>IF(NFI_Expiration=1,IF($A41&lt;VLOOKUP(U$5,NFI,5,0),1,0)*Data_NFI_t[[#This Row],[Children Clothes]],0)</f>
        <v>0</v>
      </c>
      <c r="AK41" s="901">
        <f>IF(NFI_Expiration=1,IF($A41&lt;VLOOKUP(V$5,NFI,5,0),1,0)*Data_NFI_t[[#This Row],[Sewing Kit]],0)</f>
        <v>0</v>
      </c>
      <c r="AL41" s="901">
        <f>IF(NFI_Expiration=1,IF($A41&lt;VLOOKUP(V$5,NFI,5,0),1,0)*Data_NFI_t[[#This Row],[Solar Lantern]],0)</f>
        <v>0</v>
      </c>
      <c r="AM41" s="131" t="str">
        <f ca="1">IFERROR(OFFSET(Camp_List[P_Code],MATCH(Data_NFI_t[[#This Row],[Camp Name]],Camp_List[Camp Name],0)-1,0,1,1),"")</f>
        <v>MMR012CMP042</v>
      </c>
      <c r="AN41" s="513" t="str">
        <f ca="1">IFERROR(OFFSET(Camp_List[Status],MATCH(Data_NFI_t[[#This Row],[Camp Name]],Camp_List[Camp Name],0)-1,0,1,1),"")</f>
        <v>Open</v>
      </c>
      <c r="AO41" s="933" t="s">
        <v>1136</v>
      </c>
      <c r="AR41" s="792"/>
    </row>
    <row r="42" spans="1:44" s="52" customFormat="1" ht="17.25" customHeight="1" x14ac:dyDescent="0.25">
      <c r="A42" s="903">
        <f t="shared" si="2"/>
        <v>3.4333333333333331</v>
      </c>
      <c r="B42" s="904">
        <f>YEAR(Data_NFI_t[[#This Row],[Distribution Date]])</f>
        <v>2017</v>
      </c>
      <c r="C42" s="930">
        <v>42753</v>
      </c>
      <c r="D42" s="900" t="s">
        <v>1140</v>
      </c>
      <c r="E42" s="900" t="s">
        <v>623</v>
      </c>
      <c r="F42" s="900" t="s">
        <v>7</v>
      </c>
      <c r="G42" s="906" t="s">
        <v>19</v>
      </c>
      <c r="H42" s="906" t="s">
        <v>61</v>
      </c>
      <c r="I42" s="907"/>
      <c r="J42" s="908"/>
      <c r="K42" s="908"/>
      <c r="L42" s="909"/>
      <c r="M42" s="909"/>
      <c r="N42" s="909"/>
      <c r="O42" s="909"/>
      <c r="P42" s="909"/>
      <c r="Q42" s="909"/>
      <c r="R42" s="910"/>
      <c r="S42" s="909"/>
      <c r="T42" s="909">
        <v>397</v>
      </c>
      <c r="U42" s="909"/>
      <c r="V42" s="909"/>
      <c r="W42" s="909"/>
      <c r="X42" s="901">
        <f>IF(NFI_Expiration=1,IF($A42&lt;VLOOKUP(I$5,NFI,5,0),1,0)*Data_NFI_t[[#This Row],[Hygiene Kit]],0)</f>
        <v>0</v>
      </c>
      <c r="Y42" s="901">
        <f>IF(NFI_Expiration=1,IF($A42&lt;VLOOKUP(J$5,NFI,5,0),1,0)*Data_NFI_t[[#This Row],[NFI Core Kit]],0)</f>
        <v>0</v>
      </c>
      <c r="Z42" s="902">
        <f>IF(NFI_Expiration=1,IF($A42&lt;VLOOKUP(K$5,NFI,5,0),1,0)*Data_NFI_t[[#This Row],[Sanitary Kit]],0)</f>
        <v>0</v>
      </c>
      <c r="AA42" s="902">
        <f>IF(NFI_Expiration=1,IF($A42&lt;VLOOKUP(L$5,NFI,5,0),1,0)*Data_NFI_t[[#This Row],[Mosquito net]],0)</f>
        <v>0</v>
      </c>
      <c r="AB42" s="902">
        <f>IF(NFI_Expiration=1,IF($A42&lt;VLOOKUP(M$5,NFI,5,0),1,0)*Data_NFI_t[[#This Row],[Tarpaulin]],0)</f>
        <v>0</v>
      </c>
      <c r="AC42" s="902">
        <f>IF(NFI_Expiration=1,IF($A42&lt;VLOOKUP(N$5,NFI,5,0),1,0)*Data_NFI_t[[#This Row],[Blanket]],0)</f>
        <v>0</v>
      </c>
      <c r="AD42" s="902">
        <f>IF(NFI_Expiration=1,IF($A42&lt;VLOOKUP(O$5,NFI,5,0),1,0)*Data_NFI_t[[#This Row],[Kitchen Set]],0)</f>
        <v>0</v>
      </c>
      <c r="AE42" s="902">
        <f>IF(NFI_Expiration=1,IF($A42&lt;VLOOKUP(P$5,NFI,5,0),1,0)*Data_NFI_t[[#This Row],[Complementary Kit]],0)</f>
        <v>0</v>
      </c>
      <c r="AF42" s="902">
        <f>IF(NFI_Expiration=1,IF($A42&lt;VLOOKUP(Q$5,NFI,5,0),1,0)*Data_NFI_t[[#This Row],[Plastic Bucket]],0)</f>
        <v>0</v>
      </c>
      <c r="AG42" s="901">
        <f>IF(NFI_Expiration=1,IF($A42&lt;VLOOKUP(R$5,NFI,5,0),1,0)*Data_NFI_t[[#This Row],[Jerry Can]],0)</f>
        <v>0</v>
      </c>
      <c r="AH42" s="901">
        <f>IF(NFI_Expiration=1,IF($A42&lt;VLOOKUP(S$5,NFI,5,0),1,0)*Data_NFI_t[[#This Row],[Plastic Mat]],0)</f>
        <v>0</v>
      </c>
      <c r="AI42" s="901">
        <f>IF(NFI_Expiration=1,IF($A42&lt;VLOOKUP(T$5,NFI,5,0),1,0)*Data_NFI_t[[#This Row],[Adult Clothes]],0)</f>
        <v>397</v>
      </c>
      <c r="AJ42" s="901">
        <f>IF(NFI_Expiration=1,IF($A42&lt;VLOOKUP(U$5,NFI,5,0),1,0)*Data_NFI_t[[#This Row],[Children Clothes]],0)</f>
        <v>0</v>
      </c>
      <c r="AK42" s="901">
        <f>IF(NFI_Expiration=1,IF($A42&lt;VLOOKUP(V$5,NFI,5,0),1,0)*Data_NFI_t[[#This Row],[Sewing Kit]],0)</f>
        <v>0</v>
      </c>
      <c r="AL42" s="901">
        <f>IF(NFI_Expiration=1,IF($A42&lt;VLOOKUP(V$5,NFI,5,0),1,0)*Data_NFI_t[[#This Row],[Solar Lantern]],0)</f>
        <v>0</v>
      </c>
      <c r="AM42" s="131" t="str">
        <f ca="1">IFERROR(OFFSET(Camp_List[P_Code],MATCH(Data_NFI_t[[#This Row],[Camp Name]],Camp_List[Camp Name],0)-1,0,1,1),"")</f>
        <v>MMR012CMP039</v>
      </c>
      <c r="AN42" s="513" t="str">
        <f ca="1">IFERROR(OFFSET(Camp_List[Status],MATCH(Data_NFI_t[[#This Row],[Camp Name]],Camp_List[Camp Name],0)-1,0,1,1),"")</f>
        <v>Open</v>
      </c>
      <c r="AO42" s="933" t="s">
        <v>1136</v>
      </c>
      <c r="AR42" s="792"/>
    </row>
    <row r="43" spans="1:44" s="52" customFormat="1" ht="17.25" customHeight="1" x14ac:dyDescent="0.25">
      <c r="A43" s="903">
        <f t="shared" si="2"/>
        <v>3.5</v>
      </c>
      <c r="B43" s="904">
        <f>YEAR(Data_NFI_t[[#This Row],[Distribution Date]])</f>
        <v>2017</v>
      </c>
      <c r="C43" s="930">
        <v>42751</v>
      </c>
      <c r="D43" s="900" t="s">
        <v>1140</v>
      </c>
      <c r="E43" s="900" t="s">
        <v>970</v>
      </c>
      <c r="F43" s="900" t="s">
        <v>7</v>
      </c>
      <c r="G43" s="906" t="s">
        <v>19</v>
      </c>
      <c r="H43" s="906" t="s">
        <v>628</v>
      </c>
      <c r="I43" s="907"/>
      <c r="J43" s="908"/>
      <c r="K43" s="908"/>
      <c r="L43" s="909"/>
      <c r="M43" s="909"/>
      <c r="N43" s="909"/>
      <c r="O43" s="909"/>
      <c r="P43" s="909"/>
      <c r="Q43" s="909"/>
      <c r="R43" s="910"/>
      <c r="S43" s="909"/>
      <c r="T43" s="909">
        <v>624</v>
      </c>
      <c r="U43" s="909">
        <v>624</v>
      </c>
      <c r="V43" s="909"/>
      <c r="W43" s="909"/>
      <c r="X43" s="901">
        <f>IF(NFI_Expiration=1,IF($A43&lt;VLOOKUP(I$5,NFI,5,0),1,0)*Data_NFI_t[[#This Row],[Hygiene Kit]],0)</f>
        <v>0</v>
      </c>
      <c r="Y43" s="901">
        <f>IF(NFI_Expiration=1,IF($A43&lt;VLOOKUP(J$5,NFI,5,0),1,0)*Data_NFI_t[[#This Row],[NFI Core Kit]],0)</f>
        <v>0</v>
      </c>
      <c r="Z43" s="902">
        <f>IF(NFI_Expiration=1,IF($A43&lt;VLOOKUP(K$5,NFI,5,0),1,0)*Data_NFI_t[[#This Row],[Sanitary Kit]],0)</f>
        <v>0</v>
      </c>
      <c r="AA43" s="902">
        <f>IF(NFI_Expiration=1,IF($A43&lt;VLOOKUP(L$5,NFI,5,0),1,0)*Data_NFI_t[[#This Row],[Mosquito net]],0)</f>
        <v>0</v>
      </c>
      <c r="AB43" s="902">
        <f>IF(NFI_Expiration=1,IF($A43&lt;VLOOKUP(M$5,NFI,5,0),1,0)*Data_NFI_t[[#This Row],[Tarpaulin]],0)</f>
        <v>0</v>
      </c>
      <c r="AC43" s="902">
        <f>IF(NFI_Expiration=1,IF($A43&lt;VLOOKUP(N$5,NFI,5,0),1,0)*Data_NFI_t[[#This Row],[Blanket]],0)</f>
        <v>0</v>
      </c>
      <c r="AD43" s="902">
        <f>IF(NFI_Expiration=1,IF($A43&lt;VLOOKUP(O$5,NFI,5,0),1,0)*Data_NFI_t[[#This Row],[Kitchen Set]],0)</f>
        <v>0</v>
      </c>
      <c r="AE43" s="902">
        <f>IF(NFI_Expiration=1,IF($A43&lt;VLOOKUP(P$5,NFI,5,0),1,0)*Data_NFI_t[[#This Row],[Complementary Kit]],0)</f>
        <v>0</v>
      </c>
      <c r="AF43" s="902">
        <f>IF(NFI_Expiration=1,IF($A43&lt;VLOOKUP(Q$5,NFI,5,0),1,0)*Data_NFI_t[[#This Row],[Plastic Bucket]],0)</f>
        <v>0</v>
      </c>
      <c r="AG43" s="901">
        <f>IF(NFI_Expiration=1,IF($A43&lt;VLOOKUP(R$5,NFI,5,0),1,0)*Data_NFI_t[[#This Row],[Jerry Can]],0)</f>
        <v>0</v>
      </c>
      <c r="AH43" s="901">
        <f>IF(NFI_Expiration=1,IF($A43&lt;VLOOKUP(S$5,NFI,5,0),1,0)*Data_NFI_t[[#This Row],[Plastic Mat]],0)</f>
        <v>0</v>
      </c>
      <c r="AI43" s="901">
        <f>IF(NFI_Expiration=1,IF($A43&lt;VLOOKUP(T$5,NFI,5,0),1,0)*Data_NFI_t[[#This Row],[Adult Clothes]],0)</f>
        <v>624</v>
      </c>
      <c r="AJ43" s="901">
        <f>IF(NFI_Expiration=1,IF($A43&lt;VLOOKUP(U$5,NFI,5,0),1,0)*Data_NFI_t[[#This Row],[Children Clothes]],0)</f>
        <v>624</v>
      </c>
      <c r="AK43" s="901">
        <f>IF(NFI_Expiration=1,IF($A43&lt;VLOOKUP(V$5,NFI,5,0),1,0)*Data_NFI_t[[#This Row],[Sewing Kit]],0)</f>
        <v>0</v>
      </c>
      <c r="AL43" s="901">
        <f>IF(NFI_Expiration=1,IF($A43&lt;VLOOKUP(V$5,NFI,5,0),1,0)*Data_NFI_t[[#This Row],[Solar Lantern]],0)</f>
        <v>0</v>
      </c>
      <c r="AM43" s="131" t="str">
        <f ca="1">IFERROR(OFFSET(Camp_List[P_Code],MATCH(Data_NFI_t[[#This Row],[Camp Name]],Camp_List[Camp Name],0)-1,0,1,1),"")</f>
        <v>MMR012CMP092</v>
      </c>
      <c r="AN43" s="513" t="str">
        <f ca="1">IFERROR(OFFSET(Camp_List[Status],MATCH(Data_NFI_t[[#This Row],[Camp Name]],Camp_List[Camp Name],0)-1,0,1,1),"")</f>
        <v>Open</v>
      </c>
      <c r="AO43" s="933" t="s">
        <v>1136</v>
      </c>
      <c r="AR43" s="792"/>
    </row>
    <row r="44" spans="1:44" s="52" customFormat="1" ht="17.25" customHeight="1" x14ac:dyDescent="0.25">
      <c r="A44" s="903">
        <f t="shared" si="2"/>
        <v>3.9</v>
      </c>
      <c r="B44" s="904">
        <v>2017</v>
      </c>
      <c r="C44" s="930">
        <v>42739</v>
      </c>
      <c r="D44" s="900" t="s">
        <v>706</v>
      </c>
      <c r="E44" s="900" t="s">
        <v>706</v>
      </c>
      <c r="F44" s="900" t="s">
        <v>7</v>
      </c>
      <c r="G44" s="906" t="s">
        <v>866</v>
      </c>
      <c r="H44" s="906" t="s">
        <v>38</v>
      </c>
      <c r="I44" s="907"/>
      <c r="J44" s="908"/>
      <c r="K44" s="908">
        <v>703</v>
      </c>
      <c r="L44" s="909"/>
      <c r="M44" s="909"/>
      <c r="N44" s="909"/>
      <c r="O44" s="909"/>
      <c r="P44" s="909"/>
      <c r="Q44" s="909"/>
      <c r="R44" s="910"/>
      <c r="S44" s="909"/>
      <c r="T44" s="909"/>
      <c r="U44" s="909"/>
      <c r="V44" s="909"/>
      <c r="W44" s="909"/>
      <c r="X44" s="901">
        <f>IF(NFI_Expiration=1,IF($A44&lt;VLOOKUP(I$5,NFI,5,0),1,0)*Data_NFI_t[[#This Row],[Hygiene Kit]],0)</f>
        <v>0</v>
      </c>
      <c r="Y44" s="901">
        <f>IF(NFI_Expiration=1,IF($A44&lt;VLOOKUP(J$5,NFI,5,0),1,0)*Data_NFI_t[[#This Row],[NFI Core Kit]],0)</f>
        <v>0</v>
      </c>
      <c r="Z44" s="902">
        <f>IF(NFI_Expiration=1,IF($A44&lt;VLOOKUP(K$5,NFI,5,0),1,0)*Data_NFI_t[[#This Row],[Sanitary Kit]],0)</f>
        <v>703</v>
      </c>
      <c r="AA44" s="902">
        <f>IF(NFI_Expiration=1,IF($A44&lt;VLOOKUP(L$5,NFI,5,0),1,0)*Data_NFI_t[[#This Row],[Mosquito net]],0)</f>
        <v>0</v>
      </c>
      <c r="AB44" s="902">
        <f>IF(NFI_Expiration=1,IF($A44&lt;VLOOKUP(M$5,NFI,5,0),1,0)*Data_NFI_t[[#This Row],[Tarpaulin]],0)</f>
        <v>0</v>
      </c>
      <c r="AC44" s="902">
        <f>IF(NFI_Expiration=1,IF($A44&lt;VLOOKUP(N$5,NFI,5,0),1,0)*Data_NFI_t[[#This Row],[Blanket]],0)</f>
        <v>0</v>
      </c>
      <c r="AD44" s="902">
        <f>IF(NFI_Expiration=1,IF($A44&lt;VLOOKUP(O$5,NFI,5,0),1,0)*Data_NFI_t[[#This Row],[Kitchen Set]],0)</f>
        <v>0</v>
      </c>
      <c r="AE44" s="902">
        <f>IF(NFI_Expiration=1,IF($A44&lt;VLOOKUP(P$5,NFI,5,0),1,0)*Data_NFI_t[[#This Row],[Complementary Kit]],0)</f>
        <v>0</v>
      </c>
      <c r="AF44" s="902">
        <f>IF(NFI_Expiration=1,IF($A44&lt;VLOOKUP(Q$5,NFI,5,0),1,0)*Data_NFI_t[[#This Row],[Plastic Bucket]],0)</f>
        <v>0</v>
      </c>
      <c r="AG44" s="901">
        <f>IF(NFI_Expiration=1,IF($A44&lt;VLOOKUP(R$5,NFI,5,0),1,0)*Data_NFI_t[[#This Row],[Jerry Can]],0)</f>
        <v>0</v>
      </c>
      <c r="AH44" s="901">
        <f>IF(NFI_Expiration=1,IF($A44&lt;VLOOKUP(S$5,NFI,5,0),1,0)*Data_NFI_t[[#This Row],[Plastic Mat]],0)</f>
        <v>0</v>
      </c>
      <c r="AI44" s="901">
        <f>IF(NFI_Expiration=1,IF($A44&lt;VLOOKUP(T$5,NFI,5,0),1,0)*Data_NFI_t[[#This Row],[Adult Clothes]],0)</f>
        <v>0</v>
      </c>
      <c r="AJ44" s="901">
        <f>IF(NFI_Expiration=1,IF($A44&lt;VLOOKUP(U$5,NFI,5,0),1,0)*Data_NFI_t[[#This Row],[Children Clothes]],0)</f>
        <v>0</v>
      </c>
      <c r="AK44" s="901">
        <f>IF(NFI_Expiration=1,IF($A44&lt;VLOOKUP(V$5,NFI,5,0),1,0)*Data_NFI_t[[#This Row],[Sewing Kit]],0)</f>
        <v>0</v>
      </c>
      <c r="AL44" s="901">
        <f>IF(NFI_Expiration=1,IF($A44&lt;VLOOKUP(V$5,NFI,5,0),1,0)*Data_NFI_t[[#This Row],[Solar Lantern]],0)</f>
        <v>0</v>
      </c>
      <c r="AM44" s="131" t="str">
        <f ca="1">IFERROR(OFFSET(Camp_List[P_Code],MATCH(Data_NFI_t[[#This Row],[Camp Name]],Camp_List[Camp Name],0)-1,0,1,1),"")</f>
        <v>MMR012CMP014</v>
      </c>
      <c r="AN44" s="513" t="str">
        <f ca="1">IFERROR(OFFSET(Camp_List[Status],MATCH(Data_NFI_t[[#This Row],[Camp Name]],Camp_List[Camp Name],0)-1,0,1,1),"")</f>
        <v>Open</v>
      </c>
      <c r="AO44" s="933" t="s">
        <v>1135</v>
      </c>
      <c r="AR44" s="792"/>
    </row>
    <row r="45" spans="1:44" s="52" customFormat="1" ht="19.5" customHeight="1" x14ac:dyDescent="0.25">
      <c r="A45" s="903">
        <f t="shared" si="2"/>
        <v>4.1333333333333337</v>
      </c>
      <c r="B45" s="904">
        <f>YEAR(Data_NFI_t[[#This Row],[Distribution Date]])</f>
        <v>2016</v>
      </c>
      <c r="C45" s="905">
        <v>42732</v>
      </c>
      <c r="D45" s="900" t="s">
        <v>706</v>
      </c>
      <c r="E45" s="900" t="s">
        <v>706</v>
      </c>
      <c r="F45" s="900" t="s">
        <v>7</v>
      </c>
      <c r="G45" s="906" t="s">
        <v>866</v>
      </c>
      <c r="H45" s="906" t="s">
        <v>38</v>
      </c>
      <c r="I45" s="907"/>
      <c r="J45" s="908"/>
      <c r="K45" s="908"/>
      <c r="L45" s="909"/>
      <c r="M45" s="909"/>
      <c r="N45" s="909"/>
      <c r="O45" s="909"/>
      <c r="P45" s="909"/>
      <c r="Q45" s="909"/>
      <c r="R45" s="910"/>
      <c r="S45" s="909"/>
      <c r="T45" s="909"/>
      <c r="U45" s="909"/>
      <c r="V45" s="909">
        <v>628</v>
      </c>
      <c r="W45" s="909"/>
      <c r="X45" s="901">
        <f>IF(NFI_Expiration=1,IF($A45&lt;VLOOKUP(I$5,NFI,5,0),1,0)*Data_NFI_t[[#This Row],[Hygiene Kit]],0)</f>
        <v>0</v>
      </c>
      <c r="Y45" s="901">
        <f>IF(NFI_Expiration=1,IF($A45&lt;VLOOKUP(J$5,NFI,5,0),1,0)*Data_NFI_t[[#This Row],[NFI Core Kit]],0)</f>
        <v>0</v>
      </c>
      <c r="Z45" s="902">
        <f>IF(NFI_Expiration=1,IF($A45&lt;VLOOKUP(K$5,NFI,5,0),1,0)*Data_NFI_t[[#This Row],[Sanitary Kit]],0)</f>
        <v>0</v>
      </c>
      <c r="AA45" s="902">
        <f>IF(NFI_Expiration=1,IF($A45&lt;VLOOKUP(L$5,NFI,5,0),1,0)*Data_NFI_t[[#This Row],[Mosquito net]],0)</f>
        <v>0</v>
      </c>
      <c r="AB45" s="902">
        <f>IF(NFI_Expiration=1,IF($A45&lt;VLOOKUP(M$5,NFI,5,0),1,0)*Data_NFI_t[[#This Row],[Tarpaulin]],0)</f>
        <v>0</v>
      </c>
      <c r="AC45" s="902">
        <f>IF(NFI_Expiration=1,IF($A45&lt;VLOOKUP(N$5,NFI,5,0),1,0)*Data_NFI_t[[#This Row],[Blanket]],0)</f>
        <v>0</v>
      </c>
      <c r="AD45" s="902">
        <f>IF(NFI_Expiration=1,IF($A45&lt;VLOOKUP(O$5,NFI,5,0),1,0)*Data_NFI_t[[#This Row],[Kitchen Set]],0)</f>
        <v>0</v>
      </c>
      <c r="AE45" s="902">
        <f>IF(NFI_Expiration=1,IF($A45&lt;VLOOKUP(P$5,NFI,5,0),1,0)*Data_NFI_t[[#This Row],[Complementary Kit]],0)</f>
        <v>0</v>
      </c>
      <c r="AF45" s="902">
        <f>IF(NFI_Expiration=1,IF($A45&lt;VLOOKUP(Q$5,NFI,5,0),1,0)*Data_NFI_t[[#This Row],[Plastic Bucket]],0)</f>
        <v>0</v>
      </c>
      <c r="AG45" s="901">
        <f>IF(NFI_Expiration=1,IF($A45&lt;VLOOKUP(R$5,NFI,5,0),1,0)*Data_NFI_t[[#This Row],[Jerry Can]],0)</f>
        <v>0</v>
      </c>
      <c r="AH45" s="901">
        <f>IF(NFI_Expiration=1,IF($A45&lt;VLOOKUP(S$5,NFI,5,0),1,0)*Data_NFI_t[[#This Row],[Plastic Mat]],0)</f>
        <v>0</v>
      </c>
      <c r="AI45" s="901">
        <f>IF(NFI_Expiration=1,IF($A45&lt;VLOOKUP(T$5,NFI,5,0),1,0)*Data_NFI_t[[#This Row],[Adult Clothes]],0)</f>
        <v>0</v>
      </c>
      <c r="AJ45" s="901">
        <f>IF(NFI_Expiration=1,IF($A45&lt;VLOOKUP(U$5,NFI,5,0),1,0)*Data_NFI_t[[#This Row],[Children Clothes]],0)</f>
        <v>0</v>
      </c>
      <c r="AK45" s="901">
        <f>IF(NFI_Expiration=1,IF($A45&lt;VLOOKUP(V$5,NFI,5,0),1,0)*Data_NFI_t[[#This Row],[Sewing Kit]],0)</f>
        <v>628</v>
      </c>
      <c r="AL45" s="901">
        <f>IF(NFI_Expiration=1,IF($A45&lt;VLOOKUP(V$5,NFI,5,0),1,0)*Data_NFI_t[[#This Row],[Solar Lantern]],0)</f>
        <v>0</v>
      </c>
      <c r="AM45" s="131" t="str">
        <f ca="1">IFERROR(OFFSET(Camp_List[P_Code],MATCH(Data_NFI_t[[#This Row],[Camp Name]],Camp_List[Camp Name],0)-1,0,1,1),"")</f>
        <v>MMR012CMP014</v>
      </c>
      <c r="AN45" s="513" t="str">
        <f ca="1">IFERROR(OFFSET(Camp_List[Status],MATCH(Data_NFI_t[[#This Row],[Camp Name]],Camp_List[Camp Name],0)-1,0,1,1),"")</f>
        <v>Open</v>
      </c>
      <c r="AO45" s="932"/>
      <c r="AR45" s="792"/>
    </row>
    <row r="46" spans="1:44" s="52" customFormat="1" ht="19.5" customHeight="1" x14ac:dyDescent="0.25">
      <c r="A46" s="903">
        <f t="shared" si="2"/>
        <v>4.2</v>
      </c>
      <c r="B46" s="904">
        <f>YEAR(Data_NFI_t[[#This Row],[Distribution Date]])</f>
        <v>2016</v>
      </c>
      <c r="C46" s="905">
        <v>42730</v>
      </c>
      <c r="D46" s="900" t="s">
        <v>706</v>
      </c>
      <c r="E46" s="900" t="s">
        <v>706</v>
      </c>
      <c r="F46" s="900" t="s">
        <v>7</v>
      </c>
      <c r="G46" s="906" t="s">
        <v>866</v>
      </c>
      <c r="H46" s="906" t="s">
        <v>38</v>
      </c>
      <c r="I46" s="907"/>
      <c r="J46" s="908"/>
      <c r="K46" s="908"/>
      <c r="L46" s="909"/>
      <c r="M46" s="909"/>
      <c r="N46" s="909"/>
      <c r="O46" s="909"/>
      <c r="P46" s="909"/>
      <c r="Q46" s="909"/>
      <c r="R46" s="910"/>
      <c r="S46" s="909"/>
      <c r="T46" s="909">
        <v>628</v>
      </c>
      <c r="U46" s="909"/>
      <c r="V46" s="909"/>
      <c r="W46" s="909"/>
      <c r="X46" s="901">
        <f>IF(NFI_Expiration=1,IF($A46&lt;VLOOKUP(I$5,NFI,5,0),1,0)*Data_NFI_t[[#This Row],[Hygiene Kit]],0)</f>
        <v>0</v>
      </c>
      <c r="Y46" s="901">
        <f>IF(NFI_Expiration=1,IF($A46&lt;VLOOKUP(J$5,NFI,5,0),1,0)*Data_NFI_t[[#This Row],[NFI Core Kit]],0)</f>
        <v>0</v>
      </c>
      <c r="Z46" s="902">
        <f>IF(NFI_Expiration=1,IF($A46&lt;VLOOKUP(K$5,NFI,5,0),1,0)*Data_NFI_t[[#This Row],[Sanitary Kit]],0)</f>
        <v>0</v>
      </c>
      <c r="AA46" s="902">
        <f>IF(NFI_Expiration=1,IF($A46&lt;VLOOKUP(L$5,NFI,5,0),1,0)*Data_NFI_t[[#This Row],[Mosquito net]],0)</f>
        <v>0</v>
      </c>
      <c r="AB46" s="902">
        <f>IF(NFI_Expiration=1,IF($A46&lt;VLOOKUP(M$5,NFI,5,0),1,0)*Data_NFI_t[[#This Row],[Tarpaulin]],0)</f>
        <v>0</v>
      </c>
      <c r="AC46" s="902">
        <f>IF(NFI_Expiration=1,IF($A46&lt;VLOOKUP(N$5,NFI,5,0),1,0)*Data_NFI_t[[#This Row],[Blanket]],0)</f>
        <v>0</v>
      </c>
      <c r="AD46" s="902">
        <f>IF(NFI_Expiration=1,IF($A46&lt;VLOOKUP(O$5,NFI,5,0),1,0)*Data_NFI_t[[#This Row],[Kitchen Set]],0)</f>
        <v>0</v>
      </c>
      <c r="AE46" s="902">
        <f>IF(NFI_Expiration=1,IF($A46&lt;VLOOKUP(P$5,NFI,5,0),1,0)*Data_NFI_t[[#This Row],[Complementary Kit]],0)</f>
        <v>0</v>
      </c>
      <c r="AF46" s="902">
        <f>IF(NFI_Expiration=1,IF($A46&lt;VLOOKUP(Q$5,NFI,5,0),1,0)*Data_NFI_t[[#This Row],[Plastic Bucket]],0)</f>
        <v>0</v>
      </c>
      <c r="AG46" s="901">
        <f>IF(NFI_Expiration=1,IF($A46&lt;VLOOKUP(R$5,NFI,5,0),1,0)*Data_NFI_t[[#This Row],[Jerry Can]],0)</f>
        <v>0</v>
      </c>
      <c r="AH46" s="901">
        <f>IF(NFI_Expiration=1,IF($A46&lt;VLOOKUP(S$5,NFI,5,0),1,0)*Data_NFI_t[[#This Row],[Plastic Mat]],0)</f>
        <v>0</v>
      </c>
      <c r="AI46" s="901">
        <f>IF(NFI_Expiration=1,IF($A46&lt;VLOOKUP(T$5,NFI,5,0),1,0)*Data_NFI_t[[#This Row],[Adult Clothes]],0)</f>
        <v>628</v>
      </c>
      <c r="AJ46" s="901">
        <f>IF(NFI_Expiration=1,IF($A46&lt;VLOOKUP(U$5,NFI,5,0),1,0)*Data_NFI_t[[#This Row],[Children Clothes]],0)</f>
        <v>0</v>
      </c>
      <c r="AK46" s="901">
        <f>IF(NFI_Expiration=1,IF($A46&lt;VLOOKUP(V$5,NFI,5,0),1,0)*Data_NFI_t[[#This Row],[Sewing Kit]],0)</f>
        <v>0</v>
      </c>
      <c r="AL46" s="901">
        <f>IF(NFI_Expiration=1,IF($A46&lt;VLOOKUP(V$5,NFI,5,0),1,0)*Data_NFI_t[[#This Row],[Solar Lantern]],0)</f>
        <v>0</v>
      </c>
      <c r="AM46" s="131" t="str">
        <f ca="1">IFERROR(OFFSET(Camp_List[P_Code],MATCH(Data_NFI_t[[#This Row],[Camp Name]],Camp_List[Camp Name],0)-1,0,1,1),"")</f>
        <v>MMR012CMP014</v>
      </c>
      <c r="AN46" s="513" t="str">
        <f ca="1">IFERROR(OFFSET(Camp_List[Status],MATCH(Data_NFI_t[[#This Row],[Camp Name]],Camp_List[Camp Name],0)-1,0,1,1),"")</f>
        <v>Open</v>
      </c>
      <c r="AO46" s="131"/>
      <c r="AR46" s="792"/>
    </row>
    <row r="47" spans="1:44" s="52" customFormat="1" ht="19.5" customHeight="1" x14ac:dyDescent="0.25">
      <c r="A47" s="903">
        <f t="shared" si="2"/>
        <v>4.3</v>
      </c>
      <c r="B47" s="904">
        <v>2016</v>
      </c>
      <c r="C47" s="905">
        <v>42727</v>
      </c>
      <c r="D47" s="900" t="s">
        <v>706</v>
      </c>
      <c r="E47" s="900" t="s">
        <v>1118</v>
      </c>
      <c r="F47" s="900" t="s">
        <v>7</v>
      </c>
      <c r="G47" s="906" t="s">
        <v>866</v>
      </c>
      <c r="H47" s="906" t="s">
        <v>38</v>
      </c>
      <c r="I47" s="907"/>
      <c r="J47" s="908"/>
      <c r="K47" s="908"/>
      <c r="L47" s="909"/>
      <c r="M47" s="909"/>
      <c r="N47" s="909">
        <v>703</v>
      </c>
      <c r="O47" s="909"/>
      <c r="P47" s="909"/>
      <c r="Q47" s="909"/>
      <c r="R47" s="910"/>
      <c r="S47" s="909"/>
      <c r="T47" s="909"/>
      <c r="U47" s="909"/>
      <c r="V47" s="909"/>
      <c r="W47" s="909"/>
      <c r="X47" s="901">
        <f>IF(NFI_Expiration=1,IF($A47&lt;VLOOKUP(I$5,NFI,5,0),1,0)*Data_NFI_t[[#This Row],[Hygiene Kit]],0)</f>
        <v>0</v>
      </c>
      <c r="Y47" s="901">
        <f>IF(NFI_Expiration=1,IF($A47&lt;VLOOKUP(J$5,NFI,5,0),1,0)*Data_NFI_t[[#This Row],[NFI Core Kit]],0)</f>
        <v>0</v>
      </c>
      <c r="Z47" s="902">
        <f>IF(NFI_Expiration=1,IF($A47&lt;VLOOKUP(K$5,NFI,5,0),1,0)*Data_NFI_t[[#This Row],[Sanitary Kit]],0)</f>
        <v>0</v>
      </c>
      <c r="AA47" s="902">
        <f>IF(NFI_Expiration=1,IF($A47&lt;VLOOKUP(L$5,NFI,5,0),1,0)*Data_NFI_t[[#This Row],[Mosquito net]],0)</f>
        <v>0</v>
      </c>
      <c r="AB47" s="902">
        <f>IF(NFI_Expiration=1,IF($A47&lt;VLOOKUP(M$5,NFI,5,0),1,0)*Data_NFI_t[[#This Row],[Tarpaulin]],0)</f>
        <v>0</v>
      </c>
      <c r="AC47" s="902">
        <f>IF(NFI_Expiration=1,IF($A47&lt;VLOOKUP(N$5,NFI,5,0),1,0)*Data_NFI_t[[#This Row],[Blanket]],0)</f>
        <v>703</v>
      </c>
      <c r="AD47" s="902">
        <f>IF(NFI_Expiration=1,IF($A47&lt;VLOOKUP(O$5,NFI,5,0),1,0)*Data_NFI_t[[#This Row],[Kitchen Set]],0)</f>
        <v>0</v>
      </c>
      <c r="AE47" s="902">
        <f>IF(NFI_Expiration=1,IF($A47&lt;VLOOKUP(P$5,NFI,5,0),1,0)*Data_NFI_t[[#This Row],[Complementary Kit]],0)</f>
        <v>0</v>
      </c>
      <c r="AF47" s="902">
        <f>IF(NFI_Expiration=1,IF($A47&lt;VLOOKUP(Q$5,NFI,5,0),1,0)*Data_NFI_t[[#This Row],[Plastic Bucket]],0)</f>
        <v>0</v>
      </c>
      <c r="AG47" s="901">
        <f>IF(NFI_Expiration=1,IF($A47&lt;VLOOKUP(R$5,NFI,5,0),1,0)*Data_NFI_t[[#This Row],[Jerry Can]],0)</f>
        <v>0</v>
      </c>
      <c r="AH47" s="901">
        <f>IF(NFI_Expiration=1,IF($A47&lt;VLOOKUP(S$5,NFI,5,0),1,0)*Data_NFI_t[[#This Row],[Plastic Mat]],0)</f>
        <v>0</v>
      </c>
      <c r="AI47" s="901">
        <f>IF(NFI_Expiration=1,IF($A47&lt;VLOOKUP(T$5,NFI,5,0),1,0)*Data_NFI_t[[#This Row],[Adult Clothes]],0)</f>
        <v>0</v>
      </c>
      <c r="AJ47" s="901">
        <f>IF(NFI_Expiration=1,IF($A47&lt;VLOOKUP(U$5,NFI,5,0),1,0)*Data_NFI_t[[#This Row],[Children Clothes]],0)</f>
        <v>0</v>
      </c>
      <c r="AK47" s="901">
        <f>IF(NFI_Expiration=1,IF($A47&lt;VLOOKUP(V$5,NFI,5,0),1,0)*Data_NFI_t[[#This Row],[Sewing Kit]],0)</f>
        <v>0</v>
      </c>
      <c r="AL47" s="901">
        <f>IF(NFI_Expiration=1,IF($A47&lt;VLOOKUP(V$5,NFI,5,0),1,0)*Data_NFI_t[[#This Row],[Solar Lantern]],0)</f>
        <v>0</v>
      </c>
      <c r="AM47" s="131" t="str">
        <f ca="1">IFERROR(OFFSET(Camp_List[P_Code],MATCH(Data_NFI_t[[#This Row],[Camp Name]],Camp_List[Camp Name],0)-1,0,1,1),"")</f>
        <v>MMR012CMP014</v>
      </c>
      <c r="AN47" s="513" t="str">
        <f ca="1">IFERROR(OFFSET(Camp_List[Status],MATCH(Data_NFI_t[[#This Row],[Camp Name]],Camp_List[Camp Name],0)-1,0,1,1),"")</f>
        <v>Open</v>
      </c>
      <c r="AO47" s="131"/>
      <c r="AR47" s="792"/>
    </row>
    <row r="48" spans="1:44" s="52" customFormat="1" ht="19.5" customHeight="1" x14ac:dyDescent="0.25">
      <c r="A48" s="903">
        <f t="shared" si="2"/>
        <v>4.7666666666666666</v>
      </c>
      <c r="B48" s="904">
        <v>2016</v>
      </c>
      <c r="C48" s="905">
        <v>42713</v>
      </c>
      <c r="D48" s="900" t="s">
        <v>1117</v>
      </c>
      <c r="E48" s="900" t="s">
        <v>1117</v>
      </c>
      <c r="F48" s="900" t="s">
        <v>7</v>
      </c>
      <c r="G48" s="906" t="s">
        <v>14</v>
      </c>
      <c r="H48" s="906" t="s">
        <v>40</v>
      </c>
      <c r="I48" s="907"/>
      <c r="J48" s="908"/>
      <c r="K48" s="908"/>
      <c r="L48" s="909"/>
      <c r="M48" s="909"/>
      <c r="N48" s="909"/>
      <c r="O48" s="909">
        <v>1228</v>
      </c>
      <c r="P48" s="909"/>
      <c r="Q48" s="909"/>
      <c r="R48" s="910"/>
      <c r="S48" s="909"/>
      <c r="T48" s="909"/>
      <c r="U48" s="909"/>
      <c r="V48" s="909"/>
      <c r="W48" s="909"/>
      <c r="X48" s="901">
        <f>IF(NFI_Expiration=1,IF($A48&lt;VLOOKUP(I$5,NFI,5,0),1,0)*Data_NFI_t[[#This Row],[Hygiene Kit]],0)</f>
        <v>0</v>
      </c>
      <c r="Y48" s="901">
        <f>IF(NFI_Expiration=1,IF($A48&lt;VLOOKUP(J$5,NFI,5,0),1,0)*Data_NFI_t[[#This Row],[NFI Core Kit]],0)</f>
        <v>0</v>
      </c>
      <c r="Z48" s="902">
        <f>IF(NFI_Expiration=1,IF($A48&lt;VLOOKUP(K$5,NFI,5,0),1,0)*Data_NFI_t[[#This Row],[Sanitary Kit]],0)</f>
        <v>0</v>
      </c>
      <c r="AA48" s="902">
        <f>IF(NFI_Expiration=1,IF($A48&lt;VLOOKUP(L$5,NFI,5,0),1,0)*Data_NFI_t[[#This Row],[Mosquito net]],0)</f>
        <v>0</v>
      </c>
      <c r="AB48" s="902">
        <f>IF(NFI_Expiration=1,IF($A48&lt;VLOOKUP(M$5,NFI,5,0),1,0)*Data_NFI_t[[#This Row],[Tarpaulin]],0)</f>
        <v>0</v>
      </c>
      <c r="AC48" s="902">
        <f>IF(NFI_Expiration=1,IF($A48&lt;VLOOKUP(N$5,NFI,5,0),1,0)*Data_NFI_t[[#This Row],[Blanket]],0)</f>
        <v>0</v>
      </c>
      <c r="AD48" s="902">
        <f>IF(NFI_Expiration=1,IF($A48&lt;VLOOKUP(O$5,NFI,5,0),1,0)*Data_NFI_t[[#This Row],[Kitchen Set]],0)</f>
        <v>1228</v>
      </c>
      <c r="AE48" s="902">
        <f>IF(NFI_Expiration=1,IF($A48&lt;VLOOKUP(P$5,NFI,5,0),1,0)*Data_NFI_t[[#This Row],[Complementary Kit]],0)</f>
        <v>0</v>
      </c>
      <c r="AF48" s="902">
        <f>IF(NFI_Expiration=1,IF($A48&lt;VLOOKUP(Q$5,NFI,5,0),1,0)*Data_NFI_t[[#This Row],[Plastic Bucket]],0)</f>
        <v>0</v>
      </c>
      <c r="AG48" s="901">
        <f>IF(NFI_Expiration=1,IF($A48&lt;VLOOKUP(R$5,NFI,5,0),1,0)*Data_NFI_t[[#This Row],[Jerry Can]],0)</f>
        <v>0</v>
      </c>
      <c r="AH48" s="901">
        <f>IF(NFI_Expiration=1,IF($A48&lt;VLOOKUP(S$5,NFI,5,0),1,0)*Data_NFI_t[[#This Row],[Plastic Mat]],0)</f>
        <v>0</v>
      </c>
      <c r="AI48" s="901">
        <f>IF(NFI_Expiration=1,IF($A48&lt;VLOOKUP(T$5,NFI,5,0),1,0)*Data_NFI_t[[#This Row],[Adult Clothes]],0)</f>
        <v>0</v>
      </c>
      <c r="AJ48" s="901">
        <f>IF(NFI_Expiration=1,IF($A48&lt;VLOOKUP(U$5,NFI,5,0),1,0)*Data_NFI_t[[#This Row],[Children Clothes]],0)</f>
        <v>0</v>
      </c>
      <c r="AK48" s="901">
        <f>IF(NFI_Expiration=1,IF($A48&lt;VLOOKUP(V$5,NFI,5,0),1,0)*Data_NFI_t[[#This Row],[Sewing Kit]],0)</f>
        <v>0</v>
      </c>
      <c r="AL48" s="901">
        <f>IF(NFI_Expiration=1,IF($A48&lt;VLOOKUP(V$5,NFI,5,0),1,0)*Data_NFI_t[[#This Row],[Solar Lantern]],0)</f>
        <v>0</v>
      </c>
      <c r="AM48" s="131" t="str">
        <f ca="1">IFERROR(OFFSET(Camp_List[P_Code],MATCH(Data_NFI_t[[#This Row],[Camp Name]],Camp_List[Camp Name],0)-1,0,1,1),"")</f>
        <v>MMR012CMP016</v>
      </c>
      <c r="AN48" s="513" t="str">
        <f ca="1">IFERROR(OFFSET(Camp_List[Status],MATCH(Data_NFI_t[[#This Row],[Camp Name]],Camp_List[Camp Name],0)-1,0,1,1),"")</f>
        <v>Open</v>
      </c>
      <c r="AO48" s="131"/>
      <c r="AR48" s="792"/>
    </row>
    <row r="49" spans="1:44" s="52" customFormat="1" ht="19.5" customHeight="1" x14ac:dyDescent="0.25">
      <c r="A49" s="903">
        <f t="shared" si="2"/>
        <v>5.0999999999999996</v>
      </c>
      <c r="B49" s="904">
        <v>2016</v>
      </c>
      <c r="C49" s="905">
        <v>42703</v>
      </c>
      <c r="D49" s="900" t="s">
        <v>1117</v>
      </c>
      <c r="E49" s="900" t="s">
        <v>1117</v>
      </c>
      <c r="F49" s="900" t="s">
        <v>7</v>
      </c>
      <c r="G49" s="906" t="s">
        <v>19</v>
      </c>
      <c r="H49" s="906" t="s">
        <v>68</v>
      </c>
      <c r="I49" s="907"/>
      <c r="J49" s="908"/>
      <c r="K49" s="908"/>
      <c r="L49" s="909"/>
      <c r="M49" s="909"/>
      <c r="N49" s="909"/>
      <c r="O49" s="909"/>
      <c r="P49" s="909"/>
      <c r="Q49" s="909"/>
      <c r="R49" s="910">
        <v>985</v>
      </c>
      <c r="S49" s="909"/>
      <c r="T49" s="909"/>
      <c r="U49" s="909"/>
      <c r="V49" s="909"/>
      <c r="W49" s="909"/>
      <c r="X49" s="901">
        <f>IF(NFI_Expiration=1,IF($A49&lt;VLOOKUP(I$5,NFI,5,0),1,0)*Data_NFI_t[[#This Row],[Hygiene Kit]],0)</f>
        <v>0</v>
      </c>
      <c r="Y49" s="901">
        <f>IF(NFI_Expiration=1,IF($A49&lt;VLOOKUP(J$5,NFI,5,0),1,0)*Data_NFI_t[[#This Row],[NFI Core Kit]],0)</f>
        <v>0</v>
      </c>
      <c r="Z49" s="902">
        <f>IF(NFI_Expiration=1,IF($A49&lt;VLOOKUP(K$5,NFI,5,0),1,0)*Data_NFI_t[[#This Row],[Sanitary Kit]],0)</f>
        <v>0</v>
      </c>
      <c r="AA49" s="902">
        <f>IF(NFI_Expiration=1,IF($A49&lt;VLOOKUP(L$5,NFI,5,0),1,0)*Data_NFI_t[[#This Row],[Mosquito net]],0)</f>
        <v>0</v>
      </c>
      <c r="AB49" s="902">
        <f>IF(NFI_Expiration=1,IF($A49&lt;VLOOKUP(M$5,NFI,5,0),1,0)*Data_NFI_t[[#This Row],[Tarpaulin]],0)</f>
        <v>0</v>
      </c>
      <c r="AC49" s="902">
        <f>IF(NFI_Expiration=1,IF($A49&lt;VLOOKUP(N$5,NFI,5,0),1,0)*Data_NFI_t[[#This Row],[Blanket]],0)</f>
        <v>0</v>
      </c>
      <c r="AD49" s="902">
        <f>IF(NFI_Expiration=1,IF($A49&lt;VLOOKUP(O$5,NFI,5,0),1,0)*Data_NFI_t[[#This Row],[Kitchen Set]],0)</f>
        <v>0</v>
      </c>
      <c r="AE49" s="902">
        <f>IF(NFI_Expiration=1,IF($A49&lt;VLOOKUP(P$5,NFI,5,0),1,0)*Data_NFI_t[[#This Row],[Complementary Kit]],0)</f>
        <v>0</v>
      </c>
      <c r="AF49" s="902">
        <f>IF(NFI_Expiration=1,IF($A49&lt;VLOOKUP(Q$5,NFI,5,0),1,0)*Data_NFI_t[[#This Row],[Plastic Bucket]],0)</f>
        <v>0</v>
      </c>
      <c r="AG49" s="901">
        <f>IF(NFI_Expiration=1,IF($A49&lt;VLOOKUP(R$5,NFI,5,0),1,0)*Data_NFI_t[[#This Row],[Jerry Can]],0)</f>
        <v>985</v>
      </c>
      <c r="AH49" s="901">
        <f>IF(NFI_Expiration=1,IF($A49&lt;VLOOKUP(S$5,NFI,5,0),1,0)*Data_NFI_t[[#This Row],[Plastic Mat]],0)</f>
        <v>0</v>
      </c>
      <c r="AI49" s="901">
        <f>IF(NFI_Expiration=1,IF($A49&lt;VLOOKUP(T$5,NFI,5,0),1,0)*Data_NFI_t[[#This Row],[Adult Clothes]],0)</f>
        <v>0</v>
      </c>
      <c r="AJ49" s="901">
        <f>IF(NFI_Expiration=1,IF($A49&lt;VLOOKUP(U$5,NFI,5,0),1,0)*Data_NFI_t[[#This Row],[Children Clothes]],0)</f>
        <v>0</v>
      </c>
      <c r="AK49" s="901">
        <f>IF(NFI_Expiration=1,IF($A49&lt;VLOOKUP(V$5,NFI,5,0),1,0)*Data_NFI_t[[#This Row],[Sewing Kit]],0)</f>
        <v>0</v>
      </c>
      <c r="AL49" s="901">
        <f>IF(NFI_Expiration=1,IF($A49&lt;VLOOKUP(V$5,NFI,5,0),1,0)*Data_NFI_t[[#This Row],[Solar Lantern]],0)</f>
        <v>0</v>
      </c>
      <c r="AM49" s="131" t="str">
        <f ca="1">IFERROR(OFFSET(Camp_List[P_Code],MATCH(Data_NFI_t[[#This Row],[Camp Name]],Camp_List[Camp Name],0)-1,0,1,1),"")</f>
        <v>MMR012CMP046</v>
      </c>
      <c r="AN49" s="513" t="str">
        <f ca="1">IFERROR(OFFSET(Camp_List[Status],MATCH(Data_NFI_t[[#This Row],[Camp Name]],Camp_List[Camp Name],0)-1,0,1,1),"")</f>
        <v>Open</v>
      </c>
      <c r="AO49" s="131"/>
      <c r="AR49" s="792"/>
    </row>
    <row r="50" spans="1:44" s="789" customFormat="1" ht="19.5" customHeight="1" x14ac:dyDescent="0.25">
      <c r="A50" s="522">
        <f t="shared" si="2"/>
        <v>5.2333333333333334</v>
      </c>
      <c r="B50" s="522">
        <v>2016</v>
      </c>
      <c r="C50" s="887">
        <v>42699</v>
      </c>
      <c r="D50" s="888" t="s">
        <v>970</v>
      </c>
      <c r="E50" s="889" t="s">
        <v>970</v>
      </c>
      <c r="F50" s="888" t="s">
        <v>7</v>
      </c>
      <c r="G50" s="118" t="s">
        <v>19</v>
      </c>
      <c r="H50" s="118" t="s">
        <v>70</v>
      </c>
      <c r="I50" s="118">
        <v>1000</v>
      </c>
      <c r="J50" s="119">
        <v>32</v>
      </c>
      <c r="K50" s="119"/>
      <c r="L50" s="119">
        <v>32</v>
      </c>
      <c r="M50" s="119"/>
      <c r="N50" s="119">
        <v>64</v>
      </c>
      <c r="O50" s="119"/>
      <c r="P50" s="119"/>
      <c r="Q50" s="119">
        <v>64</v>
      </c>
      <c r="R50" s="512">
        <v>64</v>
      </c>
      <c r="S50" s="119">
        <v>64</v>
      </c>
      <c r="T50" s="119"/>
      <c r="U50" s="119"/>
      <c r="V50" s="119"/>
      <c r="W50" s="119"/>
      <c r="X50" s="890">
        <f>IF(NFI_Expiration=1,IF($A50&lt;VLOOKUP(I$5,NFI,5,0),1,0)*Data_NFI_t[[#This Row],[Hygiene Kit]],0)</f>
        <v>1000</v>
      </c>
      <c r="Y50" s="890">
        <f>IF(NFI_Expiration=1,IF($A50&lt;VLOOKUP(J$5,NFI,5,0),1,0)*Data_NFI_t[[#This Row],[NFI Core Kit]],0)</f>
        <v>32</v>
      </c>
      <c r="Z50" s="891">
        <f>IF(NFI_Expiration=1,IF($A50&lt;VLOOKUP(K$5,NFI,5,0),1,0)*Data_NFI_t[[#This Row],[Sanitary Kit]],0)</f>
        <v>0</v>
      </c>
      <c r="AA50" s="891">
        <f>IF(NFI_Expiration=1,IF($A50&lt;VLOOKUP(L$5,NFI,5,0),1,0)*Data_NFI_t[[#This Row],[Mosquito net]],0)</f>
        <v>32</v>
      </c>
      <c r="AB50" s="891">
        <f>IF(NFI_Expiration=1,IF($A50&lt;VLOOKUP(M$5,NFI,5,0),1,0)*Data_NFI_t[[#This Row],[Tarpaulin]],0)</f>
        <v>0</v>
      </c>
      <c r="AC50" s="891">
        <f>IF(NFI_Expiration=1,IF($A50&lt;VLOOKUP(N$5,NFI,5,0),1,0)*Data_NFI_t[[#This Row],[Blanket]],0)</f>
        <v>64</v>
      </c>
      <c r="AD50" s="891">
        <f>IF(NFI_Expiration=1,IF($A50&lt;VLOOKUP(O$5,NFI,5,0),1,0)*Data_NFI_t[[#This Row],[Kitchen Set]],0)</f>
        <v>0</v>
      </c>
      <c r="AE50" s="891">
        <f>IF(NFI_Expiration=1,IF($A50&lt;VLOOKUP(P$5,NFI,5,0),1,0)*Data_NFI_t[[#This Row],[Complementary Kit]],0)</f>
        <v>0</v>
      </c>
      <c r="AF50" s="891">
        <f>IF(NFI_Expiration=1,IF($A50&lt;VLOOKUP(Q$5,NFI,5,0),1,0)*Data_NFI_t[[#This Row],[Plastic Bucket]],0)</f>
        <v>64</v>
      </c>
      <c r="AG50" s="890">
        <f>IF(NFI_Expiration=1,IF($A50&lt;VLOOKUP(R$5,NFI,5,0),1,0)*Data_NFI_t[[#This Row],[Jerry Can]],0)</f>
        <v>64</v>
      </c>
      <c r="AH50" s="901">
        <f>IF(NFI_Expiration=1,IF($A50&lt;VLOOKUP(S$5,NFI,5,0),1,0)*Data_NFI_t[[#This Row],[Plastic Mat]],0)</f>
        <v>64</v>
      </c>
      <c r="AI50" s="901">
        <f>IF(NFI_Expiration=1,IF($A50&lt;VLOOKUP(T$5,NFI,5,0),1,0)*Data_NFI_t[[#This Row],[Adult Clothes]],0)</f>
        <v>0</v>
      </c>
      <c r="AJ50" s="890">
        <f>IF(NFI_Expiration=1,IF($A50&lt;VLOOKUP(U$5,NFI,5,0),1,0)*Data_NFI_t[[#This Row],[Children Clothes]],0)</f>
        <v>0</v>
      </c>
      <c r="AK50" s="890">
        <f>IF(NFI_Expiration=1,IF($A50&lt;VLOOKUP(V$5,NFI,5,0),1,0)*Data_NFI_t[[#This Row],[Sewing Kit]],0)</f>
        <v>0</v>
      </c>
      <c r="AL50" s="901">
        <f>IF(NFI_Expiration=1,IF($A50&lt;VLOOKUP(V$5,NFI,5,0),1,0)*Data_NFI_t[[#This Row],[Solar Lantern]],0)</f>
        <v>0</v>
      </c>
      <c r="AM50" s="890" t="str">
        <f ca="1">IFERROR(OFFSET(Camp_List[P_Code],MATCH(Data_NFI_t[[#This Row],[Camp Name]],Camp_List[Camp Name],0)-1,0,1,1),"")</f>
        <v>MMR012CMP048</v>
      </c>
      <c r="AN50" s="892" t="str">
        <f ca="1">IFERROR(OFFSET(Camp_List[Status],MATCH(Data_NFI_t[[#This Row],[Camp Name]],Camp_List[Camp Name],0)-1,0,1,1),"")</f>
        <v>Open</v>
      </c>
      <c r="AO50" s="131"/>
    </row>
    <row r="51" spans="1:44" ht="19.5" customHeight="1" x14ac:dyDescent="0.25">
      <c r="A51" s="242">
        <f t="shared" si="2"/>
        <v>5.2333333333333334</v>
      </c>
      <c r="B51" s="790">
        <v>2016</v>
      </c>
      <c r="C51" s="913">
        <v>42699</v>
      </c>
      <c r="D51" s="790" t="s">
        <v>970</v>
      </c>
      <c r="E51" s="790" t="s">
        <v>970</v>
      </c>
      <c r="F51" s="790" t="s">
        <v>7</v>
      </c>
      <c r="G51" s="790" t="s">
        <v>19</v>
      </c>
      <c r="H51" s="790" t="s">
        <v>628</v>
      </c>
      <c r="I51" s="790"/>
      <c r="J51" s="790">
        <v>624</v>
      </c>
      <c r="K51" s="790">
        <v>656</v>
      </c>
      <c r="L51" s="790">
        <v>1248</v>
      </c>
      <c r="M51" s="790"/>
      <c r="N51" s="790">
        <v>624</v>
      </c>
      <c r="O51" s="790"/>
      <c r="P51" s="790"/>
      <c r="Q51" s="790">
        <v>1248</v>
      </c>
      <c r="R51" s="790">
        <v>1248</v>
      </c>
      <c r="S51" s="790">
        <v>1248</v>
      </c>
      <c r="T51" s="790"/>
      <c r="U51" s="790"/>
      <c r="V51" s="790"/>
      <c r="W51" s="790"/>
      <c r="X51" s="790">
        <f>IF(NFI_Expiration=1,IF($A51&lt;VLOOKUP(I$5,NFI,5,0),1,0)*Data_NFI_t[[#This Row],[Hygiene Kit]],0)</f>
        <v>0</v>
      </c>
      <c r="Y51" s="790">
        <f>IF(NFI_Expiration=1,IF($A51&lt;VLOOKUP(J$5,NFI,5,0),1,0)*Data_NFI_t[[#This Row],[NFI Core Kit]],0)</f>
        <v>624</v>
      </c>
      <c r="Z51" s="790">
        <f>IF(NFI_Expiration=1,IF($A51&lt;VLOOKUP(K$5,NFI,5,0),1,0)*Data_NFI_t[[#This Row],[Sanitary Kit]],0)</f>
        <v>656</v>
      </c>
      <c r="AA51" s="790">
        <f>IF(NFI_Expiration=1,IF($A51&lt;VLOOKUP(L$5,NFI,5,0),1,0)*Data_NFI_t[[#This Row],[Mosquito net]],0)</f>
        <v>1248</v>
      </c>
      <c r="AB51" s="790">
        <f>IF(NFI_Expiration=1,IF($A51&lt;VLOOKUP(M$5,NFI,5,0),1,0)*Data_NFI_t[[#This Row],[Tarpaulin]],0)</f>
        <v>0</v>
      </c>
      <c r="AC51" s="790">
        <f>IF(NFI_Expiration=1,IF($A51&lt;VLOOKUP(N$5,NFI,5,0),1,0)*Data_NFI_t[[#This Row],[Blanket]],0)</f>
        <v>624</v>
      </c>
      <c r="AD51" s="790">
        <f>IF(NFI_Expiration=1,IF($A51&lt;VLOOKUP(O$5,NFI,5,0),1,0)*Data_NFI_t[[#This Row],[Kitchen Set]],0)</f>
        <v>0</v>
      </c>
      <c r="AE51" s="790">
        <f>IF(NFI_Expiration=1,IF($A51&lt;VLOOKUP(P$5,NFI,5,0),1,0)*Data_NFI_t[[#This Row],[Complementary Kit]],0)</f>
        <v>0</v>
      </c>
      <c r="AF51" s="790">
        <f>IF(NFI_Expiration=1,IF($A51&lt;VLOOKUP(Q$5,NFI,5,0),1,0)*Data_NFI_t[[#This Row],[Plastic Bucket]],0)</f>
        <v>1248</v>
      </c>
      <c r="AG51" s="790">
        <f>IF(NFI_Expiration=1,IF($A51&lt;VLOOKUP(R$5,NFI,5,0),1,0)*Data_NFI_t[[#This Row],[Jerry Can]],0)</f>
        <v>1248</v>
      </c>
      <c r="AH51" s="901">
        <f>IF(NFI_Expiration=1,IF($A51&lt;VLOOKUP(S$5,NFI,5,0),1,0)*Data_NFI_t[[#This Row],[Plastic Mat]],0)</f>
        <v>1248</v>
      </c>
      <c r="AI51" s="901">
        <f>IF(NFI_Expiration=1,IF($A51&lt;VLOOKUP(T$5,NFI,5,0),1,0)*Data_NFI_t[[#This Row],[Adult Clothes]],0)</f>
        <v>0</v>
      </c>
      <c r="AJ51" s="790">
        <f>IF(NFI_Expiration=1,IF($A51&lt;VLOOKUP(U$5,NFI,5,0),1,0)*Data_NFI_t[[#This Row],[Children Clothes]],0)</f>
        <v>0</v>
      </c>
      <c r="AK51" s="790">
        <f>IF(NFI_Expiration=1,IF($A51&lt;VLOOKUP(V$5,NFI,5,0),1,0)*Data_NFI_t[[#This Row],[Sewing Kit]],0)</f>
        <v>0</v>
      </c>
      <c r="AL51" s="901">
        <f>IF(NFI_Expiration=1,IF($A51&lt;VLOOKUP(V$5,NFI,5,0),1,0)*Data_NFI_t[[#This Row],[Solar Lantern]],0)</f>
        <v>0</v>
      </c>
      <c r="AM51" s="790" t="str">
        <f ca="1">IFERROR(OFFSET(Camp_List[P_Code],MATCH(Data_NFI_t[[#This Row],[Camp Name]],Camp_List[Camp Name],0)-1,0,1,1),"")</f>
        <v>MMR012CMP092</v>
      </c>
      <c r="AN51" s="790" t="str">
        <f ca="1">IFERROR(OFFSET(Camp_List[Status],MATCH(Data_NFI_t[[#This Row],[Camp Name]],Camp_List[Camp Name],0)-1,0,1,1),"")</f>
        <v>Open</v>
      </c>
      <c r="AO51" s="131"/>
    </row>
    <row r="52" spans="1:44" s="789" customFormat="1" ht="19.5" customHeight="1" x14ac:dyDescent="0.25">
      <c r="A52" s="242">
        <f t="shared" si="2"/>
        <v>5.5333333333333332</v>
      </c>
      <c r="B52" s="522">
        <v>2016</v>
      </c>
      <c r="C52" s="913">
        <v>42690</v>
      </c>
      <c r="D52" s="489" t="s">
        <v>706</v>
      </c>
      <c r="E52" s="488" t="s">
        <v>706</v>
      </c>
      <c r="F52" s="489" t="s">
        <v>7</v>
      </c>
      <c r="G52" s="790" t="s">
        <v>866</v>
      </c>
      <c r="H52" s="790" t="s">
        <v>38</v>
      </c>
      <c r="I52" s="790"/>
      <c r="J52" s="51"/>
      <c r="K52" s="51"/>
      <c r="L52" s="119"/>
      <c r="M52" s="119"/>
      <c r="N52" s="119"/>
      <c r="O52" s="119"/>
      <c r="P52" s="119">
        <v>195</v>
      </c>
      <c r="Q52" s="119"/>
      <c r="R52" s="512"/>
      <c r="S52" s="119"/>
      <c r="T52" s="119"/>
      <c r="U52" s="119"/>
      <c r="V52" s="119"/>
      <c r="W52" s="119"/>
      <c r="X52" s="131">
        <f>IF(NFI_Expiration=1,IF($A52&lt;VLOOKUP(I$5,NFI,5,0),1,0)*Data_NFI_t[[#This Row],[Hygiene Kit]],0)</f>
        <v>0</v>
      </c>
      <c r="Y52" s="131">
        <f>IF(NFI_Expiration=1,IF($A52&lt;VLOOKUP(J$5,NFI,5,0),1,0)*Data_NFI_t[[#This Row],[NFI Core Kit]],0)</f>
        <v>0</v>
      </c>
      <c r="Z52" s="112">
        <f>IF(NFI_Expiration=1,IF($A52&lt;VLOOKUP(K$5,NFI,5,0),1,0)*Data_NFI_t[[#This Row],[Sanitary Kit]],0)</f>
        <v>0</v>
      </c>
      <c r="AA52" s="112">
        <f>IF(NFI_Expiration=1,IF($A52&lt;VLOOKUP(L$5,NFI,5,0),1,0)*Data_NFI_t[[#This Row],[Mosquito net]],0)</f>
        <v>0</v>
      </c>
      <c r="AB52" s="112">
        <f>IF(NFI_Expiration=1,IF($A52&lt;VLOOKUP(M$5,NFI,5,0),1,0)*Data_NFI_t[[#This Row],[Tarpaulin]],0)</f>
        <v>0</v>
      </c>
      <c r="AC52" s="112">
        <f>IF(NFI_Expiration=1,IF($A52&lt;VLOOKUP(N$5,NFI,5,0),1,0)*Data_NFI_t[[#This Row],[Blanket]],0)</f>
        <v>0</v>
      </c>
      <c r="AD52" s="112">
        <f>IF(NFI_Expiration=1,IF($A52&lt;VLOOKUP(O$5,NFI,5,0),1,0)*Data_NFI_t[[#This Row],[Kitchen Set]],0)</f>
        <v>0</v>
      </c>
      <c r="AE52" s="112">
        <f>IF(NFI_Expiration=1,IF($A52&lt;VLOOKUP(P$5,NFI,5,0),1,0)*Data_NFI_t[[#This Row],[Complementary Kit]],0)</f>
        <v>195</v>
      </c>
      <c r="AF52" s="112">
        <f>IF(NFI_Expiration=1,IF($A52&lt;VLOOKUP(Q$5,NFI,5,0),1,0)*Data_NFI_t[[#This Row],[Plastic Bucket]],0)</f>
        <v>0</v>
      </c>
      <c r="AG52" s="131">
        <f>IF(NFI_Expiration=1,IF($A52&lt;VLOOKUP(R$5,NFI,5,0),1,0)*Data_NFI_t[[#This Row],[Jerry Can]],0)</f>
        <v>0</v>
      </c>
      <c r="AH52" s="901">
        <f>IF(NFI_Expiration=1,IF($A52&lt;VLOOKUP(S$5,NFI,5,0),1,0)*Data_NFI_t[[#This Row],[Plastic Mat]],0)</f>
        <v>0</v>
      </c>
      <c r="AI52" s="901">
        <f>IF(NFI_Expiration=1,IF($A52&lt;VLOOKUP(T$5,NFI,5,0),1,0)*Data_NFI_t[[#This Row],[Adult Clothes]],0)</f>
        <v>0</v>
      </c>
      <c r="AJ52" s="131">
        <f>IF(NFI_Expiration=1,IF($A52&lt;VLOOKUP(U$5,NFI,5,0),1,0)*Data_NFI_t[[#This Row],[Children Clothes]],0)</f>
        <v>0</v>
      </c>
      <c r="AK52" s="131">
        <f>IF(NFI_Expiration=1,IF($A52&lt;VLOOKUP(V$5,NFI,5,0),1,0)*Data_NFI_t[[#This Row],[Sewing Kit]],0)</f>
        <v>0</v>
      </c>
      <c r="AL52" s="901">
        <f>IF(NFI_Expiration=1,IF($A52&lt;VLOOKUP(V$5,NFI,5,0),1,0)*Data_NFI_t[[#This Row],[Solar Lantern]],0)</f>
        <v>0</v>
      </c>
      <c r="AM52" s="131" t="str">
        <f ca="1">IFERROR(OFFSET(Camp_List[P_Code],MATCH(Data_NFI_t[[#This Row],[Camp Name]],Camp_List[Camp Name],0)-1,0,1,1),"")</f>
        <v>MMR012CMP014</v>
      </c>
      <c r="AN52" s="513" t="str">
        <f ca="1">IFERROR(OFFSET(Camp_List[Status],MATCH(Data_NFI_t[[#This Row],[Camp Name]],Camp_List[Camp Name],0)-1,0,1,1),"")</f>
        <v>Open</v>
      </c>
      <c r="AO52" s="131"/>
    </row>
    <row r="53" spans="1:44" s="789" customFormat="1" ht="19.5" customHeight="1" x14ac:dyDescent="0.25">
      <c r="A53" s="242">
        <f t="shared" si="2"/>
        <v>5.7333333333333334</v>
      </c>
      <c r="B53" s="522">
        <v>2016</v>
      </c>
      <c r="C53" s="913">
        <v>42684</v>
      </c>
      <c r="D53" s="489" t="s">
        <v>1117</v>
      </c>
      <c r="E53" s="488" t="s">
        <v>1117</v>
      </c>
      <c r="F53" s="489" t="s">
        <v>7</v>
      </c>
      <c r="G53" s="790" t="s">
        <v>14</v>
      </c>
      <c r="H53" s="790" t="s">
        <v>1067</v>
      </c>
      <c r="I53" s="790"/>
      <c r="J53" s="51"/>
      <c r="K53" s="51"/>
      <c r="L53" s="119"/>
      <c r="M53" s="119"/>
      <c r="N53" s="119"/>
      <c r="O53" s="119">
        <v>856</v>
      </c>
      <c r="P53" s="119"/>
      <c r="Q53" s="119"/>
      <c r="R53" s="512"/>
      <c r="S53" s="119"/>
      <c r="T53" s="119"/>
      <c r="U53" s="119"/>
      <c r="V53" s="119"/>
      <c r="W53" s="119"/>
      <c r="X53" s="131">
        <f>IF(NFI_Expiration=1,IF($A53&lt;VLOOKUP(I$5,NFI,5,0),1,0)*Data_NFI_t[[#This Row],[Hygiene Kit]],0)</f>
        <v>0</v>
      </c>
      <c r="Y53" s="131">
        <f>IF(NFI_Expiration=1,IF($A53&lt;VLOOKUP(J$5,NFI,5,0),1,0)*Data_NFI_t[[#This Row],[NFI Core Kit]],0)</f>
        <v>0</v>
      </c>
      <c r="Z53" s="112">
        <f>IF(NFI_Expiration=1,IF($A53&lt;VLOOKUP(K$5,NFI,5,0),1,0)*Data_NFI_t[[#This Row],[Sanitary Kit]],0)</f>
        <v>0</v>
      </c>
      <c r="AA53" s="112">
        <f>IF(NFI_Expiration=1,IF($A53&lt;VLOOKUP(L$5,NFI,5,0),1,0)*Data_NFI_t[[#This Row],[Mosquito net]],0)</f>
        <v>0</v>
      </c>
      <c r="AB53" s="112">
        <f>IF(NFI_Expiration=1,IF($A53&lt;VLOOKUP(M$5,NFI,5,0),1,0)*Data_NFI_t[[#This Row],[Tarpaulin]],0)</f>
        <v>0</v>
      </c>
      <c r="AC53" s="112">
        <f>IF(NFI_Expiration=1,IF($A53&lt;VLOOKUP(N$5,NFI,5,0),1,0)*Data_NFI_t[[#This Row],[Blanket]],0)</f>
        <v>0</v>
      </c>
      <c r="AD53" s="112">
        <f>IF(NFI_Expiration=1,IF($A53&lt;VLOOKUP(O$5,NFI,5,0),1,0)*Data_NFI_t[[#This Row],[Kitchen Set]],0)</f>
        <v>856</v>
      </c>
      <c r="AE53" s="112">
        <f>IF(NFI_Expiration=1,IF($A53&lt;VLOOKUP(P$5,NFI,5,0),1,0)*Data_NFI_t[[#This Row],[Complementary Kit]],0)</f>
        <v>0</v>
      </c>
      <c r="AF53" s="112">
        <f>IF(NFI_Expiration=1,IF($A53&lt;VLOOKUP(Q$5,NFI,5,0),1,0)*Data_NFI_t[[#This Row],[Plastic Bucket]],0)</f>
        <v>0</v>
      </c>
      <c r="AG53" s="131">
        <f>IF(NFI_Expiration=1,IF($A53&lt;VLOOKUP(R$5,NFI,5,0),1,0)*Data_NFI_t[[#This Row],[Jerry Can]],0)</f>
        <v>0</v>
      </c>
      <c r="AH53" s="901">
        <f>IF(NFI_Expiration=1,IF($A53&lt;VLOOKUP(S$5,NFI,5,0),1,0)*Data_NFI_t[[#This Row],[Plastic Mat]],0)</f>
        <v>0</v>
      </c>
      <c r="AI53" s="901">
        <f>IF(NFI_Expiration=1,IF($A53&lt;VLOOKUP(T$5,NFI,5,0),1,0)*Data_NFI_t[[#This Row],[Adult Clothes]],0)</f>
        <v>0</v>
      </c>
      <c r="AJ53" s="131">
        <f>IF(NFI_Expiration=1,IF($A53&lt;VLOOKUP(U$5,NFI,5,0),1,0)*Data_NFI_t[[#This Row],[Children Clothes]],0)</f>
        <v>0</v>
      </c>
      <c r="AK53" s="131">
        <f>IF(NFI_Expiration=1,IF($A53&lt;VLOOKUP(V$5,NFI,5,0),1,0)*Data_NFI_t[[#This Row],[Sewing Kit]],0)</f>
        <v>0</v>
      </c>
      <c r="AL53" s="901">
        <f>IF(NFI_Expiration=1,IF($A53&lt;VLOOKUP(V$5,NFI,5,0),1,0)*Data_NFI_t[[#This Row],[Solar Lantern]],0)</f>
        <v>0</v>
      </c>
      <c r="AM53" s="131" t="str">
        <f ca="1">IFERROR(OFFSET(Camp_List[P_Code],MATCH(Data_NFI_t[[#This Row],[Camp Name]],Camp_List[Camp Name],0)-1,0,1,1),"")</f>
        <v>MMR012CMP017</v>
      </c>
      <c r="AN53" s="513" t="str">
        <f ca="1">IFERROR(OFFSET(Camp_List[Status],MATCH(Data_NFI_t[[#This Row],[Camp Name]],Camp_List[Camp Name],0)-1,0,1,1),"")</f>
        <v>Open</v>
      </c>
      <c r="AO53" s="131"/>
    </row>
    <row r="54" spans="1:44" ht="19.5" customHeight="1" x14ac:dyDescent="0.25">
      <c r="A54" s="242">
        <f t="shared" si="2"/>
        <v>5.8</v>
      </c>
      <c r="B54" s="790">
        <v>2016</v>
      </c>
      <c r="C54" s="913">
        <v>42682</v>
      </c>
      <c r="D54" s="790" t="s">
        <v>706</v>
      </c>
      <c r="E54" s="790" t="s">
        <v>706</v>
      </c>
      <c r="F54" s="790" t="s">
        <v>7</v>
      </c>
      <c r="G54" s="790" t="s">
        <v>866</v>
      </c>
      <c r="H54" s="790" t="s">
        <v>38</v>
      </c>
      <c r="I54" s="790">
        <v>734</v>
      </c>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901">
        <f>IF(NFI_Expiration=1,IF($A54&lt;VLOOKUP(S$5,NFI,5,0),1,0)*Data_NFI_t[[#This Row],[Plastic Mat]],0)</f>
        <v>0</v>
      </c>
      <c r="AI54" s="901">
        <f>IF(NFI_Expiration=1,IF($A54&lt;VLOOKUP(T$5,NFI,5,0),1,0)*Data_NFI_t[[#This Row],[Adult Clothes]],0)</f>
        <v>0</v>
      </c>
      <c r="AJ54" s="790">
        <f>IF(NFI_Expiration=1,IF($A54&lt;VLOOKUP(U$5,NFI,5,0),1,0)*Data_NFI_t[[#This Row],[Children Clothes]],0)</f>
        <v>0</v>
      </c>
      <c r="AK54" s="790">
        <f>IF(NFI_Expiration=1,IF($A54&lt;VLOOKUP(V$5,NFI,5,0),1,0)*Data_NFI_t[[#This Row],[Sewing Kit]],0)</f>
        <v>0</v>
      </c>
      <c r="AL54" s="901">
        <f>IF(NFI_Expiration=1,IF($A54&lt;VLOOKUP(V$5,NFI,5,0),1,0)*Data_NFI_t[[#This Row],[Solar Lantern]],0)</f>
        <v>0</v>
      </c>
      <c r="AM54" s="131" t="str">
        <f ca="1">IFERROR(OFFSET(Camp_List[P_Code],MATCH(Data_NFI_t[[#This Row],[Camp Name]],Camp_List[Camp Name],0)-1,0,1,1),"")</f>
        <v>MMR012CMP014</v>
      </c>
      <c r="AN54" s="513" t="str">
        <f ca="1">IFERROR(OFFSET(Camp_List[Status],MATCH(Data_NFI_t[[#This Row],[Camp Name]],Camp_List[Camp Name],0)-1,0,1,1),"")</f>
        <v>Open</v>
      </c>
      <c r="AO54" s="131"/>
    </row>
    <row r="55" spans="1:44" s="789" customFormat="1" ht="19.5" customHeight="1" x14ac:dyDescent="0.25">
      <c r="A55" s="242">
        <f t="shared" si="2"/>
        <v>7.2</v>
      </c>
      <c r="B55" s="522">
        <f>YEAR(Data_NFI_t[[#This Row],[Distribution Date]])</f>
        <v>2016</v>
      </c>
      <c r="C55" s="913">
        <v>42640</v>
      </c>
      <c r="D55" s="489" t="s">
        <v>970</v>
      </c>
      <c r="E55" s="488" t="s">
        <v>970</v>
      </c>
      <c r="F55" s="489" t="s">
        <v>7</v>
      </c>
      <c r="G55" s="790" t="s">
        <v>19</v>
      </c>
      <c r="H55" s="790" t="s">
        <v>70</v>
      </c>
      <c r="I55" s="790"/>
      <c r="J55" s="51">
        <v>973</v>
      </c>
      <c r="K55" s="51"/>
      <c r="L55" s="119">
        <v>973</v>
      </c>
      <c r="M55" s="119"/>
      <c r="N55" s="119">
        <v>973</v>
      </c>
      <c r="O55" s="119"/>
      <c r="P55" s="119"/>
      <c r="Q55" s="119">
        <v>1964</v>
      </c>
      <c r="R55" s="512">
        <v>1964</v>
      </c>
      <c r="S55" s="119">
        <v>1964</v>
      </c>
      <c r="T55" s="119"/>
      <c r="U55" s="119"/>
      <c r="V55" s="119"/>
      <c r="W55" s="119"/>
      <c r="X55" s="131">
        <f>IF(NFI_Expiration=1,IF($A55&lt;VLOOKUP(I$5,NFI,5,0),1,0)*Data_NFI_t[[#This Row],[Hygiene Kit]],0)</f>
        <v>0</v>
      </c>
      <c r="Y55" s="131">
        <f>IF(NFI_Expiration=1,IF($A55&lt;VLOOKUP(J$5,NFI,5,0),1,0)*Data_NFI_t[[#This Row],[NFI Core Kit]],0)</f>
        <v>973</v>
      </c>
      <c r="Z55" s="112">
        <f>IF(NFI_Expiration=1,IF($A55&lt;VLOOKUP(K$5,NFI,5,0),1,0)*Data_NFI_t[[#This Row],[Sanitary Kit]],0)</f>
        <v>0</v>
      </c>
      <c r="AA55" s="112">
        <f>IF(NFI_Expiration=1,IF($A55&lt;VLOOKUP(L$5,NFI,5,0),1,0)*Data_NFI_t[[#This Row],[Mosquito net]],0)</f>
        <v>973</v>
      </c>
      <c r="AB55" s="112">
        <f>IF(NFI_Expiration=1,IF($A55&lt;VLOOKUP(M$5,NFI,5,0),1,0)*Data_NFI_t[[#This Row],[Tarpaulin]],0)</f>
        <v>0</v>
      </c>
      <c r="AC55" s="112">
        <f>IF(NFI_Expiration=1,IF($A55&lt;VLOOKUP(N$5,NFI,5,0),1,0)*Data_NFI_t[[#This Row],[Blanket]],0)</f>
        <v>973</v>
      </c>
      <c r="AD55" s="112">
        <f>IF(NFI_Expiration=1,IF($A55&lt;VLOOKUP(O$5,NFI,5,0),1,0)*Data_NFI_t[[#This Row],[Kitchen Set]],0)</f>
        <v>0</v>
      </c>
      <c r="AE55" s="112">
        <f>IF(NFI_Expiration=1,IF($A55&lt;VLOOKUP(P$5,NFI,5,0),1,0)*Data_NFI_t[[#This Row],[Complementary Kit]],0)</f>
        <v>0</v>
      </c>
      <c r="AF55" s="112">
        <f>IF(NFI_Expiration=1,IF($A55&lt;VLOOKUP(Q$5,NFI,5,0),1,0)*Data_NFI_t[[#This Row],[Plastic Bucket]],0)</f>
        <v>1964</v>
      </c>
      <c r="AG55" s="131">
        <f>IF(NFI_Expiration=1,IF($A55&lt;VLOOKUP(R$5,NFI,5,0),1,0)*Data_NFI_t[[#This Row],[Jerry Can]],0)</f>
        <v>1964</v>
      </c>
      <c r="AH55" s="901">
        <f>IF(NFI_Expiration=1,IF($A55&lt;VLOOKUP(S$5,NFI,5,0),1,0)*Data_NFI_t[[#This Row],[Plastic Mat]],0)</f>
        <v>1964</v>
      </c>
      <c r="AI55" s="901">
        <f>IF(NFI_Expiration=1,IF($A55&lt;VLOOKUP(T$5,NFI,5,0),1,0)*Data_NFI_t[[#This Row],[Adult Clothes]],0)</f>
        <v>0</v>
      </c>
      <c r="AJ55" s="131">
        <f>IF(NFI_Expiration=1,IF($A55&lt;VLOOKUP(U$5,NFI,5,0),1,0)*Data_NFI_t[[#This Row],[Children Clothes]],0)</f>
        <v>0</v>
      </c>
      <c r="AK55" s="131">
        <f>IF(NFI_Expiration=1,IF($A55&lt;VLOOKUP(V$5,NFI,5,0),1,0)*Data_NFI_t[[#This Row],[Sewing Kit]],0)</f>
        <v>0</v>
      </c>
      <c r="AL55" s="901">
        <f>IF(NFI_Expiration=1,IF($A55&lt;VLOOKUP(V$5,NFI,5,0),1,0)*Data_NFI_t[[#This Row],[Solar Lantern]],0)</f>
        <v>0</v>
      </c>
      <c r="AM55" s="131" t="str">
        <f ca="1">IFERROR(OFFSET(Camp_List[P_Code],MATCH(Data_NFI_t[[#This Row],[Camp Name]],Camp_List[Camp Name],0)-1,0,1,1),"")</f>
        <v>MMR012CMP048</v>
      </c>
      <c r="AN55" s="513" t="str">
        <f ca="1">IFERROR(OFFSET(Camp_List[Status],MATCH(Data_NFI_t[[#This Row],[Camp Name]],Camp_List[Camp Name],0)-1,0,1,1),"")</f>
        <v>Open</v>
      </c>
      <c r="AO55" s="131"/>
    </row>
    <row r="56" spans="1:44" s="789" customFormat="1" ht="19.5" customHeight="1" x14ac:dyDescent="0.25">
      <c r="A56" s="242">
        <f t="shared" si="2"/>
        <v>8.9666666666666668</v>
      </c>
      <c r="B56" s="522">
        <f>YEAR(Data_NFI_t[[#This Row],[Distribution Date]])</f>
        <v>2016</v>
      </c>
      <c r="C56" s="913">
        <v>42587</v>
      </c>
      <c r="D56" s="489" t="s">
        <v>706</v>
      </c>
      <c r="E56" s="488" t="s">
        <v>706</v>
      </c>
      <c r="F56" s="489" t="s">
        <v>7</v>
      </c>
      <c r="G56" s="790" t="s">
        <v>866</v>
      </c>
      <c r="H56" s="790" t="s">
        <v>38</v>
      </c>
      <c r="I56" s="790">
        <v>703</v>
      </c>
      <c r="J56" s="51"/>
      <c r="K56" s="51"/>
      <c r="L56" s="119"/>
      <c r="M56" s="119"/>
      <c r="N56" s="119"/>
      <c r="O56" s="119"/>
      <c r="P56" s="119"/>
      <c r="Q56" s="119"/>
      <c r="R56" s="512"/>
      <c r="S56" s="119"/>
      <c r="T56" s="119"/>
      <c r="U56" s="119"/>
      <c r="V56" s="119"/>
      <c r="W56" s="119"/>
      <c r="X56" s="131">
        <f>IF(NFI_Expiration=1,IF($A56&lt;VLOOKUP(I$5,NFI,5,0),1,0)*Data_NFI_t[[#This Row],[Hygiene Kit]],0)</f>
        <v>703</v>
      </c>
      <c r="Y56" s="131">
        <f>IF(NFI_Expiration=1,IF($A56&lt;VLOOKUP(J$5,NFI,5,0),1,0)*Data_NFI_t[[#This Row],[NFI Core Kit]],0)</f>
        <v>0</v>
      </c>
      <c r="Z56" s="112">
        <f>IF(NFI_Expiration=1,IF($A56&lt;VLOOKUP(K$5,NFI,5,0),1,0)*Data_NFI_t[[#This Row],[Sanitary Kit]],0)</f>
        <v>0</v>
      </c>
      <c r="AA56" s="112">
        <f>IF(NFI_Expiration=1,IF($A56&lt;VLOOKUP(L$5,NFI,5,0),1,0)*Data_NFI_t[[#This Row],[Mosquito net]],0)</f>
        <v>0</v>
      </c>
      <c r="AB56" s="112">
        <f>IF(NFI_Expiration=1,IF($A56&lt;VLOOKUP(M$5,NFI,5,0),1,0)*Data_NFI_t[[#This Row],[Tarpaulin]],0)</f>
        <v>0</v>
      </c>
      <c r="AC56" s="112">
        <f>IF(NFI_Expiration=1,IF($A56&lt;VLOOKUP(N$5,NFI,5,0),1,0)*Data_NFI_t[[#This Row],[Blanket]],0)</f>
        <v>0</v>
      </c>
      <c r="AD56" s="112">
        <f>IF(NFI_Expiration=1,IF($A56&lt;VLOOKUP(O$5,NFI,5,0),1,0)*Data_NFI_t[[#This Row],[Kitchen Set]],0)</f>
        <v>0</v>
      </c>
      <c r="AE56" s="112">
        <f>IF(NFI_Expiration=1,IF($A56&lt;VLOOKUP(P$5,NFI,5,0),1,0)*Data_NFI_t[[#This Row],[Complementary Kit]],0)</f>
        <v>0</v>
      </c>
      <c r="AF56" s="112">
        <f>IF(NFI_Expiration=1,IF($A56&lt;VLOOKUP(Q$5,NFI,5,0),1,0)*Data_NFI_t[[#This Row],[Plastic Bucket]],0)</f>
        <v>0</v>
      </c>
      <c r="AG56" s="131">
        <f>IF(NFI_Expiration=1,IF($A56&lt;VLOOKUP(R$5,NFI,5,0),1,0)*Data_NFI_t[[#This Row],[Jerry Can]],0)</f>
        <v>0</v>
      </c>
      <c r="AH56" s="901">
        <f>IF(NFI_Expiration=1,IF($A56&lt;VLOOKUP(S$5,NFI,5,0),1,0)*Data_NFI_t[[#This Row],[Plastic Mat]],0)</f>
        <v>0</v>
      </c>
      <c r="AI56" s="901">
        <f>IF(NFI_Expiration=1,IF($A56&lt;VLOOKUP(T$5,NFI,5,0),1,0)*Data_NFI_t[[#This Row],[Adult Clothes]],0)</f>
        <v>0</v>
      </c>
      <c r="AJ56" s="131">
        <f>IF(NFI_Expiration=1,IF($A56&lt;VLOOKUP(U$5,NFI,5,0),1,0)*Data_NFI_t[[#This Row],[Children Clothes]],0)</f>
        <v>0</v>
      </c>
      <c r="AK56" s="131">
        <f>IF(NFI_Expiration=1,IF($A56&lt;VLOOKUP(V$5,NFI,5,0),1,0)*Data_NFI_t[[#This Row],[Sewing Kit]],0)</f>
        <v>0</v>
      </c>
      <c r="AL56" s="901">
        <f>IF(NFI_Expiration=1,IF($A56&lt;VLOOKUP(V$5,NFI,5,0),1,0)*Data_NFI_t[[#This Row],[Solar Lantern]],0)</f>
        <v>0</v>
      </c>
      <c r="AM56" s="131" t="str">
        <f ca="1">IFERROR(OFFSET(Camp_List[P_Code],MATCH(Data_NFI_t[[#This Row],[Camp Name]],Camp_List[Camp Name],0)-1,0,1,1),"")</f>
        <v>MMR012CMP014</v>
      </c>
      <c r="AN56" s="513" t="str">
        <f ca="1">IFERROR(OFFSET(Camp_List[Status],MATCH(Data_NFI_t[[#This Row],[Camp Name]],Camp_List[Camp Name],0)-1,0,1,1),"")</f>
        <v>Open</v>
      </c>
      <c r="AO56" s="131"/>
    </row>
    <row r="57" spans="1:44" s="90" customFormat="1" ht="19.5" customHeight="1" x14ac:dyDescent="0.25">
      <c r="A57" s="242">
        <f t="shared" si="2"/>
        <v>8.9666666666666668</v>
      </c>
      <c r="B57" s="522">
        <f>YEAR(Data_NFI_t[[#This Row],[Distribution Date]])</f>
        <v>2016</v>
      </c>
      <c r="C57" s="913">
        <v>42587</v>
      </c>
      <c r="D57" s="489" t="s">
        <v>706</v>
      </c>
      <c r="E57" s="488" t="s">
        <v>706</v>
      </c>
      <c r="F57" s="489" t="s">
        <v>7</v>
      </c>
      <c r="G57" s="790" t="s">
        <v>866</v>
      </c>
      <c r="H57" s="790" t="s">
        <v>37</v>
      </c>
      <c r="I57" s="790">
        <v>40</v>
      </c>
      <c r="J57" s="51"/>
      <c r="K57" s="51"/>
      <c r="L57" s="119"/>
      <c r="M57" s="119"/>
      <c r="N57" s="119"/>
      <c r="O57" s="119"/>
      <c r="P57" s="119"/>
      <c r="Q57" s="119"/>
      <c r="R57" s="512"/>
      <c r="S57" s="119"/>
      <c r="T57" s="119"/>
      <c r="U57" s="119"/>
      <c r="V57" s="119"/>
      <c r="W57" s="119"/>
      <c r="X57" s="131">
        <f>IF(NFI_Expiration=1,IF($A57&lt;VLOOKUP(I$5,NFI,5,0),1,0)*Data_NFI_t[[#This Row],[Hygiene Kit]],0)</f>
        <v>40</v>
      </c>
      <c r="Y57" s="131">
        <f>IF(NFI_Expiration=1,IF($A57&lt;VLOOKUP(J$5,NFI,5,0),1,0)*Data_NFI_t[[#This Row],[NFI Core Kit]],0)</f>
        <v>0</v>
      </c>
      <c r="Z57" s="112">
        <f>IF(NFI_Expiration=1,IF($A57&lt;VLOOKUP(K$5,NFI,5,0),1,0)*Data_NFI_t[[#This Row],[Sanitary Kit]],0)</f>
        <v>0</v>
      </c>
      <c r="AA57" s="112">
        <f>IF(NFI_Expiration=1,IF($A57&lt;VLOOKUP(L$5,NFI,5,0),1,0)*Data_NFI_t[[#This Row],[Mosquito net]],0)</f>
        <v>0</v>
      </c>
      <c r="AB57" s="112">
        <f>IF(NFI_Expiration=1,IF($A57&lt;VLOOKUP(M$5,NFI,5,0),1,0)*Data_NFI_t[[#This Row],[Tarpaulin]],0)</f>
        <v>0</v>
      </c>
      <c r="AC57" s="112">
        <f>IF(NFI_Expiration=1,IF($A57&lt;VLOOKUP(N$5,NFI,5,0),1,0)*Data_NFI_t[[#This Row],[Blanket]],0)</f>
        <v>0</v>
      </c>
      <c r="AD57" s="112">
        <f>IF(NFI_Expiration=1,IF($A57&lt;VLOOKUP(O$5,NFI,5,0),1,0)*Data_NFI_t[[#This Row],[Kitchen Set]],0)</f>
        <v>0</v>
      </c>
      <c r="AE57" s="112">
        <f>IF(NFI_Expiration=1,IF($A57&lt;VLOOKUP(P$5,NFI,5,0),1,0)*Data_NFI_t[[#This Row],[Complementary Kit]],0)</f>
        <v>0</v>
      </c>
      <c r="AF57" s="112">
        <f>IF(NFI_Expiration=1,IF($A57&lt;VLOOKUP(Q$5,NFI,5,0),1,0)*Data_NFI_t[[#This Row],[Plastic Bucket]],0)</f>
        <v>0</v>
      </c>
      <c r="AG57" s="131">
        <f>IF(NFI_Expiration=1,IF($A57&lt;VLOOKUP(R$5,NFI,5,0),1,0)*Data_NFI_t[[#This Row],[Jerry Can]],0)</f>
        <v>0</v>
      </c>
      <c r="AH57" s="901">
        <f>IF(NFI_Expiration=1,IF($A57&lt;VLOOKUP(S$5,NFI,5,0),1,0)*Data_NFI_t[[#This Row],[Plastic Mat]],0)</f>
        <v>0</v>
      </c>
      <c r="AI57" s="901">
        <f>IF(NFI_Expiration=1,IF($A57&lt;VLOOKUP(T$5,NFI,5,0),1,0)*Data_NFI_t[[#This Row],[Adult Clothes]],0)</f>
        <v>0</v>
      </c>
      <c r="AJ57" s="131">
        <f>IF(NFI_Expiration=1,IF($A57&lt;VLOOKUP(U$5,NFI,5,0),1,0)*Data_NFI_t[[#This Row],[Children Clothes]],0)</f>
        <v>0</v>
      </c>
      <c r="AK57" s="131">
        <f>IF(NFI_Expiration=1,IF($A57&lt;VLOOKUP(V$5,NFI,5,0),1,0)*Data_NFI_t[[#This Row],[Sewing Kit]],0)</f>
        <v>0</v>
      </c>
      <c r="AL57" s="901">
        <f>IF(NFI_Expiration=1,IF($A57&lt;VLOOKUP(V$5,NFI,5,0),1,0)*Data_NFI_t[[#This Row],[Solar Lantern]],0)</f>
        <v>0</v>
      </c>
      <c r="AM57" s="131" t="str">
        <f ca="1">IFERROR(OFFSET(Camp_List[P_Code],MATCH(Data_NFI_t[[#This Row],[Camp Name]],Camp_List[Camp Name],0)-1,0,1,1),"")</f>
        <v>MMR012CMP013</v>
      </c>
      <c r="AN57" s="513" t="str">
        <f ca="1">IFERROR(OFFSET(Camp_List[Status],MATCH(Data_NFI_t[[#This Row],[Camp Name]],Camp_List[Camp Name],0)-1,0,1,1),"")</f>
        <v>Relocated</v>
      </c>
      <c r="AO57" s="131"/>
    </row>
    <row r="58" spans="1:44" s="90" customFormat="1" ht="19.5" customHeight="1" x14ac:dyDescent="0.25">
      <c r="A58" s="242">
        <f t="shared" si="2"/>
        <v>10.466666666666667</v>
      </c>
      <c r="B58" s="522">
        <f>YEAR(Data_NFI_t[[#This Row],[Distribution Date]])</f>
        <v>2016</v>
      </c>
      <c r="C58" s="913">
        <v>42542</v>
      </c>
      <c r="D58" s="489" t="s">
        <v>285</v>
      </c>
      <c r="E58" s="488" t="s">
        <v>285</v>
      </c>
      <c r="F58" s="489" t="s">
        <v>7</v>
      </c>
      <c r="G58" s="790" t="s">
        <v>607</v>
      </c>
      <c r="H58" s="790" t="s">
        <v>58</v>
      </c>
      <c r="I58" s="790">
        <v>65</v>
      </c>
      <c r="J58" s="51">
        <v>65</v>
      </c>
      <c r="K58" s="51"/>
      <c r="L58" s="119"/>
      <c r="M58" s="119"/>
      <c r="N58" s="119">
        <v>65</v>
      </c>
      <c r="O58" s="119"/>
      <c r="P58" s="119"/>
      <c r="Q58" s="119"/>
      <c r="R58" s="512"/>
      <c r="S58" s="119"/>
      <c r="T58" s="119"/>
      <c r="U58" s="119"/>
      <c r="V58" s="119"/>
      <c r="W58" s="119"/>
      <c r="X58" s="131">
        <f>IF(NFI_Expiration=1,IF($A58&lt;VLOOKUP(I$5,NFI,5,0),1,0)*Data_NFI_t[[#This Row],[Hygiene Kit]],0)</f>
        <v>65</v>
      </c>
      <c r="Y58" s="131">
        <f>IF(NFI_Expiration=1,IF($A58&lt;VLOOKUP(J$5,NFI,5,0),1,0)*Data_NFI_t[[#This Row],[NFI Core Kit]],0)</f>
        <v>65</v>
      </c>
      <c r="Z58" s="112">
        <f>IF(NFI_Expiration=1,IF($A58&lt;VLOOKUP(K$5,NFI,5,0),1,0)*Data_NFI_t[[#This Row],[Sanitary Kit]],0)</f>
        <v>0</v>
      </c>
      <c r="AA58" s="112">
        <f>IF(NFI_Expiration=1,IF($A58&lt;VLOOKUP(L$5,NFI,5,0),1,0)*Data_NFI_t[[#This Row],[Mosquito net]],0)</f>
        <v>0</v>
      </c>
      <c r="AB58" s="112">
        <f>IF(NFI_Expiration=1,IF($A58&lt;VLOOKUP(M$5,NFI,5,0),1,0)*Data_NFI_t[[#This Row],[Tarpaulin]],0)</f>
        <v>0</v>
      </c>
      <c r="AC58" s="112">
        <f>IF(NFI_Expiration=1,IF($A58&lt;VLOOKUP(N$5,NFI,5,0),1,0)*Data_NFI_t[[#This Row],[Blanket]],0)</f>
        <v>65</v>
      </c>
      <c r="AD58" s="112">
        <f>IF(NFI_Expiration=1,IF($A58&lt;VLOOKUP(O$5,NFI,5,0),1,0)*Data_NFI_t[[#This Row],[Kitchen Set]],0)</f>
        <v>0</v>
      </c>
      <c r="AE58" s="112">
        <f>IF(NFI_Expiration=1,IF($A58&lt;VLOOKUP(P$5,NFI,5,0),1,0)*Data_NFI_t[[#This Row],[Complementary Kit]],0)</f>
        <v>0</v>
      </c>
      <c r="AF58" s="112">
        <f>IF(NFI_Expiration=1,IF($A58&lt;VLOOKUP(Q$5,NFI,5,0),1,0)*Data_NFI_t[[#This Row],[Plastic Bucket]],0)</f>
        <v>0</v>
      </c>
      <c r="AG58" s="131">
        <f>IF(NFI_Expiration=1,IF($A58&lt;VLOOKUP(R$5,NFI,5,0),1,0)*Data_NFI_t[[#This Row],[Jerry Can]],0)</f>
        <v>0</v>
      </c>
      <c r="AH58" s="901">
        <f>IF(NFI_Expiration=1,IF($A58&lt;VLOOKUP(S$5,NFI,5,0),1,0)*Data_NFI_t[[#This Row],[Plastic Mat]],0)</f>
        <v>0</v>
      </c>
      <c r="AI58" s="901">
        <f>IF(NFI_Expiration=1,IF($A58&lt;VLOOKUP(T$5,NFI,5,0),1,0)*Data_NFI_t[[#This Row],[Adult Clothes]],0)</f>
        <v>0</v>
      </c>
      <c r="AJ58" s="131">
        <f>IF(NFI_Expiration=1,IF($A58&lt;VLOOKUP(U$5,NFI,5,0),1,0)*Data_NFI_t[[#This Row],[Children Clothes]],0)</f>
        <v>0</v>
      </c>
      <c r="AK58" s="131">
        <f>IF(NFI_Expiration=1,IF($A58&lt;VLOOKUP(V$5,NFI,5,0),1,0)*Data_NFI_t[[#This Row],[Sewing Kit]],0)</f>
        <v>0</v>
      </c>
      <c r="AL58" s="901">
        <f>IF(NFI_Expiration=1,IF($A58&lt;VLOOKUP(V$5,NFI,5,0),1,0)*Data_NFI_t[[#This Row],[Solar Lantern]],0)</f>
        <v>0</v>
      </c>
      <c r="AM58" s="131" t="str">
        <f ca="1">IFERROR(OFFSET(Camp_List[P_Code],MATCH(Data_NFI_t[[#This Row],[Camp Name]],Camp_List[Camp Name],0)-1,0,1,1),"")</f>
        <v>MMR012CMP035</v>
      </c>
      <c r="AN58" s="513" t="str">
        <f ca="1">IFERROR(OFFSET(Camp_List[Status],MATCH(Data_NFI_t[[#This Row],[Camp Name]],Camp_List[Camp Name],0)-1,0,1,1),"")</f>
        <v>Open</v>
      </c>
      <c r="AO58" s="131"/>
    </row>
    <row r="59" spans="1:44" s="90" customFormat="1" ht="19.5" customHeight="1" x14ac:dyDescent="0.25">
      <c r="A59" s="242">
        <f t="shared" si="2"/>
        <v>10.5</v>
      </c>
      <c r="B59" s="522">
        <f>YEAR(Data_NFI_t[[#This Row],[Distribution Date]])</f>
        <v>2016</v>
      </c>
      <c r="C59" s="913">
        <v>42541</v>
      </c>
      <c r="D59" s="489" t="s">
        <v>285</v>
      </c>
      <c r="E59" s="488" t="s">
        <v>285</v>
      </c>
      <c r="F59" s="489" t="s">
        <v>7</v>
      </c>
      <c r="G59" s="790" t="s">
        <v>607</v>
      </c>
      <c r="H59" s="790" t="s">
        <v>474</v>
      </c>
      <c r="I59" s="790"/>
      <c r="J59" s="51">
        <v>427</v>
      </c>
      <c r="K59" s="51"/>
      <c r="L59" s="119"/>
      <c r="M59" s="119"/>
      <c r="N59" s="119">
        <v>854</v>
      </c>
      <c r="O59" s="119"/>
      <c r="P59" s="119"/>
      <c r="Q59" s="119"/>
      <c r="R59" s="512"/>
      <c r="S59" s="119"/>
      <c r="T59" s="119"/>
      <c r="U59" s="119"/>
      <c r="V59" s="119"/>
      <c r="W59" s="119"/>
      <c r="X59" s="131">
        <f>IF(NFI_Expiration=1,IF($A59&lt;VLOOKUP(I$5,NFI,5,0),1,0)*Data_NFI_t[[#This Row],[Hygiene Kit]],0)</f>
        <v>0</v>
      </c>
      <c r="Y59" s="131">
        <f>IF(NFI_Expiration=1,IF($A59&lt;VLOOKUP(J$5,NFI,5,0),1,0)*Data_NFI_t[[#This Row],[NFI Core Kit]],0)</f>
        <v>427</v>
      </c>
      <c r="Z59" s="112">
        <f>IF(NFI_Expiration=1,IF($A59&lt;VLOOKUP(K$5,NFI,5,0),1,0)*Data_NFI_t[[#This Row],[Sanitary Kit]],0)</f>
        <v>0</v>
      </c>
      <c r="AA59" s="112">
        <f>IF(NFI_Expiration=1,IF($A59&lt;VLOOKUP(L$5,NFI,5,0),1,0)*Data_NFI_t[[#This Row],[Mosquito net]],0)</f>
        <v>0</v>
      </c>
      <c r="AB59" s="112">
        <f>IF(NFI_Expiration=1,IF($A59&lt;VLOOKUP(M$5,NFI,5,0),1,0)*Data_NFI_t[[#This Row],[Tarpaulin]],0)</f>
        <v>0</v>
      </c>
      <c r="AC59" s="112">
        <f>IF(NFI_Expiration=1,IF($A59&lt;VLOOKUP(N$5,NFI,5,0),1,0)*Data_NFI_t[[#This Row],[Blanket]],0)</f>
        <v>854</v>
      </c>
      <c r="AD59" s="112">
        <f>IF(NFI_Expiration=1,IF($A59&lt;VLOOKUP(O$5,NFI,5,0),1,0)*Data_NFI_t[[#This Row],[Kitchen Set]],0)</f>
        <v>0</v>
      </c>
      <c r="AE59" s="112">
        <f>IF(NFI_Expiration=1,IF($A59&lt;VLOOKUP(P$5,NFI,5,0),1,0)*Data_NFI_t[[#This Row],[Complementary Kit]],0)</f>
        <v>0</v>
      </c>
      <c r="AF59" s="112">
        <f>IF(NFI_Expiration=1,IF($A59&lt;VLOOKUP(Q$5,NFI,5,0),1,0)*Data_NFI_t[[#This Row],[Plastic Bucket]],0)</f>
        <v>0</v>
      </c>
      <c r="AG59" s="131">
        <f>IF(NFI_Expiration=1,IF($A59&lt;VLOOKUP(R$5,NFI,5,0),1,0)*Data_NFI_t[[#This Row],[Jerry Can]],0)</f>
        <v>0</v>
      </c>
      <c r="AH59" s="901">
        <f>IF(NFI_Expiration=1,IF($A59&lt;VLOOKUP(S$5,NFI,5,0),1,0)*Data_NFI_t[[#This Row],[Plastic Mat]],0)</f>
        <v>0</v>
      </c>
      <c r="AI59" s="901">
        <f>IF(NFI_Expiration=1,IF($A59&lt;VLOOKUP(T$5,NFI,5,0),1,0)*Data_NFI_t[[#This Row],[Adult Clothes]],0)</f>
        <v>0</v>
      </c>
      <c r="AJ59" s="131">
        <f>IF(NFI_Expiration=1,IF($A59&lt;VLOOKUP(U$5,NFI,5,0),1,0)*Data_NFI_t[[#This Row],[Children Clothes]],0)</f>
        <v>0</v>
      </c>
      <c r="AK59" s="131">
        <f>IF(NFI_Expiration=1,IF($A59&lt;VLOOKUP(V$5,NFI,5,0),1,0)*Data_NFI_t[[#This Row],[Sewing Kit]],0)</f>
        <v>0</v>
      </c>
      <c r="AL59" s="901">
        <f>IF(NFI_Expiration=1,IF($A59&lt;VLOOKUP(V$5,NFI,5,0),1,0)*Data_NFI_t[[#This Row],[Solar Lantern]],0)</f>
        <v>0</v>
      </c>
      <c r="AM59" s="131" t="str">
        <f ca="1">IFERROR(OFFSET(Camp_List[P_Code],MATCH(Data_NFI_t[[#This Row],[Camp Name]],Camp_List[Camp Name],0)-1,0,1,1),"")</f>
        <v>MMR012CMP036</v>
      </c>
      <c r="AN59" s="513" t="str">
        <f ca="1">IFERROR(OFFSET(Camp_List[Status],MATCH(Data_NFI_t[[#This Row],[Camp Name]],Camp_List[Camp Name],0)-1,0,1,1),"")</f>
        <v>Open</v>
      </c>
      <c r="AO59" s="131"/>
    </row>
    <row r="60" spans="1:44" s="90" customFormat="1" ht="19.5" customHeight="1" x14ac:dyDescent="0.25">
      <c r="A60" s="242">
        <f t="shared" si="2"/>
        <v>11.2</v>
      </c>
      <c r="B60" s="522">
        <f>YEAR(Data_NFI_t[[#This Row],[Distribution Date]])</f>
        <v>2016</v>
      </c>
      <c r="C60" s="913">
        <v>42520</v>
      </c>
      <c r="D60" s="489" t="s">
        <v>285</v>
      </c>
      <c r="E60" s="488" t="s">
        <v>623</v>
      </c>
      <c r="F60" s="489" t="s">
        <v>7</v>
      </c>
      <c r="G60" s="790" t="s">
        <v>14</v>
      </c>
      <c r="H60" s="790" t="s">
        <v>40</v>
      </c>
      <c r="I60" s="790"/>
      <c r="J60" s="51"/>
      <c r="K60" s="51"/>
      <c r="L60" s="119"/>
      <c r="M60" s="119">
        <v>60</v>
      </c>
      <c r="N60" s="119"/>
      <c r="O60" s="119"/>
      <c r="P60" s="119"/>
      <c r="Q60" s="119"/>
      <c r="R60" s="512"/>
      <c r="S60" s="119"/>
      <c r="T60" s="119"/>
      <c r="U60" s="119"/>
      <c r="V60" s="119"/>
      <c r="W60" s="119"/>
      <c r="X60" s="131">
        <f>IF(NFI_Expiration=1,IF($A60&lt;VLOOKUP(I$5,NFI,5,0),1,0)*Data_NFI_t[[#This Row],[Hygiene Kit]],0)</f>
        <v>0</v>
      </c>
      <c r="Y60" s="131">
        <f>IF(NFI_Expiration=1,IF($A60&lt;VLOOKUP(J$5,NFI,5,0),1,0)*Data_NFI_t[[#This Row],[NFI Core Kit]],0)</f>
        <v>0</v>
      </c>
      <c r="Z60" s="112">
        <f>IF(NFI_Expiration=1,IF($A60&lt;VLOOKUP(K$5,NFI,5,0),1,0)*Data_NFI_t[[#This Row],[Sanitary Kit]],0)</f>
        <v>0</v>
      </c>
      <c r="AA60" s="112">
        <f>IF(NFI_Expiration=1,IF($A60&lt;VLOOKUP(L$5,NFI,5,0),1,0)*Data_NFI_t[[#This Row],[Mosquito net]],0)</f>
        <v>0</v>
      </c>
      <c r="AB60" s="112">
        <f>IF(NFI_Expiration=1,IF($A60&lt;VLOOKUP(M$5,NFI,5,0),1,0)*Data_NFI_t[[#This Row],[Tarpaulin]],0)</f>
        <v>60</v>
      </c>
      <c r="AC60" s="112">
        <f>IF(NFI_Expiration=1,IF($A60&lt;VLOOKUP(N$5,NFI,5,0),1,0)*Data_NFI_t[[#This Row],[Blanket]],0)</f>
        <v>0</v>
      </c>
      <c r="AD60" s="112">
        <f>IF(NFI_Expiration=1,IF($A60&lt;VLOOKUP(O$5,NFI,5,0),1,0)*Data_NFI_t[[#This Row],[Kitchen Set]],0)</f>
        <v>0</v>
      </c>
      <c r="AE60" s="112">
        <f>IF(NFI_Expiration=1,IF($A60&lt;VLOOKUP(P$5,NFI,5,0),1,0)*Data_NFI_t[[#This Row],[Complementary Kit]],0)</f>
        <v>0</v>
      </c>
      <c r="AF60" s="112">
        <f>IF(NFI_Expiration=1,IF($A60&lt;VLOOKUP(Q$5,NFI,5,0),1,0)*Data_NFI_t[[#This Row],[Plastic Bucket]],0)</f>
        <v>0</v>
      </c>
      <c r="AG60" s="131">
        <f>IF(NFI_Expiration=1,IF($A60&lt;VLOOKUP(R$5,NFI,5,0),1,0)*Data_NFI_t[[#This Row],[Jerry Can]],0)</f>
        <v>0</v>
      </c>
      <c r="AH60" s="901">
        <f>IF(NFI_Expiration=1,IF($A60&lt;VLOOKUP(S$5,NFI,5,0),1,0)*Data_NFI_t[[#This Row],[Plastic Mat]],0)</f>
        <v>0</v>
      </c>
      <c r="AI60" s="901">
        <f>IF(NFI_Expiration=1,IF($A60&lt;VLOOKUP(T$5,NFI,5,0),1,0)*Data_NFI_t[[#This Row],[Adult Clothes]],0)</f>
        <v>0</v>
      </c>
      <c r="AJ60" s="131">
        <f>IF(NFI_Expiration=1,IF($A60&lt;VLOOKUP(U$5,NFI,5,0),1,0)*Data_NFI_t[[#This Row],[Children Clothes]],0)</f>
        <v>0</v>
      </c>
      <c r="AK60" s="131">
        <f>IF(NFI_Expiration=1,IF($A60&lt;VLOOKUP(V$5,NFI,5,0),1,0)*Data_NFI_t[[#This Row],[Sewing Kit]],0)</f>
        <v>0</v>
      </c>
      <c r="AL60" s="901">
        <f>IF(NFI_Expiration=1,IF($A60&lt;VLOOKUP(V$5,NFI,5,0),1,0)*Data_NFI_t[[#This Row],[Solar Lantern]],0)</f>
        <v>0</v>
      </c>
      <c r="AM60" s="131" t="str">
        <f ca="1">IFERROR(OFFSET(Camp_List[P_Code],MATCH(Data_NFI_t[[#This Row],[Camp Name]],Camp_List[Camp Name],0)-1,0,1,1),"")</f>
        <v>MMR012CMP016</v>
      </c>
      <c r="AN60" s="513" t="str">
        <f ca="1">IFERROR(OFFSET(Camp_List[Status],MATCH(Data_NFI_t[[#This Row],[Camp Name]],Camp_List[Camp Name],0)-1,0,1,1),"")</f>
        <v>Open</v>
      </c>
      <c r="AO60" s="131"/>
    </row>
    <row r="61" spans="1:44" s="90" customFormat="1" ht="19.5" customHeight="1" x14ac:dyDescent="0.25">
      <c r="A61" s="242">
        <f t="shared" si="2"/>
        <v>12</v>
      </c>
      <c r="B61" s="522">
        <v>2016</v>
      </c>
      <c r="C61" s="913">
        <v>42496</v>
      </c>
      <c r="D61" s="489" t="s">
        <v>288</v>
      </c>
      <c r="E61" s="488" t="s">
        <v>288</v>
      </c>
      <c r="F61" s="489" t="s">
        <v>7</v>
      </c>
      <c r="G61" s="790" t="s">
        <v>19</v>
      </c>
      <c r="H61" s="790" t="s">
        <v>630</v>
      </c>
      <c r="I61" s="790"/>
      <c r="J61" s="51"/>
      <c r="K61" s="51">
        <v>424</v>
      </c>
      <c r="L61" s="119"/>
      <c r="M61" s="119">
        <v>424</v>
      </c>
      <c r="N61" s="119"/>
      <c r="O61" s="119"/>
      <c r="P61" s="119"/>
      <c r="Q61" s="119"/>
      <c r="R61" s="512"/>
      <c r="S61" s="119">
        <v>848</v>
      </c>
      <c r="T61" s="119"/>
      <c r="U61" s="119"/>
      <c r="V61" s="119"/>
      <c r="W61" s="119"/>
      <c r="X61" s="131">
        <f>IF(NFI_Expiration=1,IF($A61&lt;VLOOKUP(I$5,NFI,5,0),1,0)*Data_NFI_t[[#This Row],[Hygiene Kit]],0)</f>
        <v>0</v>
      </c>
      <c r="Y61" s="131">
        <f>IF(NFI_Expiration=1,IF($A61&lt;VLOOKUP(J$5,NFI,5,0),1,0)*Data_NFI_t[[#This Row],[NFI Core Kit]],0)</f>
        <v>0</v>
      </c>
      <c r="Z61" s="112">
        <f>IF(NFI_Expiration=1,IF($A61&lt;VLOOKUP(K$5,NFI,5,0),1,0)*Data_NFI_t[[#This Row],[Sanitary Kit]],0)</f>
        <v>0</v>
      </c>
      <c r="AA61" s="112">
        <f>IF(NFI_Expiration=1,IF($A61&lt;VLOOKUP(L$5,NFI,5,0),1,0)*Data_NFI_t[[#This Row],[Mosquito net]],0)</f>
        <v>0</v>
      </c>
      <c r="AB61" s="112">
        <f>IF(NFI_Expiration=1,IF($A61&lt;VLOOKUP(M$5,NFI,5,0),1,0)*Data_NFI_t[[#This Row],[Tarpaulin]],0)</f>
        <v>0</v>
      </c>
      <c r="AC61" s="112">
        <f>IF(NFI_Expiration=1,IF($A61&lt;VLOOKUP(N$5,NFI,5,0),1,0)*Data_NFI_t[[#This Row],[Blanket]],0)</f>
        <v>0</v>
      </c>
      <c r="AD61" s="112">
        <f>IF(NFI_Expiration=1,IF($A61&lt;VLOOKUP(O$5,NFI,5,0),1,0)*Data_NFI_t[[#This Row],[Kitchen Set]],0)</f>
        <v>0</v>
      </c>
      <c r="AE61" s="112">
        <f>IF(NFI_Expiration=1,IF($A61&lt;VLOOKUP(P$5,NFI,5,0),1,0)*Data_NFI_t[[#This Row],[Complementary Kit]],0)</f>
        <v>0</v>
      </c>
      <c r="AF61" s="112">
        <f>IF(NFI_Expiration=1,IF($A61&lt;VLOOKUP(Q$5,NFI,5,0),1,0)*Data_NFI_t[[#This Row],[Plastic Bucket]],0)</f>
        <v>0</v>
      </c>
      <c r="AG61" s="131">
        <f>IF(NFI_Expiration=1,IF($A61&lt;VLOOKUP(R$5,NFI,5,0),1,0)*Data_NFI_t[[#This Row],[Jerry Can]],0)</f>
        <v>0</v>
      </c>
      <c r="AH61" s="901">
        <f>IF(NFI_Expiration=1,IF($A61&lt;VLOOKUP(S$5,NFI,5,0),1,0)*Data_NFI_t[[#This Row],[Plastic Mat]],0)</f>
        <v>0</v>
      </c>
      <c r="AI61" s="901">
        <f>IF(NFI_Expiration=1,IF($A61&lt;VLOOKUP(T$5,NFI,5,0),1,0)*Data_NFI_t[[#This Row],[Adult Clothes]],0)</f>
        <v>0</v>
      </c>
      <c r="AJ61" s="131">
        <f>IF(NFI_Expiration=1,IF($A61&lt;VLOOKUP(U$5,NFI,5,0),1,0)*Data_NFI_t[[#This Row],[Children Clothes]],0)</f>
        <v>0</v>
      </c>
      <c r="AK61" s="131">
        <f>IF(NFI_Expiration=1,IF($A61&lt;VLOOKUP(V$5,NFI,5,0),1,0)*Data_NFI_t[[#This Row],[Sewing Kit]],0)</f>
        <v>0</v>
      </c>
      <c r="AL61" s="901">
        <f>IF(NFI_Expiration=1,IF($A61&lt;VLOOKUP(V$5,NFI,5,0),1,0)*Data_NFI_t[[#This Row],[Solar Lantern]],0)</f>
        <v>0</v>
      </c>
      <c r="AM61" s="131" t="str">
        <f ca="1">IFERROR(OFFSET(Camp_List[P_Code],MATCH(Data_NFI_t[[#This Row],[Camp Name]],Camp_List[Camp Name],0)-1,0,1,1),"")</f>
        <v>MMR012CMP114</v>
      </c>
      <c r="AN61" s="513" t="str">
        <f ca="1">IFERROR(OFFSET(Camp_List[Status],MATCH(Data_NFI_t[[#This Row],[Camp Name]],Camp_List[Camp Name],0)-1,0,1,1),"")</f>
        <v>Open</v>
      </c>
      <c r="AO61" s="131"/>
    </row>
    <row r="62" spans="1:44" s="90" customFormat="1" ht="19.5" customHeight="1" x14ac:dyDescent="0.25">
      <c r="A62" s="242">
        <f t="shared" si="2"/>
        <v>15.066666666666666</v>
      </c>
      <c r="B62" s="522">
        <v>2016</v>
      </c>
      <c r="C62" s="913">
        <v>42404</v>
      </c>
      <c r="D62" s="489" t="s">
        <v>285</v>
      </c>
      <c r="E62" s="488" t="s">
        <v>285</v>
      </c>
      <c r="F62" s="489" t="s">
        <v>7</v>
      </c>
      <c r="G62" s="790" t="s">
        <v>19</v>
      </c>
      <c r="H62" s="790" t="s">
        <v>67</v>
      </c>
      <c r="I62" s="790"/>
      <c r="J62" s="51"/>
      <c r="K62" s="51"/>
      <c r="L62" s="119">
        <v>3630</v>
      </c>
      <c r="M62" s="119">
        <v>1815</v>
      </c>
      <c r="N62" s="119">
        <v>1815</v>
      </c>
      <c r="O62" s="119">
        <v>1815</v>
      </c>
      <c r="P62" s="119"/>
      <c r="Q62" s="119">
        <v>1815</v>
      </c>
      <c r="R62" s="512">
        <v>1815</v>
      </c>
      <c r="S62" s="119">
        <v>9075</v>
      </c>
      <c r="T62" s="119"/>
      <c r="U62" s="119"/>
      <c r="V62" s="119"/>
      <c r="W62" s="119"/>
      <c r="X62" s="131">
        <f>IF(NFI_Expiration=1,IF($A62&lt;VLOOKUP(I$5,NFI,5,0),1,0)*Data_NFI_t[[#This Row],[Hygiene Kit]],0)</f>
        <v>0</v>
      </c>
      <c r="Y62" s="131">
        <f>IF(NFI_Expiration=1,IF($A62&lt;VLOOKUP(J$5,NFI,5,0),1,0)*Data_NFI_t[[#This Row],[NFI Core Kit]],0)</f>
        <v>0</v>
      </c>
      <c r="Z62" s="112">
        <f>IF(NFI_Expiration=1,IF($A62&lt;VLOOKUP(K$5,NFI,5,0),1,0)*Data_NFI_t[[#This Row],[Sanitary Kit]],0)</f>
        <v>0</v>
      </c>
      <c r="AA62" s="112">
        <f>IF(NFI_Expiration=1,IF($A62&lt;VLOOKUP(L$5,NFI,5,0),1,0)*Data_NFI_t[[#This Row],[Mosquito net]],0)</f>
        <v>0</v>
      </c>
      <c r="AB62" s="112">
        <f>IF(NFI_Expiration=1,IF($A62&lt;VLOOKUP(M$5,NFI,5,0),1,0)*Data_NFI_t[[#This Row],[Tarpaulin]],0)</f>
        <v>0</v>
      </c>
      <c r="AC62" s="112">
        <f>IF(NFI_Expiration=1,IF($A62&lt;VLOOKUP(N$5,NFI,5,0),1,0)*Data_NFI_t[[#This Row],[Blanket]],0)</f>
        <v>0</v>
      </c>
      <c r="AD62" s="112">
        <f>IF(NFI_Expiration=1,IF($A62&lt;VLOOKUP(O$5,NFI,5,0),1,0)*Data_NFI_t[[#This Row],[Kitchen Set]],0)</f>
        <v>0</v>
      </c>
      <c r="AE62" s="112">
        <f>IF(NFI_Expiration=1,IF($A62&lt;VLOOKUP(P$5,NFI,5,0),1,0)*Data_NFI_t[[#This Row],[Complementary Kit]],0)</f>
        <v>0</v>
      </c>
      <c r="AF62" s="112">
        <f>IF(NFI_Expiration=1,IF($A62&lt;VLOOKUP(Q$5,NFI,5,0),1,0)*Data_NFI_t[[#This Row],[Plastic Bucket]],0)</f>
        <v>0</v>
      </c>
      <c r="AG62" s="131">
        <f>IF(NFI_Expiration=1,IF($A62&lt;VLOOKUP(R$5,NFI,5,0),1,0)*Data_NFI_t[[#This Row],[Jerry Can]],0)</f>
        <v>0</v>
      </c>
      <c r="AH62" s="901">
        <f>IF(NFI_Expiration=1,IF($A62&lt;VLOOKUP(S$5,NFI,5,0),1,0)*Data_NFI_t[[#This Row],[Plastic Mat]],0)</f>
        <v>0</v>
      </c>
      <c r="AI62" s="901">
        <f>IF(NFI_Expiration=1,IF($A62&lt;VLOOKUP(T$5,NFI,5,0),1,0)*Data_NFI_t[[#This Row],[Adult Clothes]],0)</f>
        <v>0</v>
      </c>
      <c r="AJ62" s="131">
        <f>IF(NFI_Expiration=1,IF($A62&lt;VLOOKUP(U$5,NFI,5,0),1,0)*Data_NFI_t[[#This Row],[Children Clothes]],0)</f>
        <v>0</v>
      </c>
      <c r="AK62" s="131">
        <f>IF(NFI_Expiration=1,IF($A62&lt;VLOOKUP(V$5,NFI,5,0),1,0)*Data_NFI_t[[#This Row],[Sewing Kit]],0)</f>
        <v>0</v>
      </c>
      <c r="AL62" s="901">
        <f>IF(NFI_Expiration=1,IF($A62&lt;VLOOKUP(V$5,NFI,5,0),1,0)*Data_NFI_t[[#This Row],[Solar Lantern]],0)</f>
        <v>0</v>
      </c>
      <c r="AM62" s="131" t="str">
        <f ca="1">IFERROR(OFFSET(Camp_List[P_Code],MATCH(Data_NFI_t[[#This Row],[Camp Name]],Camp_List[Camp Name],0)-1,0,1,1),"")</f>
        <v>MMR012CMP045</v>
      </c>
      <c r="AN62" s="513" t="str">
        <f ca="1">IFERROR(OFFSET(Camp_List[Status],MATCH(Data_NFI_t[[#This Row],[Camp Name]],Camp_List[Camp Name],0)-1,0,1,1),"")</f>
        <v>Open</v>
      </c>
      <c r="AO62" s="131"/>
    </row>
    <row r="63" spans="1:44" s="90" customFormat="1" ht="19.5" customHeight="1" x14ac:dyDescent="0.25">
      <c r="A63" s="242">
        <f t="shared" si="2"/>
        <v>15.266666666666667</v>
      </c>
      <c r="B63" s="242">
        <v>2016</v>
      </c>
      <c r="C63" s="913">
        <v>42398</v>
      </c>
      <c r="D63" s="489" t="s">
        <v>285</v>
      </c>
      <c r="E63" s="488" t="s">
        <v>285</v>
      </c>
      <c r="F63" s="489" t="s">
        <v>7</v>
      </c>
      <c r="G63" s="790" t="s">
        <v>19</v>
      </c>
      <c r="H63" s="790" t="s">
        <v>27</v>
      </c>
      <c r="I63" s="790"/>
      <c r="J63" s="51"/>
      <c r="K63" s="51"/>
      <c r="L63" s="51">
        <v>6</v>
      </c>
      <c r="M63" s="51">
        <v>3</v>
      </c>
      <c r="N63" s="51">
        <v>6</v>
      </c>
      <c r="O63" s="51">
        <v>3</v>
      </c>
      <c r="P63" s="51"/>
      <c r="Q63" s="51">
        <v>3</v>
      </c>
      <c r="R63" s="511">
        <v>3</v>
      </c>
      <c r="S63" s="51">
        <v>15</v>
      </c>
      <c r="T63" s="51"/>
      <c r="U63" s="51"/>
      <c r="V63" s="51"/>
      <c r="W63" s="51"/>
      <c r="X63" s="131">
        <f>IF(NFI_Expiration=1,IF($A63&lt;VLOOKUP(I$5,NFI,5,0),1,0)*Data_NFI_t[[#This Row],[Hygiene Kit]],0)</f>
        <v>0</v>
      </c>
      <c r="Y63" s="131">
        <f>IF(NFI_Expiration=1,IF($A63&lt;VLOOKUP(J$5,NFI,5,0),1,0)*Data_NFI_t[[#This Row],[NFI Core Kit]],0)</f>
        <v>0</v>
      </c>
      <c r="Z63" s="112">
        <f>IF(NFI_Expiration=1,IF($A63&lt;VLOOKUP(K$5,NFI,5,0),1,0)*Data_NFI_t[[#This Row],[Sanitary Kit]],0)</f>
        <v>0</v>
      </c>
      <c r="AA63" s="112">
        <f>IF(NFI_Expiration=1,IF($A63&lt;VLOOKUP(L$5,NFI,5,0),1,0)*Data_NFI_t[[#This Row],[Mosquito net]],0)</f>
        <v>0</v>
      </c>
      <c r="AB63" s="112">
        <f>IF(NFI_Expiration=1,IF($A63&lt;VLOOKUP(M$5,NFI,5,0),1,0)*Data_NFI_t[[#This Row],[Tarpaulin]],0)</f>
        <v>0</v>
      </c>
      <c r="AC63" s="112">
        <f>IF(NFI_Expiration=1,IF($A63&lt;VLOOKUP(N$5,NFI,5,0),1,0)*Data_NFI_t[[#This Row],[Blanket]],0)</f>
        <v>0</v>
      </c>
      <c r="AD63" s="112">
        <f>IF(NFI_Expiration=1,IF($A63&lt;VLOOKUP(O$5,NFI,5,0),1,0)*Data_NFI_t[[#This Row],[Kitchen Set]],0)</f>
        <v>0</v>
      </c>
      <c r="AE63" s="112">
        <f>IF(NFI_Expiration=1,IF($A63&lt;VLOOKUP(P$5,NFI,5,0),1,0)*Data_NFI_t[[#This Row],[Complementary Kit]],0)</f>
        <v>0</v>
      </c>
      <c r="AF63" s="112">
        <f>IF(NFI_Expiration=1,IF($A63&lt;VLOOKUP(Q$5,NFI,5,0),1,0)*Data_NFI_t[[#This Row],[Plastic Bucket]],0)</f>
        <v>0</v>
      </c>
      <c r="AG63" s="131">
        <f>IF(NFI_Expiration=1,IF($A63&lt;VLOOKUP(R$5,NFI,5,0),1,0)*Data_NFI_t[[#This Row],[Jerry Can]],0)</f>
        <v>0</v>
      </c>
      <c r="AH63" s="901">
        <f>IF(NFI_Expiration=1,IF($A63&lt;VLOOKUP(S$5,NFI,5,0),1,0)*Data_NFI_t[[#This Row],[Plastic Mat]],0)</f>
        <v>0</v>
      </c>
      <c r="AI63" s="901">
        <f>IF(NFI_Expiration=1,IF($A63&lt;VLOOKUP(T$5,NFI,5,0),1,0)*Data_NFI_t[[#This Row],[Adult Clothes]],0)</f>
        <v>0</v>
      </c>
      <c r="AJ63" s="131">
        <f>IF(NFI_Expiration=1,IF($A63&lt;VLOOKUP(U$5,NFI,5,0),1,0)*Data_NFI_t[[#This Row],[Children Clothes]],0)</f>
        <v>0</v>
      </c>
      <c r="AK63" s="131">
        <f>IF(NFI_Expiration=1,IF($A63&lt;VLOOKUP(V$5,NFI,5,0),1,0)*Data_NFI_t[[#This Row],[Sewing Kit]],0)</f>
        <v>0</v>
      </c>
      <c r="AL63" s="901">
        <f>IF(NFI_Expiration=1,IF($A63&lt;VLOOKUP(V$5,NFI,5,0),1,0)*Data_NFI_t[[#This Row],[Solar Lantern]],0)</f>
        <v>0</v>
      </c>
      <c r="AM63" s="131" t="str">
        <f ca="1">IFERROR(OFFSET(Camp_List[P_Code],MATCH(Data_NFI_t[[#This Row],[Camp Name]],Camp_List[Camp Name],0)-1,0,1,1),"")</f>
        <v>MMR012CMP003</v>
      </c>
      <c r="AN63" s="513" t="str">
        <f ca="1">IFERROR(OFFSET(Camp_List[Status],MATCH(Data_NFI_t[[#This Row],[Camp Name]],Camp_List[Camp Name],0)-1,0,1,1),"")</f>
        <v>Returned</v>
      </c>
      <c r="AO63" s="131"/>
    </row>
    <row r="64" spans="1:44" s="90" customFormat="1" ht="19.5" customHeight="1" x14ac:dyDescent="0.25">
      <c r="A64" s="242">
        <f t="shared" si="2"/>
        <v>15.333333333333334</v>
      </c>
      <c r="B64" s="242">
        <v>2016</v>
      </c>
      <c r="C64" s="913">
        <v>42396</v>
      </c>
      <c r="D64" s="489" t="s">
        <v>706</v>
      </c>
      <c r="E64" s="488" t="s">
        <v>706</v>
      </c>
      <c r="F64" s="489" t="s">
        <v>7</v>
      </c>
      <c r="G64" s="790" t="s">
        <v>866</v>
      </c>
      <c r="H64" s="790" t="s">
        <v>37</v>
      </c>
      <c r="I64" s="790"/>
      <c r="J64" s="51"/>
      <c r="K64" s="51"/>
      <c r="L64" s="51">
        <v>42</v>
      </c>
      <c r="M64" s="51">
        <v>42</v>
      </c>
      <c r="N64" s="51"/>
      <c r="O64" s="51">
        <v>42</v>
      </c>
      <c r="P64" s="51"/>
      <c r="Q64" s="51"/>
      <c r="R64" s="511">
        <v>42</v>
      </c>
      <c r="S64" s="51"/>
      <c r="T64" s="51"/>
      <c r="U64" s="51"/>
      <c r="V64" s="51"/>
      <c r="W64" s="51"/>
      <c r="X64" s="131">
        <f>IF(NFI_Expiration=1,IF($A64&lt;VLOOKUP(I$5,NFI,5,0),1,0)*Data_NFI_t[[#This Row],[Hygiene Kit]],0)</f>
        <v>0</v>
      </c>
      <c r="Y64" s="131">
        <f>IF(NFI_Expiration=1,IF($A64&lt;VLOOKUP(J$5,NFI,5,0),1,0)*Data_NFI_t[[#This Row],[NFI Core Kit]],0)</f>
        <v>0</v>
      </c>
      <c r="Z64" s="112">
        <f>IF(NFI_Expiration=1,IF($A64&lt;VLOOKUP(K$5,NFI,5,0),1,0)*Data_NFI_t[[#This Row],[Sanitary Kit]],0)</f>
        <v>0</v>
      </c>
      <c r="AA64" s="112">
        <f>IF(NFI_Expiration=1,IF($A64&lt;VLOOKUP(L$5,NFI,5,0),1,0)*Data_NFI_t[[#This Row],[Mosquito net]],0)</f>
        <v>0</v>
      </c>
      <c r="AB64" s="112">
        <f>IF(NFI_Expiration=1,IF($A64&lt;VLOOKUP(M$5,NFI,5,0),1,0)*Data_NFI_t[[#This Row],[Tarpaulin]],0)</f>
        <v>0</v>
      </c>
      <c r="AC64" s="112">
        <f>IF(NFI_Expiration=1,IF($A64&lt;VLOOKUP(N$5,NFI,5,0),1,0)*Data_NFI_t[[#This Row],[Blanket]],0)</f>
        <v>0</v>
      </c>
      <c r="AD64" s="112">
        <f>IF(NFI_Expiration=1,IF($A64&lt;VLOOKUP(O$5,NFI,5,0),1,0)*Data_NFI_t[[#This Row],[Kitchen Set]],0)</f>
        <v>0</v>
      </c>
      <c r="AE64" s="112">
        <f>IF(NFI_Expiration=1,IF($A64&lt;VLOOKUP(P$5,NFI,5,0),1,0)*Data_NFI_t[[#This Row],[Complementary Kit]],0)</f>
        <v>0</v>
      </c>
      <c r="AF64" s="112">
        <f>IF(NFI_Expiration=1,IF($A64&lt;VLOOKUP(Q$5,NFI,5,0),1,0)*Data_NFI_t[[#This Row],[Plastic Bucket]],0)</f>
        <v>0</v>
      </c>
      <c r="AG64" s="131">
        <f>IF(NFI_Expiration=1,IF($A64&lt;VLOOKUP(R$5,NFI,5,0),1,0)*Data_NFI_t[[#This Row],[Jerry Can]],0)</f>
        <v>0</v>
      </c>
      <c r="AH64" s="901">
        <f>IF(NFI_Expiration=1,IF($A64&lt;VLOOKUP(S$5,NFI,5,0),1,0)*Data_NFI_t[[#This Row],[Plastic Mat]],0)</f>
        <v>0</v>
      </c>
      <c r="AI64" s="901">
        <f>IF(NFI_Expiration=1,IF($A64&lt;VLOOKUP(T$5,NFI,5,0),1,0)*Data_NFI_t[[#This Row],[Adult Clothes]],0)</f>
        <v>0</v>
      </c>
      <c r="AJ64" s="131">
        <f>IF(NFI_Expiration=1,IF($A64&lt;VLOOKUP(U$5,NFI,5,0),1,0)*Data_NFI_t[[#This Row],[Children Clothes]],0)</f>
        <v>0</v>
      </c>
      <c r="AK64" s="131">
        <f>IF(NFI_Expiration=1,IF($A64&lt;VLOOKUP(V$5,NFI,5,0),1,0)*Data_NFI_t[[#This Row],[Sewing Kit]],0)</f>
        <v>0</v>
      </c>
      <c r="AL64" s="901">
        <f>IF(NFI_Expiration=1,IF($A64&lt;VLOOKUP(V$5,NFI,5,0),1,0)*Data_NFI_t[[#This Row],[Solar Lantern]],0)</f>
        <v>0</v>
      </c>
      <c r="AM64" s="131" t="str">
        <f ca="1">IFERROR(OFFSET(Camp_List[P_Code],MATCH(Data_NFI_t[[#This Row],[Camp Name]],Camp_List[Camp Name],0)-1,0,1,1),"")</f>
        <v>MMR012CMP013</v>
      </c>
      <c r="AN64" s="513" t="str">
        <f ca="1">IFERROR(OFFSET(Camp_List[Status],MATCH(Data_NFI_t[[#This Row],[Camp Name]],Camp_List[Camp Name],0)-1,0,1,1),"")</f>
        <v>Relocated</v>
      </c>
      <c r="AO64" s="131"/>
    </row>
    <row r="65" spans="1:41" s="90" customFormat="1" ht="19.5" customHeight="1" x14ac:dyDescent="0.25">
      <c r="A65" s="242">
        <f t="shared" si="2"/>
        <v>15.333333333333334</v>
      </c>
      <c r="B65" s="242">
        <v>2016</v>
      </c>
      <c r="C65" s="913">
        <v>42396</v>
      </c>
      <c r="D65" s="489" t="s">
        <v>706</v>
      </c>
      <c r="E65" s="488" t="s">
        <v>706</v>
      </c>
      <c r="F65" s="489" t="s">
        <v>7</v>
      </c>
      <c r="G65" s="790" t="s">
        <v>866</v>
      </c>
      <c r="H65" s="790" t="s">
        <v>38</v>
      </c>
      <c r="I65" s="790"/>
      <c r="J65" s="51"/>
      <c r="K65" s="51"/>
      <c r="L65" s="51">
        <v>682</v>
      </c>
      <c r="M65" s="51">
        <v>682</v>
      </c>
      <c r="N65" s="51"/>
      <c r="O65" s="51">
        <v>682</v>
      </c>
      <c r="P65" s="51"/>
      <c r="Q65" s="51"/>
      <c r="R65" s="511">
        <v>682</v>
      </c>
      <c r="S65" s="51"/>
      <c r="T65" s="51"/>
      <c r="U65" s="51"/>
      <c r="V65" s="51"/>
      <c r="W65" s="51"/>
      <c r="X65" s="131">
        <f>IF(NFI_Expiration=1,IF($A65&lt;VLOOKUP(I$5,NFI,5,0),1,0)*Data_NFI_t[[#This Row],[Hygiene Kit]],0)</f>
        <v>0</v>
      </c>
      <c r="Y65" s="131">
        <f>IF(NFI_Expiration=1,IF($A65&lt;VLOOKUP(J$5,NFI,5,0),1,0)*Data_NFI_t[[#This Row],[NFI Core Kit]],0)</f>
        <v>0</v>
      </c>
      <c r="Z65" s="112">
        <f>IF(NFI_Expiration=1,IF($A65&lt;VLOOKUP(K$5,NFI,5,0),1,0)*Data_NFI_t[[#This Row],[Sanitary Kit]],0)</f>
        <v>0</v>
      </c>
      <c r="AA65" s="112">
        <f>IF(NFI_Expiration=1,IF($A65&lt;VLOOKUP(L$5,NFI,5,0),1,0)*Data_NFI_t[[#This Row],[Mosquito net]],0)</f>
        <v>0</v>
      </c>
      <c r="AB65" s="112">
        <f>IF(NFI_Expiration=1,IF($A65&lt;VLOOKUP(M$5,NFI,5,0),1,0)*Data_NFI_t[[#This Row],[Tarpaulin]],0)</f>
        <v>0</v>
      </c>
      <c r="AC65" s="112">
        <f>IF(NFI_Expiration=1,IF($A65&lt;VLOOKUP(N$5,NFI,5,0),1,0)*Data_NFI_t[[#This Row],[Blanket]],0)</f>
        <v>0</v>
      </c>
      <c r="AD65" s="112">
        <f>IF(NFI_Expiration=1,IF($A65&lt;VLOOKUP(O$5,NFI,5,0),1,0)*Data_NFI_t[[#This Row],[Kitchen Set]],0)</f>
        <v>0</v>
      </c>
      <c r="AE65" s="112">
        <f>IF(NFI_Expiration=1,IF($A65&lt;VLOOKUP(P$5,NFI,5,0),1,0)*Data_NFI_t[[#This Row],[Complementary Kit]],0)</f>
        <v>0</v>
      </c>
      <c r="AF65" s="112">
        <f>IF(NFI_Expiration=1,IF($A65&lt;VLOOKUP(Q$5,NFI,5,0),1,0)*Data_NFI_t[[#This Row],[Plastic Bucket]],0)</f>
        <v>0</v>
      </c>
      <c r="AG65" s="131">
        <f>IF(NFI_Expiration=1,IF($A65&lt;VLOOKUP(R$5,NFI,5,0),1,0)*Data_NFI_t[[#This Row],[Jerry Can]],0)</f>
        <v>0</v>
      </c>
      <c r="AH65" s="901">
        <f>IF(NFI_Expiration=1,IF($A65&lt;VLOOKUP(S$5,NFI,5,0),1,0)*Data_NFI_t[[#This Row],[Plastic Mat]],0)</f>
        <v>0</v>
      </c>
      <c r="AI65" s="901">
        <f>IF(NFI_Expiration=1,IF($A65&lt;VLOOKUP(T$5,NFI,5,0),1,0)*Data_NFI_t[[#This Row],[Adult Clothes]],0)</f>
        <v>0</v>
      </c>
      <c r="AJ65" s="131">
        <f>IF(NFI_Expiration=1,IF($A65&lt;VLOOKUP(U$5,NFI,5,0),1,0)*Data_NFI_t[[#This Row],[Children Clothes]],0)</f>
        <v>0</v>
      </c>
      <c r="AK65" s="131">
        <f>IF(NFI_Expiration=1,IF($A65&lt;VLOOKUP(V$5,NFI,5,0),1,0)*Data_NFI_t[[#This Row],[Sewing Kit]],0)</f>
        <v>0</v>
      </c>
      <c r="AL65" s="901">
        <f>IF(NFI_Expiration=1,IF($A65&lt;VLOOKUP(V$5,NFI,5,0),1,0)*Data_NFI_t[[#This Row],[Solar Lantern]],0)</f>
        <v>0</v>
      </c>
      <c r="AM65" s="131" t="str">
        <f ca="1">IFERROR(OFFSET(Camp_List[P_Code],MATCH(Data_NFI_t[[#This Row],[Camp Name]],Camp_List[Camp Name],0)-1,0,1,1),"")</f>
        <v>MMR012CMP014</v>
      </c>
      <c r="AN65" s="513" t="str">
        <f ca="1">IFERROR(OFFSET(Camp_List[Status],MATCH(Data_NFI_t[[#This Row],[Camp Name]],Camp_List[Camp Name],0)-1,0,1,1),"")</f>
        <v>Open</v>
      </c>
      <c r="AO65" s="131"/>
    </row>
    <row r="66" spans="1:41" s="90" customFormat="1" ht="19.5" customHeight="1" x14ac:dyDescent="0.25">
      <c r="A66" s="242">
        <f t="shared" si="2"/>
        <v>15.5</v>
      </c>
      <c r="B66" s="242">
        <v>2016</v>
      </c>
      <c r="C66" s="913">
        <v>42391</v>
      </c>
      <c r="D66" s="489" t="s">
        <v>285</v>
      </c>
      <c r="E66" s="488" t="s">
        <v>285</v>
      </c>
      <c r="F66" s="489" t="s">
        <v>7</v>
      </c>
      <c r="G66" s="790" t="s">
        <v>19</v>
      </c>
      <c r="H66" s="790" t="s">
        <v>47</v>
      </c>
      <c r="I66" s="790"/>
      <c r="J66" s="51">
        <v>85</v>
      </c>
      <c r="K66" s="51"/>
      <c r="L66" s="51">
        <v>170</v>
      </c>
      <c r="M66" s="51">
        <v>85</v>
      </c>
      <c r="N66" s="51">
        <v>85</v>
      </c>
      <c r="O66" s="51">
        <v>85</v>
      </c>
      <c r="P66" s="51"/>
      <c r="Q66" s="51">
        <v>85</v>
      </c>
      <c r="R66" s="511">
        <v>85</v>
      </c>
      <c r="S66" s="51">
        <v>425</v>
      </c>
      <c r="T66" s="51"/>
      <c r="U66" s="51"/>
      <c r="V66" s="51"/>
      <c r="W66" s="51"/>
      <c r="X66" s="131">
        <f>IF(NFI_Expiration=1,IF($A66&lt;VLOOKUP(I$5,NFI,5,0),1,0)*Data_NFI_t[[#This Row],[Hygiene Kit]],0)</f>
        <v>0</v>
      </c>
      <c r="Y66" s="131">
        <f>IF(NFI_Expiration=1,IF($A66&lt;VLOOKUP(J$5,NFI,5,0),1,0)*Data_NFI_t[[#This Row],[NFI Core Kit]],0)</f>
        <v>0</v>
      </c>
      <c r="Z66" s="112">
        <f>IF(NFI_Expiration=1,IF($A66&lt;VLOOKUP(K$5,NFI,5,0),1,0)*Data_NFI_t[[#This Row],[Sanitary Kit]],0)</f>
        <v>0</v>
      </c>
      <c r="AA66" s="112">
        <f>IF(NFI_Expiration=1,IF($A66&lt;VLOOKUP(L$5,NFI,5,0),1,0)*Data_NFI_t[[#This Row],[Mosquito net]],0)</f>
        <v>0</v>
      </c>
      <c r="AB66" s="112">
        <f>IF(NFI_Expiration=1,IF($A66&lt;VLOOKUP(M$5,NFI,5,0),1,0)*Data_NFI_t[[#This Row],[Tarpaulin]],0)</f>
        <v>0</v>
      </c>
      <c r="AC66" s="112">
        <f>IF(NFI_Expiration=1,IF($A66&lt;VLOOKUP(N$5,NFI,5,0),1,0)*Data_NFI_t[[#This Row],[Blanket]],0)</f>
        <v>0</v>
      </c>
      <c r="AD66" s="112">
        <f>IF(NFI_Expiration=1,IF($A66&lt;VLOOKUP(O$5,NFI,5,0),1,0)*Data_NFI_t[[#This Row],[Kitchen Set]],0)</f>
        <v>0</v>
      </c>
      <c r="AE66" s="112">
        <f>IF(NFI_Expiration=1,IF($A66&lt;VLOOKUP(P$5,NFI,5,0),1,0)*Data_NFI_t[[#This Row],[Complementary Kit]],0)</f>
        <v>0</v>
      </c>
      <c r="AF66" s="112">
        <f>IF(NFI_Expiration=1,IF($A66&lt;VLOOKUP(Q$5,NFI,5,0),1,0)*Data_NFI_t[[#This Row],[Plastic Bucket]],0)</f>
        <v>0</v>
      </c>
      <c r="AG66" s="131">
        <f>IF(NFI_Expiration=1,IF($A66&lt;VLOOKUP(R$5,NFI,5,0),1,0)*Data_NFI_t[[#This Row],[Jerry Can]],0)</f>
        <v>0</v>
      </c>
      <c r="AH66" s="901">
        <f>IF(NFI_Expiration=1,IF($A66&lt;VLOOKUP(S$5,NFI,5,0),1,0)*Data_NFI_t[[#This Row],[Plastic Mat]],0)</f>
        <v>0</v>
      </c>
      <c r="AI66" s="901">
        <f>IF(NFI_Expiration=1,IF($A66&lt;VLOOKUP(T$5,NFI,5,0),1,0)*Data_NFI_t[[#This Row],[Adult Clothes]],0)</f>
        <v>0</v>
      </c>
      <c r="AJ66" s="131">
        <f>IF(NFI_Expiration=1,IF($A66&lt;VLOOKUP(U$5,NFI,5,0),1,0)*Data_NFI_t[[#This Row],[Children Clothes]],0)</f>
        <v>0</v>
      </c>
      <c r="AK66" s="131">
        <f>IF(NFI_Expiration=1,IF($A66&lt;VLOOKUP(V$5,NFI,5,0),1,0)*Data_NFI_t[[#This Row],[Sewing Kit]],0)</f>
        <v>0</v>
      </c>
      <c r="AL66" s="901">
        <f>IF(NFI_Expiration=1,IF($A66&lt;VLOOKUP(V$5,NFI,5,0),1,0)*Data_NFI_t[[#This Row],[Solar Lantern]],0)</f>
        <v>0</v>
      </c>
      <c r="AM66" s="131" t="str">
        <f ca="1">IFERROR(OFFSET(Camp_List[P_Code],MATCH(Data_NFI_t[[#This Row],[Camp Name]],Camp_List[Camp Name],0)-1,0,1,1),"")</f>
        <v>MMR012CMP023</v>
      </c>
      <c r="AN66" s="513" t="str">
        <f ca="1">IFERROR(OFFSET(Camp_List[Status],MATCH(Data_NFI_t[[#This Row],[Camp Name]],Camp_List[Camp Name],0)-1,0,1,1),"")</f>
        <v>Open</v>
      </c>
      <c r="AO66" s="131"/>
    </row>
    <row r="67" spans="1:41" s="90" customFormat="1" ht="19.5" customHeight="1" x14ac:dyDescent="0.25">
      <c r="A67" s="242">
        <f t="shared" si="2"/>
        <v>16.966666666666665</v>
      </c>
      <c r="B67" s="242">
        <v>2015</v>
      </c>
      <c r="C67" s="913">
        <v>42347</v>
      </c>
      <c r="D67" s="489" t="s">
        <v>294</v>
      </c>
      <c r="E67" s="488" t="s">
        <v>623</v>
      </c>
      <c r="F67" s="489" t="s">
        <v>7</v>
      </c>
      <c r="G67" s="790" t="s">
        <v>19</v>
      </c>
      <c r="H67" s="790" t="s">
        <v>64</v>
      </c>
      <c r="I67" s="790"/>
      <c r="J67" s="51"/>
      <c r="K67" s="51"/>
      <c r="L67" s="51"/>
      <c r="M67" s="51"/>
      <c r="N67" s="51">
        <v>1598</v>
      </c>
      <c r="O67" s="51"/>
      <c r="P67" s="51"/>
      <c r="Q67" s="51"/>
      <c r="R67" s="511"/>
      <c r="S67" s="51"/>
      <c r="T67" s="51"/>
      <c r="U67" s="51"/>
      <c r="V67" s="51"/>
      <c r="W67" s="51"/>
      <c r="X67" s="131">
        <f>IF(NFI_Expiration=1,IF($A67&lt;VLOOKUP(I$5,NFI,5,0),1,0)*Data_NFI_t[[#This Row],[Hygiene Kit]],0)</f>
        <v>0</v>
      </c>
      <c r="Y67" s="131">
        <f>IF(NFI_Expiration=1,IF($A67&lt;VLOOKUP(J$5,NFI,5,0),1,0)*Data_NFI_t[[#This Row],[NFI Core Kit]],0)</f>
        <v>0</v>
      </c>
      <c r="Z67" s="112">
        <f>IF(NFI_Expiration=1,IF($A67&lt;VLOOKUP(K$5,NFI,5,0),1,0)*Data_NFI_t[[#This Row],[Sanitary Kit]],0)</f>
        <v>0</v>
      </c>
      <c r="AA67" s="112">
        <f>IF(NFI_Expiration=1,IF($A67&lt;VLOOKUP(L$5,NFI,5,0),1,0)*Data_NFI_t[[#This Row],[Mosquito net]],0)</f>
        <v>0</v>
      </c>
      <c r="AB67" s="112">
        <f>IF(NFI_Expiration=1,IF($A67&lt;VLOOKUP(M$5,NFI,5,0),1,0)*Data_NFI_t[[#This Row],[Tarpaulin]],0)</f>
        <v>0</v>
      </c>
      <c r="AC67" s="112">
        <f>IF(NFI_Expiration=1,IF($A67&lt;VLOOKUP(N$5,NFI,5,0),1,0)*Data_NFI_t[[#This Row],[Blanket]],0)</f>
        <v>0</v>
      </c>
      <c r="AD67" s="112">
        <f>IF(NFI_Expiration=1,IF($A67&lt;VLOOKUP(O$5,NFI,5,0),1,0)*Data_NFI_t[[#This Row],[Kitchen Set]],0)</f>
        <v>0</v>
      </c>
      <c r="AE67" s="112">
        <f>IF(NFI_Expiration=1,IF($A67&lt;VLOOKUP(P$5,NFI,5,0),1,0)*Data_NFI_t[[#This Row],[Complementary Kit]],0)</f>
        <v>0</v>
      </c>
      <c r="AF67" s="112">
        <f>IF(NFI_Expiration=1,IF($A67&lt;VLOOKUP(Q$5,NFI,5,0),1,0)*Data_NFI_t[[#This Row],[Plastic Bucket]],0)</f>
        <v>0</v>
      </c>
      <c r="AG67" s="112">
        <f>IF(NFI_Expiration=1,IF($A67&lt;VLOOKUP(R$5,NFI,5,0),1,0)*Data_NFI_t[[#This Row],[Jerry Can]],0)</f>
        <v>0</v>
      </c>
      <c r="AH67" s="131">
        <f>IF(NFI_Expiration=1,IF($A67&lt;VLOOKUP(S$5,NFI,5,0),1,0)*Data_NFI_t[[#This Row],[Plastic Mat]],0)*IF(Data_NFI_t[[#This Row],[Distribution Date]]&gt;"01-06-2015",1,2.5)</f>
        <v>0</v>
      </c>
      <c r="AI67" s="901">
        <f>IF(NFI_Expiration=1,IF($A67&lt;VLOOKUP(T$5,NFI,5,0),1,0)*Data_NFI_t[[#This Row],[Adult Clothes]],0)</f>
        <v>0</v>
      </c>
      <c r="AJ67" s="131">
        <f>IF(NFI_Expiration=1,IF($A67&lt;VLOOKUP(U$5,NFI,5,0),1,0)*Data_NFI_t[[#This Row],[Children Clothes]],0)</f>
        <v>0</v>
      </c>
      <c r="AK67" s="131">
        <f>IF(NFI_Expiration=1,IF($A67&lt;VLOOKUP(V$5,NFI,5,0),1,0)*Data_NFI_t[[#This Row],[Sewing Kit]],0)</f>
        <v>0</v>
      </c>
      <c r="AL67" s="901">
        <f>IF(NFI_Expiration=1,IF($A67&lt;VLOOKUP(V$5,NFI,5,0),1,0)*Data_NFI_t[[#This Row],[Solar Lantern]],0)</f>
        <v>0</v>
      </c>
      <c r="AM67" s="131" t="str">
        <f ca="1">IFERROR(OFFSET(Camp_List[P_Code],MATCH(Data_NFI_t[[#This Row],[Camp Name]],Camp_List[Camp Name],0)-1,0,1,1),"")</f>
        <v>MMR012CMP042</v>
      </c>
      <c r="AN67" s="513" t="str">
        <f ca="1">IFERROR(OFFSET(Camp_List[Status],MATCH(Data_NFI_t[[#This Row],[Camp Name]],Camp_List[Camp Name],0)-1,0,1,1),"")</f>
        <v>Open</v>
      </c>
      <c r="AO67" s="131"/>
    </row>
    <row r="68" spans="1:41" s="90" customFormat="1" ht="19.5" customHeight="1" x14ac:dyDescent="0.25">
      <c r="A68" s="242">
        <f t="shared" si="2"/>
        <v>17.5</v>
      </c>
      <c r="B68" s="242">
        <v>2015</v>
      </c>
      <c r="C68" s="913">
        <v>42331</v>
      </c>
      <c r="D68" s="489" t="s">
        <v>623</v>
      </c>
      <c r="E68" s="488" t="s">
        <v>623</v>
      </c>
      <c r="F68" s="489" t="s">
        <v>7</v>
      </c>
      <c r="G68" s="790" t="s">
        <v>14</v>
      </c>
      <c r="H68" s="790" t="s">
        <v>40</v>
      </c>
      <c r="I68" s="790"/>
      <c r="J68" s="51">
        <v>986</v>
      </c>
      <c r="K68" s="51"/>
      <c r="L68" s="51">
        <v>1972</v>
      </c>
      <c r="M68" s="51">
        <v>986</v>
      </c>
      <c r="N68" s="51">
        <v>1972</v>
      </c>
      <c r="O68" s="51">
        <v>986</v>
      </c>
      <c r="P68" s="51"/>
      <c r="Q68" s="51">
        <v>968</v>
      </c>
      <c r="R68" s="511">
        <v>986</v>
      </c>
      <c r="S68" s="51">
        <v>4930</v>
      </c>
      <c r="T68" s="51"/>
      <c r="U68" s="51"/>
      <c r="V68" s="51"/>
      <c r="W68" s="51"/>
      <c r="X68" s="131">
        <f>IF(NFI_Expiration=1,IF($A68&lt;VLOOKUP(I$5,NFI,5,0),1,0)*Data_NFI_t[[#This Row],[Hygiene Kit]],0)</f>
        <v>0</v>
      </c>
      <c r="Y68" s="131">
        <f>IF(NFI_Expiration=1,IF($A68&lt;VLOOKUP(J$5,NFI,5,0),1,0)*Data_NFI_t[[#This Row],[NFI Core Kit]],0)</f>
        <v>0</v>
      </c>
      <c r="Z68" s="112">
        <f>IF(NFI_Expiration=1,IF($A68&lt;VLOOKUP(K$5,NFI,5,0),1,0)*Data_NFI_t[[#This Row],[Sanitary Kit]],0)</f>
        <v>0</v>
      </c>
      <c r="AA68" s="112">
        <f>IF(NFI_Expiration=1,IF($A68&lt;VLOOKUP(L$5,NFI,5,0),1,0)*Data_NFI_t[[#This Row],[Mosquito net]],0)</f>
        <v>0</v>
      </c>
      <c r="AB68" s="112">
        <f>IF(NFI_Expiration=1,IF($A68&lt;VLOOKUP(M$5,NFI,5,0),1,0)*Data_NFI_t[[#This Row],[Tarpaulin]],0)</f>
        <v>0</v>
      </c>
      <c r="AC68" s="112">
        <f>IF(NFI_Expiration=1,IF($A68&lt;VLOOKUP(N$5,NFI,5,0),1,0)*Data_NFI_t[[#This Row],[Blanket]],0)</f>
        <v>0</v>
      </c>
      <c r="AD68" s="112">
        <f>IF(NFI_Expiration=1,IF($A68&lt;VLOOKUP(O$5,NFI,5,0),1,0)*Data_NFI_t[[#This Row],[Kitchen Set]],0)</f>
        <v>0</v>
      </c>
      <c r="AE68" s="112">
        <f>IF(NFI_Expiration=1,IF($A68&lt;VLOOKUP(P$5,NFI,5,0),1,0)*Data_NFI_t[[#This Row],[Complementary Kit]],0)</f>
        <v>0</v>
      </c>
      <c r="AF68" s="112">
        <f>IF(NFI_Expiration=1,IF($A68&lt;VLOOKUP(Q$5,NFI,5,0),1,0)*Data_NFI_t[[#This Row],[Plastic Bucket]],0)</f>
        <v>0</v>
      </c>
      <c r="AG68" s="112">
        <f>IF(NFI_Expiration=1,IF($A68&lt;VLOOKUP(R$5,NFI,5,0),1,0)*Data_NFI_t[[#This Row],[Jerry Can]],0)</f>
        <v>0</v>
      </c>
      <c r="AH68" s="131">
        <f>IF(NFI_Expiration=1,IF($A68&lt;VLOOKUP(S$5,NFI,5,0),1,0)*Data_NFI_t[[#This Row],[Plastic Mat]],0)*IF(Data_NFI_t[[#This Row],[Distribution Date]]&gt;"01-06-2015",1,2.5)</f>
        <v>0</v>
      </c>
      <c r="AI68" s="901">
        <f>IF(NFI_Expiration=1,IF($A68&lt;VLOOKUP(T$5,NFI,5,0),1,0)*Data_NFI_t[[#This Row],[Adult Clothes]],0)</f>
        <v>0</v>
      </c>
      <c r="AJ68" s="131">
        <f>IF(NFI_Expiration=1,IF($A68&lt;VLOOKUP(U$5,NFI,5,0),1,0)*Data_NFI_t[[#This Row],[Children Clothes]],0)</f>
        <v>0</v>
      </c>
      <c r="AK68" s="131">
        <f>IF(NFI_Expiration=1,IF($A68&lt;VLOOKUP(V$5,NFI,5,0),1,0)*Data_NFI_t[[#This Row],[Sewing Kit]],0)</f>
        <v>0</v>
      </c>
      <c r="AL68" s="901">
        <f>IF(NFI_Expiration=1,IF($A68&lt;VLOOKUP(V$5,NFI,5,0),1,0)*Data_NFI_t[[#This Row],[Solar Lantern]],0)</f>
        <v>0</v>
      </c>
      <c r="AM68" s="131" t="str">
        <f ca="1">IFERROR(OFFSET(Camp_List[P_Code],MATCH(Data_NFI_t[[#This Row],[Camp Name]],Camp_List[Camp Name],0)-1,0,1,1),"")</f>
        <v>MMR012CMP016</v>
      </c>
      <c r="AN68" s="513" t="str">
        <f ca="1">IFERROR(OFFSET(Camp_List[Status],MATCH(Data_NFI_t[[#This Row],[Camp Name]],Camp_List[Camp Name],0)-1,0,1,1),"")</f>
        <v>Open</v>
      </c>
      <c r="AO68" s="131"/>
    </row>
    <row r="69" spans="1:41" s="90" customFormat="1" ht="19.5" customHeight="1" x14ac:dyDescent="0.25">
      <c r="A69" s="242">
        <f t="shared" si="2"/>
        <v>17.633333333333333</v>
      </c>
      <c r="B69" s="242">
        <v>2015</v>
      </c>
      <c r="C69" s="913">
        <v>42327</v>
      </c>
      <c r="D69" s="489" t="s">
        <v>937</v>
      </c>
      <c r="E69" s="488" t="s">
        <v>623</v>
      </c>
      <c r="F69" s="489" t="s">
        <v>7</v>
      </c>
      <c r="G69" s="790" t="s">
        <v>14</v>
      </c>
      <c r="H69" s="790" t="s">
        <v>41</v>
      </c>
      <c r="I69" s="790"/>
      <c r="J69" s="51"/>
      <c r="K69" s="51"/>
      <c r="L69" s="51">
        <v>1563</v>
      </c>
      <c r="M69" s="51"/>
      <c r="N69" s="51"/>
      <c r="O69" s="51"/>
      <c r="P69" s="51"/>
      <c r="Q69" s="51"/>
      <c r="R69" s="511"/>
      <c r="S69" s="51"/>
      <c r="T69" s="51"/>
      <c r="U69" s="51"/>
      <c r="V69" s="51"/>
      <c r="W69" s="51"/>
      <c r="X69" s="131">
        <f>IF(NFI_Expiration=1,IF($A69&lt;VLOOKUP(I$5,NFI,5,0),1,0)*Data_NFI_t[[#This Row],[Hygiene Kit]],0)</f>
        <v>0</v>
      </c>
      <c r="Y69" s="131">
        <f>IF(NFI_Expiration=1,IF($A69&lt;VLOOKUP(J$5,NFI,5,0),1,0)*Data_NFI_t[[#This Row],[NFI Core Kit]],0)</f>
        <v>0</v>
      </c>
      <c r="Z69" s="112">
        <f>IF(NFI_Expiration=1,IF($A69&lt;VLOOKUP(K$5,NFI,5,0),1,0)*Data_NFI_t[[#This Row],[Sanitary Kit]],0)</f>
        <v>0</v>
      </c>
      <c r="AA69" s="112">
        <f>IF(NFI_Expiration=1,IF($A69&lt;VLOOKUP(L$5,NFI,5,0),1,0)*Data_NFI_t[[#This Row],[Mosquito net]],0)</f>
        <v>0</v>
      </c>
      <c r="AB69" s="112">
        <f>IF(NFI_Expiration=1,IF($A69&lt;VLOOKUP(M$5,NFI,5,0),1,0)*Data_NFI_t[[#This Row],[Tarpaulin]],0)</f>
        <v>0</v>
      </c>
      <c r="AC69" s="112">
        <f>IF(NFI_Expiration=1,IF($A69&lt;VLOOKUP(N$5,NFI,5,0),1,0)*Data_NFI_t[[#This Row],[Blanket]],0)</f>
        <v>0</v>
      </c>
      <c r="AD69" s="112">
        <f>IF(NFI_Expiration=1,IF($A69&lt;VLOOKUP(O$5,NFI,5,0),1,0)*Data_NFI_t[[#This Row],[Kitchen Set]],0)</f>
        <v>0</v>
      </c>
      <c r="AE69" s="112">
        <f>IF(NFI_Expiration=1,IF($A69&lt;VLOOKUP(P$5,NFI,5,0),1,0)*Data_NFI_t[[#This Row],[Complementary Kit]],0)</f>
        <v>0</v>
      </c>
      <c r="AF69" s="112">
        <f>IF(NFI_Expiration=1,IF($A69&lt;VLOOKUP(Q$5,NFI,5,0),1,0)*Data_NFI_t[[#This Row],[Plastic Bucket]],0)</f>
        <v>0</v>
      </c>
      <c r="AG69" s="112">
        <f>IF(NFI_Expiration=1,IF($A69&lt;VLOOKUP(R$5,NFI,5,0),1,0)*Data_NFI_t[[#This Row],[Jerry Can]],0)</f>
        <v>0</v>
      </c>
      <c r="AH69" s="131">
        <f>IF(NFI_Expiration=1,IF($A69&lt;VLOOKUP(S$5,NFI,5,0),1,0)*Data_NFI_t[[#This Row],[Plastic Mat]],0)*IF(Data_NFI_t[[#This Row],[Distribution Date]]&gt;"01-06-2015",1,2.5)</f>
        <v>0</v>
      </c>
      <c r="AI69" s="901">
        <f>IF(NFI_Expiration=1,IF($A69&lt;VLOOKUP(T$5,NFI,5,0),1,0)*Data_NFI_t[[#This Row],[Adult Clothes]],0)</f>
        <v>0</v>
      </c>
      <c r="AJ69" s="131">
        <f>IF(NFI_Expiration=1,IF($A69&lt;VLOOKUP(U$5,NFI,5,0),1,0)*Data_NFI_t[[#This Row],[Children Clothes]],0)</f>
        <v>0</v>
      </c>
      <c r="AK69" s="131">
        <f>IF(NFI_Expiration=1,IF($A69&lt;VLOOKUP(V$5,NFI,5,0),1,0)*Data_NFI_t[[#This Row],[Sewing Kit]],0)</f>
        <v>0</v>
      </c>
      <c r="AL69" s="901">
        <f>IF(NFI_Expiration=1,IF($A69&lt;VLOOKUP(V$5,NFI,5,0),1,0)*Data_NFI_t[[#This Row],[Solar Lantern]],0)</f>
        <v>0</v>
      </c>
      <c r="AM69" s="131" t="str">
        <f ca="1">IFERROR(OFFSET(Camp_List[P_Code],MATCH(Data_NFI_t[[#This Row],[Camp Name]],Camp_List[Camp Name],0)-1,0,1,1),"")</f>
        <v/>
      </c>
      <c r="AN69" s="513" t="str">
        <f ca="1">IFERROR(OFFSET(Camp_List[Status],MATCH(Data_NFI_t[[#This Row],[Camp Name]],Camp_List[Camp Name],0)-1,0,1,1),"")</f>
        <v/>
      </c>
      <c r="AO69" s="131"/>
    </row>
    <row r="70" spans="1:41" s="90" customFormat="1" ht="19.5" customHeight="1" x14ac:dyDescent="0.25">
      <c r="A70" s="242">
        <f t="shared" si="2"/>
        <v>17.666666666666668</v>
      </c>
      <c r="B70" s="242">
        <v>2015</v>
      </c>
      <c r="C70" s="913">
        <v>42326</v>
      </c>
      <c r="D70" s="489" t="s">
        <v>623</v>
      </c>
      <c r="E70" s="488" t="s">
        <v>623</v>
      </c>
      <c r="F70" s="489" t="s">
        <v>7</v>
      </c>
      <c r="G70" s="790" t="s">
        <v>14</v>
      </c>
      <c r="H70" s="790" t="s">
        <v>39</v>
      </c>
      <c r="I70" s="790"/>
      <c r="J70" s="51">
        <v>21</v>
      </c>
      <c r="K70" s="51"/>
      <c r="L70" s="51">
        <v>42</v>
      </c>
      <c r="M70" s="51">
        <v>21</v>
      </c>
      <c r="N70" s="51">
        <v>42</v>
      </c>
      <c r="O70" s="51">
        <v>21</v>
      </c>
      <c r="P70" s="51"/>
      <c r="Q70" s="51">
        <v>21</v>
      </c>
      <c r="R70" s="511">
        <v>21</v>
      </c>
      <c r="S70" s="51">
        <v>105</v>
      </c>
      <c r="T70" s="51"/>
      <c r="U70" s="51"/>
      <c r="V70" s="51"/>
      <c r="W70" s="51"/>
      <c r="X70" s="131">
        <f>IF(NFI_Expiration=1,IF($A70&lt;VLOOKUP(I$5,NFI,5,0),1,0)*Data_NFI_t[[#This Row],[Hygiene Kit]],0)</f>
        <v>0</v>
      </c>
      <c r="Y70" s="131">
        <f>IF(NFI_Expiration=1,IF($A70&lt;VLOOKUP(J$5,NFI,5,0),1,0)*Data_NFI_t[[#This Row],[NFI Core Kit]],0)</f>
        <v>0</v>
      </c>
      <c r="Z70" s="112">
        <f>IF(NFI_Expiration=1,IF($A70&lt;VLOOKUP(K$5,NFI,5,0),1,0)*Data_NFI_t[[#This Row],[Sanitary Kit]],0)</f>
        <v>0</v>
      </c>
      <c r="AA70" s="112">
        <f>IF(NFI_Expiration=1,IF($A70&lt;VLOOKUP(L$5,NFI,5,0),1,0)*Data_NFI_t[[#This Row],[Mosquito net]],0)</f>
        <v>0</v>
      </c>
      <c r="AB70" s="112">
        <f>IF(NFI_Expiration=1,IF($A70&lt;VLOOKUP(M$5,NFI,5,0),1,0)*Data_NFI_t[[#This Row],[Tarpaulin]],0)</f>
        <v>0</v>
      </c>
      <c r="AC70" s="112">
        <f>IF(NFI_Expiration=1,IF($A70&lt;VLOOKUP(N$5,NFI,5,0),1,0)*Data_NFI_t[[#This Row],[Blanket]],0)</f>
        <v>0</v>
      </c>
      <c r="AD70" s="112">
        <f>IF(NFI_Expiration=1,IF($A70&lt;VLOOKUP(O$5,NFI,5,0),1,0)*Data_NFI_t[[#This Row],[Kitchen Set]],0)</f>
        <v>0</v>
      </c>
      <c r="AE70" s="112">
        <f>IF(NFI_Expiration=1,IF($A70&lt;VLOOKUP(P$5,NFI,5,0),1,0)*Data_NFI_t[[#This Row],[Complementary Kit]],0)</f>
        <v>0</v>
      </c>
      <c r="AF70" s="112">
        <f>IF(NFI_Expiration=1,IF($A70&lt;VLOOKUP(Q$5,NFI,5,0),1,0)*Data_NFI_t[[#This Row],[Plastic Bucket]],0)</f>
        <v>0</v>
      </c>
      <c r="AG70" s="112">
        <f>IF(NFI_Expiration=1,IF($A70&lt;VLOOKUP(R$5,NFI,5,0),1,0)*Data_NFI_t[[#This Row],[Jerry Can]],0)</f>
        <v>0</v>
      </c>
      <c r="AH70" s="131">
        <f>IF(NFI_Expiration=1,IF($A70&lt;VLOOKUP(S$5,NFI,5,0),1,0)*Data_NFI_t[[#This Row],[Plastic Mat]],0)*IF(Data_NFI_t[[#This Row],[Distribution Date]]&gt;"01-06-2015",1,2.5)</f>
        <v>0</v>
      </c>
      <c r="AI70" s="901">
        <f>IF(NFI_Expiration=1,IF($A70&lt;VLOOKUP(T$5,NFI,5,0),1,0)*Data_NFI_t[[#This Row],[Adult Clothes]],0)</f>
        <v>0</v>
      </c>
      <c r="AJ70" s="131">
        <f>IF(NFI_Expiration=1,IF($A70&lt;VLOOKUP(U$5,NFI,5,0),1,0)*Data_NFI_t[[#This Row],[Children Clothes]],0)</f>
        <v>0</v>
      </c>
      <c r="AK70" s="131">
        <f>IF(NFI_Expiration=1,IF($A70&lt;VLOOKUP(V$5,NFI,5,0),1,0)*Data_NFI_t[[#This Row],[Sewing Kit]],0)</f>
        <v>0</v>
      </c>
      <c r="AL70" s="901">
        <f>IF(NFI_Expiration=1,IF($A70&lt;VLOOKUP(V$5,NFI,5,0),1,0)*Data_NFI_t[[#This Row],[Solar Lantern]],0)</f>
        <v>0</v>
      </c>
      <c r="AM70" s="131" t="str">
        <f ca="1">IFERROR(OFFSET(Camp_List[P_Code],MATCH(Data_NFI_t[[#This Row],[Camp Name]],Camp_List[Camp Name],0)-1,0,1,1),"")</f>
        <v>MMR012CMP015</v>
      </c>
      <c r="AN70" s="513" t="str">
        <f ca="1">IFERROR(OFFSET(Camp_List[Status],MATCH(Data_NFI_t[[#This Row],[Camp Name]],Camp_List[Camp Name],0)-1,0,1,1),"")</f>
        <v>Relocated</v>
      </c>
      <c r="AO70" s="131"/>
    </row>
    <row r="71" spans="1:41" s="90" customFormat="1" ht="19.5" customHeight="1" x14ac:dyDescent="0.25">
      <c r="A71" s="242">
        <f t="shared" si="2"/>
        <v>18.166666666666668</v>
      </c>
      <c r="B71" s="242">
        <v>2015</v>
      </c>
      <c r="C71" s="913">
        <v>42311</v>
      </c>
      <c r="D71" s="489" t="s">
        <v>285</v>
      </c>
      <c r="E71" s="488" t="s">
        <v>939</v>
      </c>
      <c r="F71" s="489" t="s">
        <v>7</v>
      </c>
      <c r="G71" s="790" t="s">
        <v>16</v>
      </c>
      <c r="H71" s="790" t="s">
        <v>57</v>
      </c>
      <c r="I71" s="790">
        <v>0</v>
      </c>
      <c r="J71" s="51">
        <v>0</v>
      </c>
      <c r="K71" s="51">
        <v>0</v>
      </c>
      <c r="L71" s="51">
        <v>0</v>
      </c>
      <c r="M71" s="51">
        <v>7</v>
      </c>
      <c r="N71" s="51">
        <v>0</v>
      </c>
      <c r="O71" s="51">
        <v>0</v>
      </c>
      <c r="P71" s="51">
        <v>0</v>
      </c>
      <c r="Q71" s="51">
        <v>0</v>
      </c>
      <c r="R71" s="511">
        <v>0</v>
      </c>
      <c r="S71" s="51">
        <v>0</v>
      </c>
      <c r="T71" s="51"/>
      <c r="U71" s="51"/>
      <c r="V71" s="51"/>
      <c r="W71" s="51"/>
      <c r="X71" s="131">
        <f>IF(NFI_Expiration=1,IF($A71&lt;VLOOKUP(I$5,NFI,5,0),1,0)*Data_NFI_t[[#This Row],[Hygiene Kit]],0)</f>
        <v>0</v>
      </c>
      <c r="Y71" s="131">
        <f>IF(NFI_Expiration=1,IF($A71&lt;VLOOKUP(J$5,NFI,5,0),1,0)*Data_NFI_t[[#This Row],[NFI Core Kit]],0)</f>
        <v>0</v>
      </c>
      <c r="Z71" s="112">
        <f>IF(NFI_Expiration=1,IF($A71&lt;VLOOKUP(K$5,NFI,5,0),1,0)*Data_NFI_t[[#This Row],[Sanitary Kit]],0)</f>
        <v>0</v>
      </c>
      <c r="AA71" s="112">
        <f>IF(NFI_Expiration=1,IF($A71&lt;VLOOKUP(L$5,NFI,5,0),1,0)*Data_NFI_t[[#This Row],[Mosquito net]],0)</f>
        <v>0</v>
      </c>
      <c r="AB71" s="112">
        <f>IF(NFI_Expiration=1,IF($A71&lt;VLOOKUP(M$5,NFI,5,0),1,0)*Data_NFI_t[[#This Row],[Tarpaulin]],0)</f>
        <v>0</v>
      </c>
      <c r="AC71" s="112">
        <f>IF(NFI_Expiration=1,IF($A71&lt;VLOOKUP(N$5,NFI,5,0),1,0)*Data_NFI_t[[#This Row],[Blanket]],0)</f>
        <v>0</v>
      </c>
      <c r="AD71" s="112">
        <f>IF(NFI_Expiration=1,IF($A71&lt;VLOOKUP(O$5,NFI,5,0),1,0)*Data_NFI_t[[#This Row],[Kitchen Set]],0)</f>
        <v>0</v>
      </c>
      <c r="AE71" s="112">
        <f>IF(NFI_Expiration=1,IF($A71&lt;VLOOKUP(P$5,NFI,5,0),1,0)*Data_NFI_t[[#This Row],[Complementary Kit]],0)</f>
        <v>0</v>
      </c>
      <c r="AF71" s="112">
        <f>IF(NFI_Expiration=1,IF($A71&lt;VLOOKUP(Q$5,NFI,5,0),1,0)*Data_NFI_t[[#This Row],[Plastic Bucket]],0)</f>
        <v>0</v>
      </c>
      <c r="AG71" s="112">
        <f>IF(NFI_Expiration=1,IF($A71&lt;VLOOKUP(R$5,NFI,5,0),1,0)*Data_NFI_t[[#This Row],[Jerry Can]],0)</f>
        <v>0</v>
      </c>
      <c r="AH71" s="131">
        <f>IF(NFI_Expiration=1,IF($A71&lt;VLOOKUP(S$5,NFI,5,0),1,0)*Data_NFI_t[[#This Row],[Plastic Mat]],0)*IF(Data_NFI_t[[#This Row],[Distribution Date]]&gt;"01-06-2015",1,2.5)</f>
        <v>0</v>
      </c>
      <c r="AI71" s="901">
        <f>IF(NFI_Expiration=1,IF($A71&lt;VLOOKUP(T$5,NFI,5,0),1,0)*Data_NFI_t[[#This Row],[Adult Clothes]],0)</f>
        <v>0</v>
      </c>
      <c r="AJ71" s="131">
        <f>IF(NFI_Expiration=1,IF($A71&lt;VLOOKUP(U$5,NFI,5,0),1,0)*Data_NFI_t[[#This Row],[Children Clothes]],0)</f>
        <v>0</v>
      </c>
      <c r="AK71" s="131">
        <f>IF(NFI_Expiration=1,IF($A71&lt;VLOOKUP(V$5,NFI,5,0),1,0)*Data_NFI_t[[#This Row],[Sewing Kit]],0)</f>
        <v>0</v>
      </c>
      <c r="AL71" s="901">
        <f>IF(NFI_Expiration=1,IF($A71&lt;VLOOKUP(V$5,NFI,5,0),1,0)*Data_NFI_t[[#This Row],[Solar Lantern]],0)</f>
        <v>0</v>
      </c>
      <c r="AM71" s="131" t="str">
        <f ca="1">IFERROR(OFFSET(Camp_List[P_Code],MATCH(Data_NFI_t[[#This Row],[Camp Name]],Camp_List[Camp Name],0)-1,0,1,1),"")</f>
        <v>MMR012CMP034</v>
      </c>
      <c r="AN71" s="513" t="str">
        <f ca="1">IFERROR(OFFSET(Camp_List[Status],MATCH(Data_NFI_t[[#This Row],[Camp Name]],Camp_List[Camp Name],0)-1,0,1,1),"")</f>
        <v>Open</v>
      </c>
      <c r="AO71" s="131"/>
    </row>
    <row r="72" spans="1:41" s="90" customFormat="1" ht="19.5" customHeight="1" x14ac:dyDescent="0.25">
      <c r="A72" s="242">
        <f t="shared" si="2"/>
        <v>18.399999999999999</v>
      </c>
      <c r="B72" s="242">
        <v>2015</v>
      </c>
      <c r="C72" s="913">
        <v>42304</v>
      </c>
      <c r="D72" s="489" t="s">
        <v>285</v>
      </c>
      <c r="E72" s="488" t="s">
        <v>939</v>
      </c>
      <c r="F72" s="489" t="s">
        <v>7</v>
      </c>
      <c r="G72" s="790" t="s">
        <v>16</v>
      </c>
      <c r="H72" s="790" t="s">
        <v>56</v>
      </c>
      <c r="I72" s="790">
        <v>0</v>
      </c>
      <c r="J72" s="51">
        <v>0</v>
      </c>
      <c r="K72" s="51">
        <v>0</v>
      </c>
      <c r="L72" s="51">
        <v>0</v>
      </c>
      <c r="M72" s="51">
        <v>5</v>
      </c>
      <c r="N72" s="51">
        <v>0</v>
      </c>
      <c r="O72" s="51">
        <v>0</v>
      </c>
      <c r="P72" s="51">
        <v>0</v>
      </c>
      <c r="Q72" s="51">
        <v>0</v>
      </c>
      <c r="R72" s="511">
        <v>0</v>
      </c>
      <c r="S72" s="51">
        <v>0</v>
      </c>
      <c r="T72" s="51"/>
      <c r="U72" s="51"/>
      <c r="V72" s="51"/>
      <c r="W72" s="51"/>
      <c r="X72" s="131">
        <f>IF(NFI_Expiration=1,IF($A72&lt;VLOOKUP(I$5,NFI,5,0),1,0)*Data_NFI_t[[#This Row],[Hygiene Kit]],0)</f>
        <v>0</v>
      </c>
      <c r="Y72" s="131">
        <f>IF(NFI_Expiration=1,IF($A72&lt;VLOOKUP(J$5,NFI,5,0),1,0)*Data_NFI_t[[#This Row],[NFI Core Kit]],0)</f>
        <v>0</v>
      </c>
      <c r="Z72" s="112">
        <f>IF(NFI_Expiration=1,IF($A72&lt;VLOOKUP(K$5,NFI,5,0),1,0)*Data_NFI_t[[#This Row],[Sanitary Kit]],0)</f>
        <v>0</v>
      </c>
      <c r="AA72" s="112">
        <f>IF(NFI_Expiration=1,IF($A72&lt;VLOOKUP(L$5,NFI,5,0),1,0)*Data_NFI_t[[#This Row],[Mosquito net]],0)</f>
        <v>0</v>
      </c>
      <c r="AB72" s="112">
        <f>IF(NFI_Expiration=1,IF($A72&lt;VLOOKUP(M$5,NFI,5,0),1,0)*Data_NFI_t[[#This Row],[Tarpaulin]],0)</f>
        <v>0</v>
      </c>
      <c r="AC72" s="112">
        <f>IF(NFI_Expiration=1,IF($A72&lt;VLOOKUP(N$5,NFI,5,0),1,0)*Data_NFI_t[[#This Row],[Blanket]],0)</f>
        <v>0</v>
      </c>
      <c r="AD72" s="112">
        <f>IF(NFI_Expiration=1,IF($A72&lt;VLOOKUP(O$5,NFI,5,0),1,0)*Data_NFI_t[[#This Row],[Kitchen Set]],0)</f>
        <v>0</v>
      </c>
      <c r="AE72" s="112">
        <f>IF(NFI_Expiration=1,IF($A72&lt;VLOOKUP(P$5,NFI,5,0),1,0)*Data_NFI_t[[#This Row],[Complementary Kit]],0)</f>
        <v>0</v>
      </c>
      <c r="AF72" s="112">
        <f>IF(NFI_Expiration=1,IF($A72&lt;VLOOKUP(Q$5,NFI,5,0),1,0)*Data_NFI_t[[#This Row],[Plastic Bucket]],0)</f>
        <v>0</v>
      </c>
      <c r="AG72" s="112">
        <f>IF(NFI_Expiration=1,IF($A72&lt;VLOOKUP(R$5,NFI,5,0),1,0)*Data_NFI_t[[#This Row],[Jerry Can]],0)</f>
        <v>0</v>
      </c>
      <c r="AH72" s="131">
        <f>IF(NFI_Expiration=1,IF($A72&lt;VLOOKUP(S$5,NFI,5,0),1,0)*Data_NFI_t[[#This Row],[Plastic Mat]],0)*IF(Data_NFI_t[[#This Row],[Distribution Date]]&gt;"01-06-2015",1,2.5)</f>
        <v>0</v>
      </c>
      <c r="AI72" s="901">
        <f>IF(NFI_Expiration=1,IF($A72&lt;VLOOKUP(T$5,NFI,5,0),1,0)*Data_NFI_t[[#This Row],[Adult Clothes]],0)</f>
        <v>0</v>
      </c>
      <c r="AJ72" s="131">
        <f>IF(NFI_Expiration=1,IF($A72&lt;VLOOKUP(U$5,NFI,5,0),1,0)*Data_NFI_t[[#This Row],[Children Clothes]],0)</f>
        <v>0</v>
      </c>
      <c r="AK72" s="131">
        <f>IF(NFI_Expiration=1,IF($A72&lt;VLOOKUP(V$5,NFI,5,0),1,0)*Data_NFI_t[[#This Row],[Sewing Kit]],0)</f>
        <v>0</v>
      </c>
      <c r="AL72" s="901">
        <f>IF(NFI_Expiration=1,IF($A72&lt;VLOOKUP(V$5,NFI,5,0),1,0)*Data_NFI_t[[#This Row],[Solar Lantern]],0)</f>
        <v>0</v>
      </c>
      <c r="AM72" s="131" t="str">
        <f ca="1">IFERROR(OFFSET(Camp_List[P_Code],MATCH(Data_NFI_t[[#This Row],[Camp Name]],Camp_List[Camp Name],0)-1,0,1,1),"")</f>
        <v>MMR012CMP032</v>
      </c>
      <c r="AN72" s="513" t="str">
        <f ca="1">IFERROR(OFFSET(Camp_List[Status],MATCH(Data_NFI_t[[#This Row],[Camp Name]],Camp_List[Camp Name],0)-1,0,1,1),"")</f>
        <v>Returned</v>
      </c>
      <c r="AO72" s="131"/>
    </row>
    <row r="73" spans="1:41" s="90" customFormat="1" ht="19.5" customHeight="1" x14ac:dyDescent="0.25">
      <c r="A73" s="242">
        <f t="shared" si="2"/>
        <v>19.033333333333335</v>
      </c>
      <c r="B73" s="242">
        <f>YEAR(Data_NFI_t[[#This Row],[Distribution Date]])</f>
        <v>2015</v>
      </c>
      <c r="C73" s="913">
        <v>42285</v>
      </c>
      <c r="D73" s="489" t="s">
        <v>285</v>
      </c>
      <c r="E73" s="488" t="s">
        <v>623</v>
      </c>
      <c r="F73" s="489" t="s">
        <v>7</v>
      </c>
      <c r="G73" s="790" t="s">
        <v>19</v>
      </c>
      <c r="H73" s="790" t="s">
        <v>64</v>
      </c>
      <c r="I73" s="790"/>
      <c r="J73" s="51"/>
      <c r="K73" s="51"/>
      <c r="L73" s="51">
        <v>252</v>
      </c>
      <c r="M73" s="51">
        <v>127</v>
      </c>
      <c r="N73" s="51">
        <v>252</v>
      </c>
      <c r="O73" s="51">
        <v>127</v>
      </c>
      <c r="P73" s="51"/>
      <c r="Q73" s="51">
        <v>127</v>
      </c>
      <c r="R73" s="511">
        <v>127</v>
      </c>
      <c r="S73" s="51">
        <v>635</v>
      </c>
      <c r="T73" s="51"/>
      <c r="U73" s="51"/>
      <c r="V73" s="51"/>
      <c r="W73" s="51"/>
      <c r="X73" s="131">
        <f>IF(NFI_Expiration=1,IF($A73&lt;VLOOKUP(I$5,NFI,5,0),1,0)*Data_NFI_t[[#This Row],[Hygiene Kit]],0)</f>
        <v>0</v>
      </c>
      <c r="Y73" s="131">
        <f>IF(NFI_Expiration=1,IF($A73&lt;VLOOKUP(J$5,NFI,5,0),1,0)*Data_NFI_t[[#This Row],[NFI Core Kit]],0)</f>
        <v>0</v>
      </c>
      <c r="Z73" s="112">
        <f>IF(NFI_Expiration=1,IF($A73&lt;VLOOKUP(K$5,NFI,5,0),1,0)*Data_NFI_t[[#This Row],[Sanitary Kit]],0)</f>
        <v>0</v>
      </c>
      <c r="AA73" s="112">
        <f>IF(NFI_Expiration=1,IF($A73&lt;VLOOKUP(L$5,NFI,5,0),1,0)*Data_NFI_t[[#This Row],[Mosquito net]],0)</f>
        <v>0</v>
      </c>
      <c r="AB73" s="112">
        <f>IF(NFI_Expiration=1,IF($A73&lt;VLOOKUP(M$5,NFI,5,0),1,0)*Data_NFI_t[[#This Row],[Tarpaulin]],0)</f>
        <v>0</v>
      </c>
      <c r="AC73" s="112">
        <f>IF(NFI_Expiration=1,IF($A73&lt;VLOOKUP(N$5,NFI,5,0),1,0)*Data_NFI_t[[#This Row],[Blanket]],0)</f>
        <v>0</v>
      </c>
      <c r="AD73" s="112">
        <f>IF(NFI_Expiration=1,IF($A73&lt;VLOOKUP(O$5,NFI,5,0),1,0)*Data_NFI_t[[#This Row],[Kitchen Set]],0)</f>
        <v>0</v>
      </c>
      <c r="AE73" s="112">
        <f>IF(NFI_Expiration=1,IF($A73&lt;VLOOKUP(P$5,NFI,5,0),1,0)*Data_NFI_t[[#This Row],[Complementary Kit]],0)</f>
        <v>0</v>
      </c>
      <c r="AF73" s="112">
        <f>IF(NFI_Expiration=1,IF($A73&lt;VLOOKUP(Q$5,NFI,5,0),1,0)*Data_NFI_t[[#This Row],[Plastic Bucket]],0)</f>
        <v>0</v>
      </c>
      <c r="AG73" s="112">
        <f>IF(NFI_Expiration=1,IF($A73&lt;VLOOKUP(R$5,NFI,5,0),1,0)*Data_NFI_t[[#This Row],[Jerry Can]],0)</f>
        <v>0</v>
      </c>
      <c r="AH73" s="131">
        <f>IF(NFI_Expiration=1,IF($A73&lt;VLOOKUP(S$5,NFI,5,0),1,0)*Data_NFI_t[[#This Row],[Plastic Mat]],0)*IF(Data_NFI_t[[#This Row],[Distribution Date]]&gt;"01-06-2015",1,2.5)</f>
        <v>0</v>
      </c>
      <c r="AI73" s="901">
        <f>IF(NFI_Expiration=1,IF($A73&lt;VLOOKUP(T$5,NFI,5,0),1,0)*Data_NFI_t[[#This Row],[Adult Clothes]],0)</f>
        <v>0</v>
      </c>
      <c r="AJ73" s="131">
        <f>IF(NFI_Expiration=1,IF($A73&lt;VLOOKUP(U$5,NFI,5,0),1,0)*Data_NFI_t[[#This Row],[Children Clothes]],0)</f>
        <v>0</v>
      </c>
      <c r="AK73" s="131">
        <f>IF(NFI_Expiration=1,IF($A73&lt;VLOOKUP(V$5,NFI,5,0),1,0)*Data_NFI_t[[#This Row],[Sewing Kit]],0)</f>
        <v>0</v>
      </c>
      <c r="AL73" s="901">
        <f>IF(NFI_Expiration=1,IF($A73&lt;VLOOKUP(V$5,NFI,5,0),1,0)*Data_NFI_t[[#This Row],[Solar Lantern]],0)</f>
        <v>0</v>
      </c>
      <c r="AM73" s="131" t="str">
        <f ca="1">IFERROR(OFFSET(Camp_List[P_Code],MATCH(Data_NFI_t[[#This Row],[Camp Name]],Camp_List[Camp Name],0)-1,0,1,1),"")</f>
        <v>MMR012CMP042</v>
      </c>
      <c r="AN73" s="513" t="str">
        <f ca="1">IFERROR(OFFSET(Camp_List[Status],MATCH(Data_NFI_t[[#This Row],[Camp Name]],Camp_List[Camp Name],0)-1,0,1,1),"")</f>
        <v>Open</v>
      </c>
      <c r="AO73" s="131"/>
    </row>
    <row r="74" spans="1:41" s="90" customFormat="1" ht="19.5" customHeight="1" x14ac:dyDescent="0.25">
      <c r="A74" s="242">
        <f t="shared" si="2"/>
        <v>19.033333333333335</v>
      </c>
      <c r="B74" s="242">
        <f>YEAR(Data_NFI_t[[#This Row],[Distribution Date]])</f>
        <v>2015</v>
      </c>
      <c r="C74" s="913">
        <v>42285</v>
      </c>
      <c r="D74" s="489" t="s">
        <v>623</v>
      </c>
      <c r="E74" s="488" t="s">
        <v>623</v>
      </c>
      <c r="F74" s="489" t="s">
        <v>7</v>
      </c>
      <c r="G74" s="790" t="s">
        <v>19</v>
      </c>
      <c r="H74" s="790" t="s">
        <v>64</v>
      </c>
      <c r="I74" s="790"/>
      <c r="J74" s="51"/>
      <c r="K74" s="51"/>
      <c r="L74" s="51" t="s">
        <v>929</v>
      </c>
      <c r="M74" s="51">
        <v>1</v>
      </c>
      <c r="N74" s="51" t="s">
        <v>929</v>
      </c>
      <c r="O74" s="51" t="s">
        <v>930</v>
      </c>
      <c r="P74" s="51"/>
      <c r="Q74" s="51" t="s">
        <v>930</v>
      </c>
      <c r="R74" s="511"/>
      <c r="S74" s="51" t="s">
        <v>931</v>
      </c>
      <c r="T74" s="51"/>
      <c r="U74" s="51"/>
      <c r="V74" s="51"/>
      <c r="W74" s="51"/>
      <c r="X74" s="131">
        <f>IF(NFI_Expiration=1,IF($A74&lt;VLOOKUP(I$5,NFI,5,0),1,0)*Data_NFI_t[[#This Row],[Hygiene Kit]],0)</f>
        <v>0</v>
      </c>
      <c r="Y74" s="131">
        <f>IF(NFI_Expiration=1,IF($A74&lt;VLOOKUP(J$5,NFI,5,0),1,0)*Data_NFI_t[[#This Row],[NFI Core Kit]],0)</f>
        <v>0</v>
      </c>
      <c r="Z74" s="112">
        <f>IF(NFI_Expiration=1,IF($A74&lt;VLOOKUP(K$5,NFI,5,0),1,0)*Data_NFI_t[[#This Row],[Sanitary Kit]],0)</f>
        <v>0</v>
      </c>
      <c r="AA74" s="112">
        <f>IF(NFI_Expiration=1,IF($A74&lt;VLOOKUP(L$5,NFI,5,0),1,0)*Data_NFI_t[[#This Row],[Mosquito net]],0)</f>
        <v>0</v>
      </c>
      <c r="AB74" s="112">
        <f>IF(NFI_Expiration=1,IF($A74&lt;VLOOKUP(M$5,NFI,5,0),1,0)*Data_NFI_t[[#This Row],[Tarpaulin]],0)</f>
        <v>0</v>
      </c>
      <c r="AC74" s="112">
        <f>IF(NFI_Expiration=1,IF($A74&lt;VLOOKUP(N$5,NFI,5,0),1,0)*Data_NFI_t[[#This Row],[Blanket]],0)</f>
        <v>0</v>
      </c>
      <c r="AD74" s="112">
        <f>IF(NFI_Expiration=1,IF($A74&lt;VLOOKUP(O$5,NFI,5,0),1,0)*Data_NFI_t[[#This Row],[Kitchen Set]],0)</f>
        <v>0</v>
      </c>
      <c r="AE74" s="112">
        <f>IF(NFI_Expiration=1,IF($A74&lt;VLOOKUP(P$5,NFI,5,0),1,0)*Data_NFI_t[[#This Row],[Complementary Kit]],0)</f>
        <v>0</v>
      </c>
      <c r="AF74" s="112">
        <f>IF(NFI_Expiration=1,IF($A74&lt;VLOOKUP(Q$5,NFI,5,0),1,0)*Data_NFI_t[[#This Row],[Plastic Bucket]],0)</f>
        <v>0</v>
      </c>
      <c r="AG74" s="112">
        <f>IF(NFI_Expiration=1,IF($A74&lt;VLOOKUP(R$5,NFI,5,0),1,0)*Data_NFI_t[[#This Row],[Jerry Can]],0)</f>
        <v>0</v>
      </c>
      <c r="AH74" s="131">
        <f>IF(NFI_Expiration=1,IF($A74&lt;VLOOKUP(S$5,NFI,5,0),1,0)*Data_NFI_t[[#This Row],[Plastic Mat]],0)*IF(Data_NFI_t[[#This Row],[Distribution Date]]&gt;"01-06-2015",1,2.5)</f>
        <v>0</v>
      </c>
      <c r="AI74" s="901">
        <f>IF(NFI_Expiration=1,IF($A74&lt;VLOOKUP(T$5,NFI,5,0),1,0)*Data_NFI_t[[#This Row],[Adult Clothes]],0)</f>
        <v>0</v>
      </c>
      <c r="AJ74" s="131">
        <f>IF(NFI_Expiration=1,IF($A74&lt;VLOOKUP(U$5,NFI,5,0),1,0)*Data_NFI_t[[#This Row],[Children Clothes]],0)</f>
        <v>0</v>
      </c>
      <c r="AK74" s="131">
        <f>IF(NFI_Expiration=1,IF($A74&lt;VLOOKUP(V$5,NFI,5,0),1,0)*Data_NFI_t[[#This Row],[Sewing Kit]],0)</f>
        <v>0</v>
      </c>
      <c r="AL74" s="901">
        <f>IF(NFI_Expiration=1,IF($A74&lt;VLOOKUP(V$5,NFI,5,0),1,0)*Data_NFI_t[[#This Row],[Solar Lantern]],0)</f>
        <v>0</v>
      </c>
      <c r="AM74" s="131" t="str">
        <f ca="1">IFERROR(OFFSET(Camp_List[P_Code],MATCH(Data_NFI_t[[#This Row],[Camp Name]],Camp_List[Camp Name],0)-1,0,1,1),"")</f>
        <v>MMR012CMP042</v>
      </c>
      <c r="AN74" s="513" t="str">
        <f ca="1">IFERROR(OFFSET(Camp_List[Status],MATCH(Data_NFI_t[[#This Row],[Camp Name]],Camp_List[Camp Name],0)-1,0,1,1),"")</f>
        <v>Open</v>
      </c>
      <c r="AO74" s="131"/>
    </row>
    <row r="75" spans="1:41" s="90" customFormat="1" ht="19.5" customHeight="1" x14ac:dyDescent="0.25">
      <c r="A75" s="242">
        <f t="shared" si="2"/>
        <v>19.733333333333334</v>
      </c>
      <c r="B75" s="242">
        <f>YEAR(Data_NFI_t[[#This Row],[Distribution Date]])</f>
        <v>2015</v>
      </c>
      <c r="C75" s="913">
        <v>42264</v>
      </c>
      <c r="D75" s="489" t="s">
        <v>285</v>
      </c>
      <c r="E75" s="488" t="s">
        <v>288</v>
      </c>
      <c r="F75" s="489" t="s">
        <v>7</v>
      </c>
      <c r="G75" s="790" t="s">
        <v>19</v>
      </c>
      <c r="H75" s="790" t="s">
        <v>67</v>
      </c>
      <c r="I75" s="790"/>
      <c r="J75" s="51"/>
      <c r="K75" s="51"/>
      <c r="L75" s="51">
        <v>730</v>
      </c>
      <c r="M75" s="51">
        <v>365</v>
      </c>
      <c r="N75" s="51">
        <v>730</v>
      </c>
      <c r="O75" s="51">
        <v>365</v>
      </c>
      <c r="P75" s="51"/>
      <c r="Q75" s="51">
        <v>365</v>
      </c>
      <c r="R75" s="511">
        <v>365</v>
      </c>
      <c r="S75" s="51">
        <v>1825</v>
      </c>
      <c r="T75" s="51"/>
      <c r="U75" s="51"/>
      <c r="V75" s="51"/>
      <c r="W75" s="51"/>
      <c r="X75" s="131">
        <f>IF(NFI_Expiration=1,IF($A75&lt;VLOOKUP(I$5,NFI,5,0),1,0)*Data_NFI_t[[#This Row],[Hygiene Kit]],0)</f>
        <v>0</v>
      </c>
      <c r="Y75" s="131">
        <f>IF(NFI_Expiration=1,IF($A75&lt;VLOOKUP(J$5,NFI,5,0),1,0)*Data_NFI_t[[#This Row],[NFI Core Kit]],0)</f>
        <v>0</v>
      </c>
      <c r="Z75" s="112">
        <f>IF(NFI_Expiration=1,IF($A75&lt;VLOOKUP(K$5,NFI,5,0),1,0)*Data_NFI_t[[#This Row],[Sanitary Kit]],0)</f>
        <v>0</v>
      </c>
      <c r="AA75" s="112">
        <f>IF(NFI_Expiration=1,IF($A75&lt;VLOOKUP(L$5,NFI,5,0),1,0)*Data_NFI_t[[#This Row],[Mosquito net]],0)</f>
        <v>0</v>
      </c>
      <c r="AB75" s="112">
        <f>IF(NFI_Expiration=1,IF($A75&lt;VLOOKUP(M$5,NFI,5,0),1,0)*Data_NFI_t[[#This Row],[Tarpaulin]],0)</f>
        <v>0</v>
      </c>
      <c r="AC75" s="112">
        <f>IF(NFI_Expiration=1,IF($A75&lt;VLOOKUP(N$5,NFI,5,0),1,0)*Data_NFI_t[[#This Row],[Blanket]],0)</f>
        <v>0</v>
      </c>
      <c r="AD75" s="112">
        <f>IF(NFI_Expiration=1,IF($A75&lt;VLOOKUP(O$5,NFI,5,0),1,0)*Data_NFI_t[[#This Row],[Kitchen Set]],0)</f>
        <v>0</v>
      </c>
      <c r="AE75" s="112">
        <f>IF(NFI_Expiration=1,IF($A75&lt;VLOOKUP(P$5,NFI,5,0),1,0)*Data_NFI_t[[#This Row],[Complementary Kit]],0)</f>
        <v>0</v>
      </c>
      <c r="AF75" s="112">
        <f>IF(NFI_Expiration=1,IF($A75&lt;VLOOKUP(Q$5,NFI,5,0),1,0)*Data_NFI_t[[#This Row],[Plastic Bucket]],0)</f>
        <v>0</v>
      </c>
      <c r="AG75" s="112">
        <f>IF(NFI_Expiration=1,IF($A75&lt;VLOOKUP(R$5,NFI,5,0),1,0)*Data_NFI_t[[#This Row],[Jerry Can]],0)</f>
        <v>0</v>
      </c>
      <c r="AH75" s="131">
        <f>IF(NFI_Expiration=1,IF($A75&lt;VLOOKUP(S$5,NFI,5,0),1,0)*Data_NFI_t[[#This Row],[Plastic Mat]],0)*IF(Data_NFI_t[[#This Row],[Distribution Date]]&gt;"01-06-2015",1,2.5)</f>
        <v>0</v>
      </c>
      <c r="AI75" s="901">
        <f>IF(NFI_Expiration=1,IF($A75&lt;VLOOKUP(T$5,NFI,5,0),1,0)*Data_NFI_t[[#This Row],[Adult Clothes]],0)</f>
        <v>0</v>
      </c>
      <c r="AJ75" s="131">
        <f>IF(NFI_Expiration=1,IF($A75&lt;VLOOKUP(U$5,NFI,5,0),1,0)*Data_NFI_t[[#This Row],[Children Clothes]],0)</f>
        <v>0</v>
      </c>
      <c r="AK75" s="131">
        <f>IF(NFI_Expiration=1,IF($A75&lt;VLOOKUP(V$5,NFI,5,0),1,0)*Data_NFI_t[[#This Row],[Sewing Kit]],0)</f>
        <v>0</v>
      </c>
      <c r="AL75" s="901">
        <f>IF(NFI_Expiration=1,IF($A75&lt;VLOOKUP(V$5,NFI,5,0),1,0)*Data_NFI_t[[#This Row],[Solar Lantern]],0)</f>
        <v>0</v>
      </c>
      <c r="AM75" s="131" t="str">
        <f ca="1">IFERROR(OFFSET(Camp_List[P_Code],MATCH(Data_NFI_t[[#This Row],[Camp Name]],Camp_List[Camp Name],0)-1,0,1,1),"")</f>
        <v>MMR012CMP045</v>
      </c>
      <c r="AN75" s="513" t="str">
        <f ca="1">IFERROR(OFFSET(Camp_List[Status],MATCH(Data_NFI_t[[#This Row],[Camp Name]],Camp_List[Camp Name],0)-1,0,1,1),"")</f>
        <v>Open</v>
      </c>
      <c r="AO75" s="131"/>
    </row>
    <row r="76" spans="1:41" s="90" customFormat="1" ht="19.5" customHeight="1" x14ac:dyDescent="0.25">
      <c r="A76" s="242">
        <f t="shared" si="2"/>
        <v>19.733333333333334</v>
      </c>
      <c r="B76" s="242">
        <v>2015</v>
      </c>
      <c r="C76" s="913">
        <v>42264</v>
      </c>
      <c r="D76" s="489" t="s">
        <v>285</v>
      </c>
      <c r="E76" s="488" t="s">
        <v>939</v>
      </c>
      <c r="F76" s="489" t="s">
        <v>7</v>
      </c>
      <c r="G76" s="790" t="s">
        <v>16</v>
      </c>
      <c r="H76" s="790" t="s">
        <v>604</v>
      </c>
      <c r="I76" s="790">
        <v>0</v>
      </c>
      <c r="J76" s="51">
        <v>0</v>
      </c>
      <c r="K76" s="51">
        <v>0</v>
      </c>
      <c r="L76" s="51">
        <v>0</v>
      </c>
      <c r="M76" s="51">
        <v>10</v>
      </c>
      <c r="N76" s="51">
        <v>0</v>
      </c>
      <c r="O76" s="51">
        <v>0</v>
      </c>
      <c r="P76" s="51">
        <v>0</v>
      </c>
      <c r="Q76" s="51">
        <v>0</v>
      </c>
      <c r="R76" s="511">
        <v>0</v>
      </c>
      <c r="S76" s="51">
        <v>0</v>
      </c>
      <c r="T76" s="51"/>
      <c r="U76" s="51"/>
      <c r="V76" s="51"/>
      <c r="W76" s="51"/>
      <c r="X76" s="131">
        <f>IF(NFI_Expiration=1,IF($A76&lt;VLOOKUP(I$5,NFI,5,0),1,0)*Data_NFI_t[[#This Row],[Hygiene Kit]],0)</f>
        <v>0</v>
      </c>
      <c r="Y76" s="131">
        <f>IF(NFI_Expiration=1,IF($A76&lt;VLOOKUP(J$5,NFI,5,0),1,0)*Data_NFI_t[[#This Row],[NFI Core Kit]],0)</f>
        <v>0</v>
      </c>
      <c r="Z76" s="112">
        <f>IF(NFI_Expiration=1,IF($A76&lt;VLOOKUP(K$5,NFI,5,0),1,0)*Data_NFI_t[[#This Row],[Sanitary Kit]],0)</f>
        <v>0</v>
      </c>
      <c r="AA76" s="112">
        <f>IF(NFI_Expiration=1,IF($A76&lt;VLOOKUP(L$5,NFI,5,0),1,0)*Data_NFI_t[[#This Row],[Mosquito net]],0)</f>
        <v>0</v>
      </c>
      <c r="AB76" s="112">
        <f>IF(NFI_Expiration=1,IF($A76&lt;VLOOKUP(M$5,NFI,5,0),1,0)*Data_NFI_t[[#This Row],[Tarpaulin]],0)</f>
        <v>0</v>
      </c>
      <c r="AC76" s="112">
        <f>IF(NFI_Expiration=1,IF($A76&lt;VLOOKUP(N$5,NFI,5,0),1,0)*Data_NFI_t[[#This Row],[Blanket]],0)</f>
        <v>0</v>
      </c>
      <c r="AD76" s="112">
        <f>IF(NFI_Expiration=1,IF($A76&lt;VLOOKUP(O$5,NFI,5,0),1,0)*Data_NFI_t[[#This Row],[Kitchen Set]],0)</f>
        <v>0</v>
      </c>
      <c r="AE76" s="112">
        <f>IF(NFI_Expiration=1,IF($A76&lt;VLOOKUP(P$5,NFI,5,0),1,0)*Data_NFI_t[[#This Row],[Complementary Kit]],0)</f>
        <v>0</v>
      </c>
      <c r="AF76" s="112">
        <f>IF(NFI_Expiration=1,IF($A76&lt;VLOOKUP(Q$5,NFI,5,0),1,0)*Data_NFI_t[[#This Row],[Plastic Bucket]],0)</f>
        <v>0</v>
      </c>
      <c r="AG76" s="112">
        <f>IF(NFI_Expiration=1,IF($A76&lt;VLOOKUP(R$5,NFI,5,0),1,0)*Data_NFI_t[[#This Row],[Jerry Can]],0)</f>
        <v>0</v>
      </c>
      <c r="AH76" s="131">
        <f>IF(NFI_Expiration=1,IF($A76&lt;VLOOKUP(S$5,NFI,5,0),1,0)*Data_NFI_t[[#This Row],[Plastic Mat]],0)*IF(Data_NFI_t[[#This Row],[Distribution Date]]&gt;"01-06-2015",1,2.5)</f>
        <v>0</v>
      </c>
      <c r="AI76" s="901">
        <f>IF(NFI_Expiration=1,IF($A76&lt;VLOOKUP(T$5,NFI,5,0),1,0)*Data_NFI_t[[#This Row],[Adult Clothes]],0)</f>
        <v>0</v>
      </c>
      <c r="AJ76" s="131">
        <f>IF(NFI_Expiration=1,IF($A76&lt;VLOOKUP(U$5,NFI,5,0),1,0)*Data_NFI_t[[#This Row],[Children Clothes]],0)</f>
        <v>0</v>
      </c>
      <c r="AK76" s="131">
        <f>IF(NFI_Expiration=1,IF($A76&lt;VLOOKUP(V$5,NFI,5,0),1,0)*Data_NFI_t[[#This Row],[Sewing Kit]],0)</f>
        <v>0</v>
      </c>
      <c r="AL76" s="901">
        <f>IF(NFI_Expiration=1,IF($A76&lt;VLOOKUP(V$5,NFI,5,0),1,0)*Data_NFI_t[[#This Row],[Solar Lantern]],0)</f>
        <v>0</v>
      </c>
      <c r="AM76" s="131" t="str">
        <f ca="1">IFERROR(OFFSET(Camp_List[P_Code],MATCH(Data_NFI_t[[#This Row],[Camp Name]],Camp_List[Camp Name],0)-1,0,1,1),"")</f>
        <v>MMR012CMP033</v>
      </c>
      <c r="AN76" s="513" t="str">
        <f ca="1">IFERROR(OFFSET(Camp_List[Status],MATCH(Data_NFI_t[[#This Row],[Camp Name]],Camp_List[Camp Name],0)-1,0,1,1),"")</f>
        <v>Open</v>
      </c>
      <c r="AO76" s="131"/>
    </row>
    <row r="77" spans="1:41" s="90" customFormat="1" ht="19.5" customHeight="1" x14ac:dyDescent="0.25">
      <c r="A77" s="242">
        <f t="shared" si="2"/>
        <v>20.933333333333334</v>
      </c>
      <c r="B77" s="242">
        <f>YEAR(Data_NFI_t[[#This Row],[Distribution Date]])</f>
        <v>2015</v>
      </c>
      <c r="C77" s="913">
        <v>42228</v>
      </c>
      <c r="D77" s="489" t="s">
        <v>285</v>
      </c>
      <c r="E77" s="488" t="s">
        <v>288</v>
      </c>
      <c r="F77" s="489" t="s">
        <v>7</v>
      </c>
      <c r="G77" s="790" t="s">
        <v>19</v>
      </c>
      <c r="H77" s="790" t="s">
        <v>67</v>
      </c>
      <c r="I77" s="790"/>
      <c r="J77" s="51">
        <v>273</v>
      </c>
      <c r="K77" s="51"/>
      <c r="L77" s="51">
        <v>546</v>
      </c>
      <c r="M77" s="51">
        <v>273</v>
      </c>
      <c r="N77" s="51">
        <v>546</v>
      </c>
      <c r="O77" s="51">
        <v>273</v>
      </c>
      <c r="P77" s="51"/>
      <c r="Q77" s="51">
        <v>273</v>
      </c>
      <c r="R77" s="511">
        <v>273</v>
      </c>
      <c r="S77" s="51">
        <v>1365</v>
      </c>
      <c r="T77" s="51"/>
      <c r="U77" s="51"/>
      <c r="V77" s="51"/>
      <c r="W77" s="51"/>
      <c r="X77" s="131">
        <f>IF(NFI_Expiration=1,IF($A77&lt;VLOOKUP(I$5,NFI,5,0),1,0)*Data_NFI_t[[#This Row],[Hygiene Kit]],0)</f>
        <v>0</v>
      </c>
      <c r="Y77" s="131">
        <f>IF(NFI_Expiration=1,IF($A77&lt;VLOOKUP(J$5,NFI,5,0),1,0)*Data_NFI_t[[#This Row],[NFI Core Kit]],0)</f>
        <v>0</v>
      </c>
      <c r="Z77" s="112">
        <f>IF(NFI_Expiration=1,IF($A77&lt;VLOOKUP(K$5,NFI,5,0),1,0)*Data_NFI_t[[#This Row],[Sanitary Kit]],0)</f>
        <v>0</v>
      </c>
      <c r="AA77" s="112">
        <f>IF(NFI_Expiration=1,IF($A77&lt;VLOOKUP(L$5,NFI,5,0),1,0)*Data_NFI_t[[#This Row],[Mosquito net]],0)</f>
        <v>0</v>
      </c>
      <c r="AB77" s="112">
        <f>IF(NFI_Expiration=1,IF($A77&lt;VLOOKUP(M$5,NFI,5,0),1,0)*Data_NFI_t[[#This Row],[Tarpaulin]],0)</f>
        <v>0</v>
      </c>
      <c r="AC77" s="112">
        <f>IF(NFI_Expiration=1,IF($A77&lt;VLOOKUP(N$5,NFI,5,0),1,0)*Data_NFI_t[[#This Row],[Blanket]],0)</f>
        <v>0</v>
      </c>
      <c r="AD77" s="112">
        <f>IF(NFI_Expiration=1,IF($A77&lt;VLOOKUP(O$5,NFI,5,0),1,0)*Data_NFI_t[[#This Row],[Kitchen Set]],0)</f>
        <v>0</v>
      </c>
      <c r="AE77" s="112">
        <f>IF(NFI_Expiration=1,IF($A77&lt;VLOOKUP(P$5,NFI,5,0),1,0)*Data_NFI_t[[#This Row],[Complementary Kit]],0)</f>
        <v>0</v>
      </c>
      <c r="AF77" s="112">
        <f>IF(NFI_Expiration=1,IF($A77&lt;VLOOKUP(Q$5,NFI,5,0),1,0)*Data_NFI_t[[#This Row],[Plastic Bucket]],0)</f>
        <v>0</v>
      </c>
      <c r="AG77" s="112">
        <f>IF(NFI_Expiration=1,IF($A77&lt;VLOOKUP(R$5,NFI,5,0),1,0)*Data_NFI_t[[#This Row],[Jerry Can]],0)</f>
        <v>0</v>
      </c>
      <c r="AH77" s="131">
        <f>IF(NFI_Expiration=1,IF($A77&lt;VLOOKUP(S$5,NFI,5,0),1,0)*Data_NFI_t[[#This Row],[Plastic Mat]],0)*IF(Data_NFI_t[[#This Row],[Distribution Date]]&gt;"01-06-2015",1,2.5)</f>
        <v>0</v>
      </c>
      <c r="AI77" s="901">
        <f>IF(NFI_Expiration=1,IF($A77&lt;VLOOKUP(T$5,NFI,5,0),1,0)*Data_NFI_t[[#This Row],[Adult Clothes]],0)</f>
        <v>0</v>
      </c>
      <c r="AJ77" s="131">
        <f>IF(NFI_Expiration=1,IF($A77&lt;VLOOKUP(U$5,NFI,5,0),1,0)*Data_NFI_t[[#This Row],[Children Clothes]],0)</f>
        <v>0</v>
      </c>
      <c r="AK77" s="131">
        <f>IF(NFI_Expiration=1,IF($A77&lt;VLOOKUP(V$5,NFI,5,0),1,0)*Data_NFI_t[[#This Row],[Sewing Kit]],0)</f>
        <v>0</v>
      </c>
      <c r="AL77" s="901">
        <f>IF(NFI_Expiration=1,IF($A77&lt;VLOOKUP(V$5,NFI,5,0),1,0)*Data_NFI_t[[#This Row],[Solar Lantern]],0)</f>
        <v>0</v>
      </c>
      <c r="AM77" s="131" t="str">
        <f ca="1">IFERROR(OFFSET(Camp_List[P_Code],MATCH(Data_NFI_t[[#This Row],[Camp Name]],Camp_List[Camp Name],0)-1,0,1,1),"")</f>
        <v>MMR012CMP045</v>
      </c>
      <c r="AN77" s="513" t="str">
        <f ca="1">IFERROR(OFFSET(Camp_List[Status],MATCH(Data_NFI_t[[#This Row],[Camp Name]],Camp_List[Camp Name],0)-1,0,1,1),"")</f>
        <v>Open</v>
      </c>
      <c r="AO77" s="131"/>
    </row>
    <row r="78" spans="1:41" s="90" customFormat="1" ht="19.5" customHeight="1" x14ac:dyDescent="0.25">
      <c r="A78" s="242">
        <f t="shared" si="2"/>
        <v>20.933333333333334</v>
      </c>
      <c r="B78" s="242">
        <f>YEAR(Data_NFI_t[[#This Row],[Distribution Date]])</f>
        <v>2015</v>
      </c>
      <c r="C78" s="913">
        <v>42228</v>
      </c>
      <c r="D78" s="489" t="s">
        <v>285</v>
      </c>
      <c r="E78" s="488" t="s">
        <v>623</v>
      </c>
      <c r="F78" s="489" t="s">
        <v>7</v>
      </c>
      <c r="G78" s="790" t="s">
        <v>19</v>
      </c>
      <c r="H78" s="790" t="s">
        <v>61</v>
      </c>
      <c r="I78" s="790"/>
      <c r="J78" s="51">
        <v>59</v>
      </c>
      <c r="K78" s="51"/>
      <c r="L78" s="51">
        <v>6</v>
      </c>
      <c r="M78" s="51">
        <v>3</v>
      </c>
      <c r="N78" s="51">
        <v>6</v>
      </c>
      <c r="O78" s="51">
        <v>3</v>
      </c>
      <c r="P78" s="51"/>
      <c r="Q78" s="51">
        <v>3</v>
      </c>
      <c r="R78" s="511">
        <v>3</v>
      </c>
      <c r="S78" s="51">
        <v>15</v>
      </c>
      <c r="T78" s="51"/>
      <c r="U78" s="51"/>
      <c r="V78" s="51"/>
      <c r="W78" s="51"/>
      <c r="X78" s="131">
        <f>IF(NFI_Expiration=1,IF($A78&lt;VLOOKUP(I$5,NFI,5,0),1,0)*Data_NFI_t[[#This Row],[Hygiene Kit]],0)</f>
        <v>0</v>
      </c>
      <c r="Y78" s="131">
        <f>IF(NFI_Expiration=1,IF($A78&lt;VLOOKUP(J$5,NFI,5,0),1,0)*Data_NFI_t[[#This Row],[NFI Core Kit]],0)</f>
        <v>0</v>
      </c>
      <c r="Z78" s="112">
        <f>IF(NFI_Expiration=1,IF($A78&lt;VLOOKUP(K$5,NFI,5,0),1,0)*Data_NFI_t[[#This Row],[Sanitary Kit]],0)</f>
        <v>0</v>
      </c>
      <c r="AA78" s="112">
        <f>IF(NFI_Expiration=1,IF($A78&lt;VLOOKUP(L$5,NFI,5,0),1,0)*Data_NFI_t[[#This Row],[Mosquito net]],0)</f>
        <v>0</v>
      </c>
      <c r="AB78" s="112">
        <f>IF(NFI_Expiration=1,IF($A78&lt;VLOOKUP(M$5,NFI,5,0),1,0)*Data_NFI_t[[#This Row],[Tarpaulin]],0)</f>
        <v>0</v>
      </c>
      <c r="AC78" s="112">
        <f>IF(NFI_Expiration=1,IF($A78&lt;VLOOKUP(N$5,NFI,5,0),1,0)*Data_NFI_t[[#This Row],[Blanket]],0)</f>
        <v>0</v>
      </c>
      <c r="AD78" s="112">
        <f>IF(NFI_Expiration=1,IF($A78&lt;VLOOKUP(O$5,NFI,5,0),1,0)*Data_NFI_t[[#This Row],[Kitchen Set]],0)</f>
        <v>0</v>
      </c>
      <c r="AE78" s="112">
        <f>IF(NFI_Expiration=1,IF($A78&lt;VLOOKUP(P$5,NFI,5,0),1,0)*Data_NFI_t[[#This Row],[Complementary Kit]],0)</f>
        <v>0</v>
      </c>
      <c r="AF78" s="112">
        <f>IF(NFI_Expiration=1,IF($A78&lt;VLOOKUP(Q$5,NFI,5,0),1,0)*Data_NFI_t[[#This Row],[Plastic Bucket]],0)</f>
        <v>0</v>
      </c>
      <c r="AG78" s="112">
        <f>IF(NFI_Expiration=1,IF($A78&lt;VLOOKUP(R$5,NFI,5,0),1,0)*Data_NFI_t[[#This Row],[Jerry Can]],0)</f>
        <v>0</v>
      </c>
      <c r="AH78" s="131">
        <f>IF(NFI_Expiration=1,IF($A78&lt;VLOOKUP(S$5,NFI,5,0),1,0)*Data_NFI_t[[#This Row],[Plastic Mat]],0)*IF(Data_NFI_t[[#This Row],[Distribution Date]]&gt;"01-06-2015",1,2.5)</f>
        <v>0</v>
      </c>
      <c r="AI78" s="901">
        <f>IF(NFI_Expiration=1,IF($A78&lt;VLOOKUP(T$5,NFI,5,0),1,0)*Data_NFI_t[[#This Row],[Adult Clothes]],0)</f>
        <v>0</v>
      </c>
      <c r="AJ78" s="131">
        <f>IF(NFI_Expiration=1,IF($A78&lt;VLOOKUP(U$5,NFI,5,0),1,0)*Data_NFI_t[[#This Row],[Children Clothes]],0)</f>
        <v>0</v>
      </c>
      <c r="AK78" s="131">
        <f>IF(NFI_Expiration=1,IF($A78&lt;VLOOKUP(V$5,NFI,5,0),1,0)*Data_NFI_t[[#This Row],[Sewing Kit]],0)</f>
        <v>0</v>
      </c>
      <c r="AL78" s="901">
        <f>IF(NFI_Expiration=1,IF($A78&lt;VLOOKUP(V$5,NFI,5,0),1,0)*Data_NFI_t[[#This Row],[Solar Lantern]],0)</f>
        <v>0</v>
      </c>
      <c r="AM78" s="131" t="str">
        <f ca="1">IFERROR(OFFSET(Camp_List[P_Code],MATCH(Data_NFI_t[[#This Row],[Camp Name]],Camp_List[Camp Name],0)-1,0,1,1),"")</f>
        <v>MMR012CMP039</v>
      </c>
      <c r="AN78" s="513" t="str">
        <f ca="1">IFERROR(OFFSET(Camp_List[Status],MATCH(Data_NFI_t[[#This Row],[Camp Name]],Camp_List[Camp Name],0)-1,0,1,1),"")</f>
        <v>Open</v>
      </c>
      <c r="AO78" s="131"/>
    </row>
    <row r="79" spans="1:41" s="90" customFormat="1" ht="19.5" customHeight="1" x14ac:dyDescent="0.25">
      <c r="A79" s="242">
        <f t="shared" si="2"/>
        <v>20.933333333333334</v>
      </c>
      <c r="B79" s="242">
        <f>YEAR(Data_NFI_t[[#This Row],[Distribution Date]])</f>
        <v>2015</v>
      </c>
      <c r="C79" s="913">
        <v>42228</v>
      </c>
      <c r="D79" s="489" t="s">
        <v>285</v>
      </c>
      <c r="E79" s="488" t="s">
        <v>623</v>
      </c>
      <c r="F79" s="489" t="s">
        <v>7</v>
      </c>
      <c r="G79" s="790" t="s">
        <v>19</v>
      </c>
      <c r="H79" s="790" t="s">
        <v>64</v>
      </c>
      <c r="I79" s="790"/>
      <c r="J79" s="51">
        <v>160</v>
      </c>
      <c r="K79" s="51"/>
      <c r="L79" s="51">
        <v>96</v>
      </c>
      <c r="M79" s="51">
        <v>48</v>
      </c>
      <c r="N79" s="51">
        <v>96</v>
      </c>
      <c r="O79" s="51">
        <v>48</v>
      </c>
      <c r="P79" s="51"/>
      <c r="Q79" s="51">
        <v>48</v>
      </c>
      <c r="R79" s="511">
        <v>48</v>
      </c>
      <c r="S79" s="51">
        <v>240</v>
      </c>
      <c r="T79" s="51"/>
      <c r="U79" s="51"/>
      <c r="V79" s="51"/>
      <c r="W79" s="51"/>
      <c r="X79" s="131">
        <f>IF(NFI_Expiration=1,IF($A79&lt;VLOOKUP(I$5,NFI,5,0),1,0)*Data_NFI_t[[#This Row],[Hygiene Kit]],0)</f>
        <v>0</v>
      </c>
      <c r="Y79" s="131">
        <f>IF(NFI_Expiration=1,IF($A79&lt;VLOOKUP(J$5,NFI,5,0),1,0)*Data_NFI_t[[#This Row],[NFI Core Kit]],0)</f>
        <v>0</v>
      </c>
      <c r="Z79" s="112">
        <f>IF(NFI_Expiration=1,IF($A79&lt;VLOOKUP(K$5,NFI,5,0),1,0)*Data_NFI_t[[#This Row],[Sanitary Kit]],0)</f>
        <v>0</v>
      </c>
      <c r="AA79" s="112">
        <f>IF(NFI_Expiration=1,IF($A79&lt;VLOOKUP(L$5,NFI,5,0),1,0)*Data_NFI_t[[#This Row],[Mosquito net]],0)</f>
        <v>0</v>
      </c>
      <c r="AB79" s="112">
        <f>IF(NFI_Expiration=1,IF($A79&lt;VLOOKUP(M$5,NFI,5,0),1,0)*Data_NFI_t[[#This Row],[Tarpaulin]],0)</f>
        <v>0</v>
      </c>
      <c r="AC79" s="112">
        <f>IF(NFI_Expiration=1,IF($A79&lt;VLOOKUP(N$5,NFI,5,0),1,0)*Data_NFI_t[[#This Row],[Blanket]],0)</f>
        <v>0</v>
      </c>
      <c r="AD79" s="112">
        <f>IF(NFI_Expiration=1,IF($A79&lt;VLOOKUP(O$5,NFI,5,0),1,0)*Data_NFI_t[[#This Row],[Kitchen Set]],0)</f>
        <v>0</v>
      </c>
      <c r="AE79" s="112">
        <f>IF(NFI_Expiration=1,IF($A79&lt;VLOOKUP(P$5,NFI,5,0),1,0)*Data_NFI_t[[#This Row],[Complementary Kit]],0)</f>
        <v>0</v>
      </c>
      <c r="AF79" s="112">
        <f>IF(NFI_Expiration=1,IF($A79&lt;VLOOKUP(Q$5,NFI,5,0),1,0)*Data_NFI_t[[#This Row],[Plastic Bucket]],0)</f>
        <v>0</v>
      </c>
      <c r="AG79" s="112">
        <f>IF(NFI_Expiration=1,IF($A79&lt;VLOOKUP(R$5,NFI,5,0),1,0)*Data_NFI_t[[#This Row],[Jerry Can]],0)</f>
        <v>0</v>
      </c>
      <c r="AH79" s="131">
        <f>IF(NFI_Expiration=1,IF($A79&lt;VLOOKUP(S$5,NFI,5,0),1,0)*Data_NFI_t[[#This Row],[Plastic Mat]],0)*IF(Data_NFI_t[[#This Row],[Distribution Date]]&gt;"01-06-2015",1,2.5)</f>
        <v>0</v>
      </c>
      <c r="AI79" s="901">
        <f>IF(NFI_Expiration=1,IF($A79&lt;VLOOKUP(T$5,NFI,5,0),1,0)*Data_NFI_t[[#This Row],[Adult Clothes]],0)</f>
        <v>0</v>
      </c>
      <c r="AJ79" s="131">
        <f>IF(NFI_Expiration=1,IF($A79&lt;VLOOKUP(U$5,NFI,5,0),1,0)*Data_NFI_t[[#This Row],[Children Clothes]],0)</f>
        <v>0</v>
      </c>
      <c r="AK79" s="131">
        <f>IF(NFI_Expiration=1,IF($A79&lt;VLOOKUP(V$5,NFI,5,0),1,0)*Data_NFI_t[[#This Row],[Sewing Kit]],0)</f>
        <v>0</v>
      </c>
      <c r="AL79" s="901">
        <f>IF(NFI_Expiration=1,IF($A79&lt;VLOOKUP(V$5,NFI,5,0),1,0)*Data_NFI_t[[#This Row],[Solar Lantern]],0)</f>
        <v>0</v>
      </c>
      <c r="AM79" s="131" t="str">
        <f ca="1">IFERROR(OFFSET(Camp_List[P_Code],MATCH(Data_NFI_t[[#This Row],[Camp Name]],Camp_List[Camp Name],0)-1,0,1,1),"")</f>
        <v>MMR012CMP042</v>
      </c>
      <c r="AN79" s="513" t="str">
        <f ca="1">IFERROR(OFFSET(Camp_List[Status],MATCH(Data_NFI_t[[#This Row],[Camp Name]],Camp_List[Camp Name],0)-1,0,1,1),"")</f>
        <v>Open</v>
      </c>
      <c r="AO79" s="131"/>
    </row>
    <row r="80" spans="1:41" s="90" customFormat="1" ht="19.5" customHeight="1" x14ac:dyDescent="0.25">
      <c r="A80" s="242">
        <f t="shared" si="2"/>
        <v>21.066666666666666</v>
      </c>
      <c r="B80" s="242">
        <f>YEAR(Data_NFI_t[[#This Row],[Distribution Date]])</f>
        <v>2015</v>
      </c>
      <c r="C80" s="913">
        <v>42224</v>
      </c>
      <c r="D80" s="489" t="s">
        <v>285</v>
      </c>
      <c r="E80" s="488" t="s">
        <v>515</v>
      </c>
      <c r="F80" s="489" t="s">
        <v>7</v>
      </c>
      <c r="G80" s="790" t="s">
        <v>14</v>
      </c>
      <c r="H80" s="790" t="s">
        <v>42</v>
      </c>
      <c r="I80" s="790"/>
      <c r="J80" s="51"/>
      <c r="K80" s="51"/>
      <c r="L80" s="51">
        <v>62</v>
      </c>
      <c r="M80" s="51">
        <v>31</v>
      </c>
      <c r="N80" s="51">
        <v>62</v>
      </c>
      <c r="O80" s="51">
        <v>31</v>
      </c>
      <c r="P80" s="51"/>
      <c r="Q80" s="51">
        <v>31</v>
      </c>
      <c r="R80" s="511">
        <v>31</v>
      </c>
      <c r="S80" s="51">
        <v>155</v>
      </c>
      <c r="T80" s="51"/>
      <c r="U80" s="51"/>
      <c r="V80" s="51"/>
      <c r="W80" s="51"/>
      <c r="X80" s="131">
        <f>IF(NFI_Expiration=1,IF($A80&lt;VLOOKUP(I$5,NFI,5,0),1,0)*Data_NFI_t[[#This Row],[Hygiene Kit]],0)</f>
        <v>0</v>
      </c>
      <c r="Y80" s="131">
        <f>IF(NFI_Expiration=1,IF($A80&lt;VLOOKUP(J$5,NFI,5,0),1,0)*Data_NFI_t[[#This Row],[NFI Core Kit]],0)</f>
        <v>0</v>
      </c>
      <c r="Z80" s="112">
        <f>IF(NFI_Expiration=1,IF($A80&lt;VLOOKUP(K$5,NFI,5,0),1,0)*Data_NFI_t[[#This Row],[Sanitary Kit]],0)</f>
        <v>0</v>
      </c>
      <c r="AA80" s="112">
        <f>IF(NFI_Expiration=1,IF($A80&lt;VLOOKUP(L$5,NFI,5,0),1,0)*Data_NFI_t[[#This Row],[Mosquito net]],0)</f>
        <v>0</v>
      </c>
      <c r="AB80" s="112">
        <f>IF(NFI_Expiration=1,IF($A80&lt;VLOOKUP(M$5,NFI,5,0),1,0)*Data_NFI_t[[#This Row],[Tarpaulin]],0)</f>
        <v>0</v>
      </c>
      <c r="AC80" s="112">
        <f>IF(NFI_Expiration=1,IF($A80&lt;VLOOKUP(N$5,NFI,5,0),1,0)*Data_NFI_t[[#This Row],[Blanket]],0)</f>
        <v>0</v>
      </c>
      <c r="AD80" s="112">
        <f>IF(NFI_Expiration=1,IF($A80&lt;VLOOKUP(O$5,NFI,5,0),1,0)*Data_NFI_t[[#This Row],[Kitchen Set]],0)</f>
        <v>0</v>
      </c>
      <c r="AE80" s="112">
        <f>IF(NFI_Expiration=1,IF($A80&lt;VLOOKUP(P$5,NFI,5,0),1,0)*Data_NFI_t[[#This Row],[Complementary Kit]],0)</f>
        <v>0</v>
      </c>
      <c r="AF80" s="112">
        <f>IF(NFI_Expiration=1,IF($A80&lt;VLOOKUP(Q$5,NFI,5,0),1,0)*Data_NFI_t[[#This Row],[Plastic Bucket]],0)</f>
        <v>0</v>
      </c>
      <c r="AG80" s="112">
        <f>IF(NFI_Expiration=1,IF($A80&lt;VLOOKUP(R$5,NFI,5,0),1,0)*Data_NFI_t[[#This Row],[Jerry Can]],0)</f>
        <v>0</v>
      </c>
      <c r="AH80" s="131">
        <f>IF(NFI_Expiration=1,IF($A80&lt;VLOOKUP(S$5,NFI,5,0),1,0)*Data_NFI_t[[#This Row],[Plastic Mat]],0)*IF(Data_NFI_t[[#This Row],[Distribution Date]]&gt;"01-06-2015",1,2.5)</f>
        <v>0</v>
      </c>
      <c r="AI80" s="901">
        <f>IF(NFI_Expiration=1,IF($A80&lt;VLOOKUP(T$5,NFI,5,0),1,0)*Data_NFI_t[[#This Row],[Adult Clothes]],0)</f>
        <v>0</v>
      </c>
      <c r="AJ80" s="131">
        <f>IF(NFI_Expiration=1,IF($A80&lt;VLOOKUP(U$5,NFI,5,0),1,0)*Data_NFI_t[[#This Row],[Children Clothes]],0)</f>
        <v>0</v>
      </c>
      <c r="AK80" s="131">
        <f>IF(NFI_Expiration=1,IF($A80&lt;VLOOKUP(V$5,NFI,5,0),1,0)*Data_NFI_t[[#This Row],[Sewing Kit]],0)</f>
        <v>0</v>
      </c>
      <c r="AL80" s="901">
        <f>IF(NFI_Expiration=1,IF($A80&lt;VLOOKUP(V$5,NFI,5,0),1,0)*Data_NFI_t[[#This Row],[Solar Lantern]],0)</f>
        <v>0</v>
      </c>
      <c r="AM80" s="131" t="str">
        <f ca="1">IFERROR(OFFSET(Camp_List[P_Code],MATCH(Data_NFI_t[[#This Row],[Camp Name]],Camp_List[Camp Name],0)-1,0,1,1),"")</f>
        <v>MMR012CMP018</v>
      </c>
      <c r="AN80" s="513" t="str">
        <f ca="1">IFERROR(OFFSET(Camp_List[Status],MATCH(Data_NFI_t[[#This Row],[Camp Name]],Camp_List[Camp Name],0)-1,0,1,1),"")</f>
        <v>Open</v>
      </c>
      <c r="AO80" s="131"/>
    </row>
    <row r="81" spans="1:41" s="90" customFormat="1" ht="19.5" customHeight="1" x14ac:dyDescent="0.25">
      <c r="A81" s="242">
        <f t="shared" si="2"/>
        <v>21.566666666666666</v>
      </c>
      <c r="B81" s="242">
        <f>YEAR(Data_NFI_t[[#This Row],[Distribution Date]])</f>
        <v>2015</v>
      </c>
      <c r="C81" s="913">
        <v>42209</v>
      </c>
      <c r="D81" s="489" t="s">
        <v>285</v>
      </c>
      <c r="E81" s="488" t="s">
        <v>515</v>
      </c>
      <c r="F81" s="489" t="s">
        <v>7</v>
      </c>
      <c r="G81" s="790" t="s">
        <v>19</v>
      </c>
      <c r="H81" s="790" t="s">
        <v>70</v>
      </c>
      <c r="I81" s="790"/>
      <c r="J81" s="51">
        <v>984</v>
      </c>
      <c r="K81" s="51"/>
      <c r="L81" s="51">
        <v>1968</v>
      </c>
      <c r="M81" s="51">
        <v>984</v>
      </c>
      <c r="N81" s="51">
        <v>1968</v>
      </c>
      <c r="O81" s="51">
        <v>984</v>
      </c>
      <c r="P81" s="51"/>
      <c r="Q81" s="51">
        <v>984</v>
      </c>
      <c r="R81" s="511">
        <v>984</v>
      </c>
      <c r="S81" s="51">
        <v>4920</v>
      </c>
      <c r="T81" s="51"/>
      <c r="U81" s="51"/>
      <c r="V81" s="51"/>
      <c r="W81" s="51"/>
      <c r="X81" s="131">
        <f>IF(NFI_Expiration=1,IF($A81&lt;VLOOKUP(I$5,NFI,5,0),1,0)*Data_NFI_t[[#This Row],[Hygiene Kit]],0)</f>
        <v>0</v>
      </c>
      <c r="Y81" s="131">
        <f>IF(NFI_Expiration=1,IF($A81&lt;VLOOKUP(J$5,NFI,5,0),1,0)*Data_NFI_t[[#This Row],[NFI Core Kit]],0)</f>
        <v>0</v>
      </c>
      <c r="Z81" s="112">
        <f>IF(NFI_Expiration=1,IF($A81&lt;VLOOKUP(K$5,NFI,5,0),1,0)*Data_NFI_t[[#This Row],[Sanitary Kit]],0)</f>
        <v>0</v>
      </c>
      <c r="AA81" s="112">
        <f>IF(NFI_Expiration=1,IF($A81&lt;VLOOKUP(L$5,NFI,5,0),1,0)*Data_NFI_t[[#This Row],[Mosquito net]],0)</f>
        <v>0</v>
      </c>
      <c r="AB81" s="112">
        <f>IF(NFI_Expiration=1,IF($A81&lt;VLOOKUP(M$5,NFI,5,0),1,0)*Data_NFI_t[[#This Row],[Tarpaulin]],0)</f>
        <v>0</v>
      </c>
      <c r="AC81" s="112">
        <f>IF(NFI_Expiration=1,IF($A81&lt;VLOOKUP(N$5,NFI,5,0),1,0)*Data_NFI_t[[#This Row],[Blanket]],0)</f>
        <v>0</v>
      </c>
      <c r="AD81" s="112">
        <f>IF(NFI_Expiration=1,IF($A81&lt;VLOOKUP(O$5,NFI,5,0),1,0)*Data_NFI_t[[#This Row],[Kitchen Set]],0)</f>
        <v>0</v>
      </c>
      <c r="AE81" s="112">
        <f>IF(NFI_Expiration=1,IF($A81&lt;VLOOKUP(P$5,NFI,5,0),1,0)*Data_NFI_t[[#This Row],[Complementary Kit]],0)</f>
        <v>0</v>
      </c>
      <c r="AF81" s="112">
        <f>IF(NFI_Expiration=1,IF($A81&lt;VLOOKUP(Q$5,NFI,5,0),1,0)*Data_NFI_t[[#This Row],[Plastic Bucket]],0)</f>
        <v>0</v>
      </c>
      <c r="AG81" s="112">
        <f>IF(NFI_Expiration=1,IF($A81&lt;VLOOKUP(R$5,NFI,5,0),1,0)*Data_NFI_t[[#This Row],[Jerry Can]],0)</f>
        <v>0</v>
      </c>
      <c r="AH81" s="131">
        <f>IF(NFI_Expiration=1,IF($A81&lt;VLOOKUP(S$5,NFI,5,0),1,0)*Data_NFI_t[[#This Row],[Plastic Mat]],0)*IF(Data_NFI_t[[#This Row],[Distribution Date]]&gt;"01-06-2015",1,2.5)</f>
        <v>0</v>
      </c>
      <c r="AI81" s="901">
        <f>IF(NFI_Expiration=1,IF($A81&lt;VLOOKUP(T$5,NFI,5,0),1,0)*Data_NFI_t[[#This Row],[Adult Clothes]],0)</f>
        <v>0</v>
      </c>
      <c r="AJ81" s="131">
        <f>IF(NFI_Expiration=1,IF($A81&lt;VLOOKUP(U$5,NFI,5,0),1,0)*Data_NFI_t[[#This Row],[Children Clothes]],0)</f>
        <v>0</v>
      </c>
      <c r="AK81" s="131">
        <f>IF(NFI_Expiration=1,IF($A81&lt;VLOOKUP(V$5,NFI,5,0),1,0)*Data_NFI_t[[#This Row],[Sewing Kit]],0)</f>
        <v>0</v>
      </c>
      <c r="AL81" s="901">
        <f>IF(NFI_Expiration=1,IF($A81&lt;VLOOKUP(V$5,NFI,5,0),1,0)*Data_NFI_t[[#This Row],[Solar Lantern]],0)</f>
        <v>0</v>
      </c>
      <c r="AM81" s="131" t="str">
        <f ca="1">IFERROR(OFFSET(Camp_List[P_Code],MATCH(Data_NFI_t[[#This Row],[Camp Name]],Camp_List[Camp Name],0)-1,0,1,1),"")</f>
        <v>MMR012CMP048</v>
      </c>
      <c r="AN81" s="513" t="str">
        <f ca="1">IFERROR(OFFSET(Camp_List[Status],MATCH(Data_NFI_t[[#This Row],[Camp Name]],Camp_List[Camp Name],0)-1,0,1,1),"")</f>
        <v>Open</v>
      </c>
      <c r="AO81" s="131"/>
    </row>
    <row r="82" spans="1:41" s="90" customFormat="1" ht="19.5" customHeight="1" x14ac:dyDescent="0.25">
      <c r="A82" s="242">
        <f t="shared" si="2"/>
        <v>21.6</v>
      </c>
      <c r="B82" s="242">
        <v>2015</v>
      </c>
      <c r="C82" s="913">
        <v>42208</v>
      </c>
      <c r="D82" s="489" t="s">
        <v>285</v>
      </c>
      <c r="E82" s="488" t="s">
        <v>285</v>
      </c>
      <c r="F82" s="489" t="s">
        <v>7</v>
      </c>
      <c r="G82" s="790" t="s">
        <v>16</v>
      </c>
      <c r="H82" s="790" t="s">
        <v>400</v>
      </c>
      <c r="I82" s="790">
        <v>0</v>
      </c>
      <c r="J82" s="51">
        <v>0</v>
      </c>
      <c r="K82" s="51">
        <v>0</v>
      </c>
      <c r="L82" s="51">
        <v>0</v>
      </c>
      <c r="M82" s="51">
        <v>217</v>
      </c>
      <c r="N82" s="51">
        <v>0</v>
      </c>
      <c r="O82" s="51">
        <v>0</v>
      </c>
      <c r="P82" s="51">
        <v>0</v>
      </c>
      <c r="Q82" s="51">
        <v>0</v>
      </c>
      <c r="R82" s="511">
        <v>0</v>
      </c>
      <c r="S82" s="51">
        <v>0</v>
      </c>
      <c r="T82" s="51"/>
      <c r="U82" s="51"/>
      <c r="V82" s="51"/>
      <c r="W82" s="51"/>
      <c r="X82" s="131">
        <f>IF(NFI_Expiration=1,IF($A82&lt;VLOOKUP(I$5,NFI,5,0),1,0)*Data_NFI_t[[#This Row],[Hygiene Kit]],0)</f>
        <v>0</v>
      </c>
      <c r="Y82" s="131">
        <f>IF(NFI_Expiration=1,IF($A82&lt;VLOOKUP(J$5,NFI,5,0),1,0)*Data_NFI_t[[#This Row],[NFI Core Kit]],0)</f>
        <v>0</v>
      </c>
      <c r="Z82" s="112">
        <f>IF(NFI_Expiration=1,IF($A82&lt;VLOOKUP(K$5,NFI,5,0),1,0)*Data_NFI_t[[#This Row],[Sanitary Kit]],0)</f>
        <v>0</v>
      </c>
      <c r="AA82" s="112">
        <f>IF(NFI_Expiration=1,IF($A82&lt;VLOOKUP(L$5,NFI,5,0),1,0)*Data_NFI_t[[#This Row],[Mosquito net]],0)</f>
        <v>0</v>
      </c>
      <c r="AB82" s="112">
        <f>IF(NFI_Expiration=1,IF($A82&lt;VLOOKUP(M$5,NFI,5,0),1,0)*Data_NFI_t[[#This Row],[Tarpaulin]],0)</f>
        <v>0</v>
      </c>
      <c r="AC82" s="112">
        <f>IF(NFI_Expiration=1,IF($A82&lt;VLOOKUP(N$5,NFI,5,0),1,0)*Data_NFI_t[[#This Row],[Blanket]],0)</f>
        <v>0</v>
      </c>
      <c r="AD82" s="112">
        <f>IF(NFI_Expiration=1,IF($A82&lt;VLOOKUP(O$5,NFI,5,0),1,0)*Data_NFI_t[[#This Row],[Kitchen Set]],0)</f>
        <v>0</v>
      </c>
      <c r="AE82" s="112">
        <f>IF(NFI_Expiration=1,IF($A82&lt;VLOOKUP(P$5,NFI,5,0),1,0)*Data_NFI_t[[#This Row],[Complementary Kit]],0)</f>
        <v>0</v>
      </c>
      <c r="AF82" s="112">
        <f>IF(NFI_Expiration=1,IF($A82&lt;VLOOKUP(Q$5,NFI,5,0),1,0)*Data_NFI_t[[#This Row],[Plastic Bucket]],0)</f>
        <v>0</v>
      </c>
      <c r="AG82" s="112">
        <f>IF(NFI_Expiration=1,IF($A82&lt;VLOOKUP(R$5,NFI,5,0),1,0)*Data_NFI_t[[#This Row],[Jerry Can]],0)</f>
        <v>0</v>
      </c>
      <c r="AH82" s="131">
        <f>IF(NFI_Expiration=1,IF($A82&lt;VLOOKUP(S$5,NFI,5,0),1,0)*Data_NFI_t[[#This Row],[Plastic Mat]],0)*IF(Data_NFI_t[[#This Row],[Distribution Date]]&gt;"01-06-2015",1,2.5)</f>
        <v>0</v>
      </c>
      <c r="AI82" s="901">
        <f>IF(NFI_Expiration=1,IF($A82&lt;VLOOKUP(T$5,NFI,5,0),1,0)*Data_NFI_t[[#This Row],[Adult Clothes]],0)</f>
        <v>0</v>
      </c>
      <c r="AJ82" s="131">
        <f>IF(NFI_Expiration=1,IF($A82&lt;VLOOKUP(U$5,NFI,5,0),1,0)*Data_NFI_t[[#This Row],[Children Clothes]],0)</f>
        <v>0</v>
      </c>
      <c r="AK82" s="131">
        <f>IF(NFI_Expiration=1,IF($A82&lt;VLOOKUP(V$5,NFI,5,0),1,0)*Data_NFI_t[[#This Row],[Sewing Kit]],0)</f>
        <v>0</v>
      </c>
      <c r="AL82" s="901">
        <f>IF(NFI_Expiration=1,IF($A82&lt;VLOOKUP(V$5,NFI,5,0),1,0)*Data_NFI_t[[#This Row],[Solar Lantern]],0)</f>
        <v>0</v>
      </c>
      <c r="AM82" s="131" t="str">
        <f ca="1">IFERROR(OFFSET(Camp_List[P_Code],MATCH(Data_NFI_t[[#This Row],[Camp Name]],Camp_List[Camp Name],0)-1,0,1,1),"")</f>
        <v>MMR012CMP110</v>
      </c>
      <c r="AN82" s="513" t="str">
        <f ca="1">IFERROR(OFFSET(Camp_List[Status],MATCH(Data_NFI_t[[#This Row],[Camp Name]],Camp_List[Camp Name],0)-1,0,1,1),"")</f>
        <v>Open</v>
      </c>
      <c r="AO82" s="131"/>
    </row>
    <row r="83" spans="1:41" s="90" customFormat="1" ht="19.5" customHeight="1" x14ac:dyDescent="0.25">
      <c r="A83" s="242">
        <f t="shared" si="2"/>
        <v>21.6</v>
      </c>
      <c r="B83" s="242">
        <v>2015</v>
      </c>
      <c r="C83" s="913">
        <v>42208</v>
      </c>
      <c r="D83" s="489" t="s">
        <v>285</v>
      </c>
      <c r="E83" s="488" t="s">
        <v>285</v>
      </c>
      <c r="F83" s="489" t="s">
        <v>7</v>
      </c>
      <c r="G83" s="790" t="s">
        <v>16</v>
      </c>
      <c r="H83" s="790" t="s">
        <v>604</v>
      </c>
      <c r="I83" s="790">
        <v>0</v>
      </c>
      <c r="J83" s="51">
        <v>0</v>
      </c>
      <c r="K83" s="51">
        <v>0</v>
      </c>
      <c r="L83" s="51">
        <v>0</v>
      </c>
      <c r="M83" s="51">
        <v>167</v>
      </c>
      <c r="N83" s="51">
        <v>0</v>
      </c>
      <c r="O83" s="51">
        <v>0</v>
      </c>
      <c r="P83" s="51">
        <v>0</v>
      </c>
      <c r="Q83" s="51">
        <v>0</v>
      </c>
      <c r="R83" s="511">
        <v>0</v>
      </c>
      <c r="S83" s="51">
        <v>0</v>
      </c>
      <c r="T83" s="51"/>
      <c r="U83" s="51"/>
      <c r="V83" s="51"/>
      <c r="W83" s="51"/>
      <c r="X83" s="131">
        <f>IF(NFI_Expiration=1,IF($A83&lt;VLOOKUP(I$5,NFI,5,0),1,0)*Data_NFI_t[[#This Row],[Hygiene Kit]],0)</f>
        <v>0</v>
      </c>
      <c r="Y83" s="131">
        <f>IF(NFI_Expiration=1,IF($A83&lt;VLOOKUP(J$5,NFI,5,0),1,0)*Data_NFI_t[[#This Row],[NFI Core Kit]],0)</f>
        <v>0</v>
      </c>
      <c r="Z83" s="112">
        <f>IF(NFI_Expiration=1,IF($A83&lt;VLOOKUP(K$5,NFI,5,0),1,0)*Data_NFI_t[[#This Row],[Sanitary Kit]],0)</f>
        <v>0</v>
      </c>
      <c r="AA83" s="112">
        <f>IF(NFI_Expiration=1,IF($A83&lt;VLOOKUP(L$5,NFI,5,0),1,0)*Data_NFI_t[[#This Row],[Mosquito net]],0)</f>
        <v>0</v>
      </c>
      <c r="AB83" s="112">
        <f>IF(NFI_Expiration=1,IF($A83&lt;VLOOKUP(M$5,NFI,5,0),1,0)*Data_NFI_t[[#This Row],[Tarpaulin]],0)</f>
        <v>0</v>
      </c>
      <c r="AC83" s="112">
        <f>IF(NFI_Expiration=1,IF($A83&lt;VLOOKUP(N$5,NFI,5,0),1,0)*Data_NFI_t[[#This Row],[Blanket]],0)</f>
        <v>0</v>
      </c>
      <c r="AD83" s="112">
        <f>IF(NFI_Expiration=1,IF($A83&lt;VLOOKUP(O$5,NFI,5,0),1,0)*Data_NFI_t[[#This Row],[Kitchen Set]],0)</f>
        <v>0</v>
      </c>
      <c r="AE83" s="112">
        <f>IF(NFI_Expiration=1,IF($A83&lt;VLOOKUP(P$5,NFI,5,0),1,0)*Data_NFI_t[[#This Row],[Complementary Kit]],0)</f>
        <v>0</v>
      </c>
      <c r="AF83" s="112">
        <f>IF(NFI_Expiration=1,IF($A83&lt;VLOOKUP(Q$5,NFI,5,0),1,0)*Data_NFI_t[[#This Row],[Plastic Bucket]],0)</f>
        <v>0</v>
      </c>
      <c r="AG83" s="112">
        <f>IF(NFI_Expiration=1,IF($A83&lt;VLOOKUP(R$5,NFI,5,0),1,0)*Data_NFI_t[[#This Row],[Jerry Can]],0)</f>
        <v>0</v>
      </c>
      <c r="AH83" s="131">
        <f>IF(NFI_Expiration=1,IF($A83&lt;VLOOKUP(S$5,NFI,5,0),1,0)*Data_NFI_t[[#This Row],[Plastic Mat]],0)*IF(Data_NFI_t[[#This Row],[Distribution Date]]&gt;"01-06-2015",1,2.5)</f>
        <v>0</v>
      </c>
      <c r="AI83" s="901">
        <f>IF(NFI_Expiration=1,IF($A83&lt;VLOOKUP(T$5,NFI,5,0),1,0)*Data_NFI_t[[#This Row],[Adult Clothes]],0)</f>
        <v>0</v>
      </c>
      <c r="AJ83" s="131">
        <f>IF(NFI_Expiration=1,IF($A83&lt;VLOOKUP(U$5,NFI,5,0),1,0)*Data_NFI_t[[#This Row],[Children Clothes]],0)</f>
        <v>0</v>
      </c>
      <c r="AK83" s="131">
        <f>IF(NFI_Expiration=1,IF($A83&lt;VLOOKUP(V$5,NFI,5,0),1,0)*Data_NFI_t[[#This Row],[Sewing Kit]],0)</f>
        <v>0</v>
      </c>
      <c r="AL83" s="901">
        <f>IF(NFI_Expiration=1,IF($A83&lt;VLOOKUP(V$5,NFI,5,0),1,0)*Data_NFI_t[[#This Row],[Solar Lantern]],0)</f>
        <v>0</v>
      </c>
      <c r="AM83" s="131" t="str">
        <f ca="1">IFERROR(OFFSET(Camp_List[P_Code],MATCH(Data_NFI_t[[#This Row],[Camp Name]],Camp_List[Camp Name],0)-1,0,1,1),"")</f>
        <v>MMR012CMP033</v>
      </c>
      <c r="AN83" s="513" t="str">
        <f ca="1">IFERROR(OFFSET(Camp_List[Status],MATCH(Data_NFI_t[[#This Row],[Camp Name]],Camp_List[Camp Name],0)-1,0,1,1),"")</f>
        <v>Open</v>
      </c>
      <c r="AO83" s="131"/>
    </row>
    <row r="84" spans="1:41" s="90" customFormat="1" ht="19.5" customHeight="1" x14ac:dyDescent="0.25">
      <c r="A84" s="242">
        <f t="shared" si="2"/>
        <v>22.066666666666666</v>
      </c>
      <c r="B84" s="242">
        <f>YEAR(Data_NFI_t[[#This Row],[Distribution Date]])</f>
        <v>2015</v>
      </c>
      <c r="C84" s="913">
        <v>42194</v>
      </c>
      <c r="D84" s="489" t="s">
        <v>285</v>
      </c>
      <c r="E84" s="488" t="s">
        <v>515</v>
      </c>
      <c r="F84" s="489" t="s">
        <v>7</v>
      </c>
      <c r="G84" s="790" t="s">
        <v>19</v>
      </c>
      <c r="H84" s="790" t="s">
        <v>628</v>
      </c>
      <c r="I84" s="790"/>
      <c r="J84" s="51">
        <v>624</v>
      </c>
      <c r="K84" s="51"/>
      <c r="L84" s="51">
        <v>1248</v>
      </c>
      <c r="M84" s="51">
        <v>624</v>
      </c>
      <c r="N84" s="51">
        <v>1248</v>
      </c>
      <c r="O84" s="51">
        <v>624</v>
      </c>
      <c r="P84" s="51"/>
      <c r="Q84" s="51">
        <v>624</v>
      </c>
      <c r="R84" s="511">
        <v>624</v>
      </c>
      <c r="S84" s="51">
        <v>3120</v>
      </c>
      <c r="T84" s="51"/>
      <c r="U84" s="51"/>
      <c r="V84" s="51"/>
      <c r="W84" s="51"/>
      <c r="X84" s="131">
        <f>IF(NFI_Expiration=1,IF($A84&lt;VLOOKUP(I$5,NFI,5,0),1,0)*Data_NFI_t[[#This Row],[Hygiene Kit]],0)</f>
        <v>0</v>
      </c>
      <c r="Y84" s="131">
        <f>IF(NFI_Expiration=1,IF($A84&lt;VLOOKUP(J$5,NFI,5,0),1,0)*Data_NFI_t[[#This Row],[NFI Core Kit]],0)</f>
        <v>0</v>
      </c>
      <c r="Z84" s="112">
        <f>IF(NFI_Expiration=1,IF($A84&lt;VLOOKUP(K$5,NFI,5,0),1,0)*Data_NFI_t[[#This Row],[Sanitary Kit]],0)</f>
        <v>0</v>
      </c>
      <c r="AA84" s="112">
        <f>IF(NFI_Expiration=1,IF($A84&lt;VLOOKUP(L$5,NFI,5,0),1,0)*Data_NFI_t[[#This Row],[Mosquito net]],0)</f>
        <v>0</v>
      </c>
      <c r="AB84" s="112">
        <f>IF(NFI_Expiration=1,IF($A84&lt;VLOOKUP(M$5,NFI,5,0),1,0)*Data_NFI_t[[#This Row],[Tarpaulin]],0)</f>
        <v>0</v>
      </c>
      <c r="AC84" s="112">
        <f>IF(NFI_Expiration=1,IF($A84&lt;VLOOKUP(N$5,NFI,5,0),1,0)*Data_NFI_t[[#This Row],[Blanket]],0)</f>
        <v>0</v>
      </c>
      <c r="AD84" s="112">
        <f>IF(NFI_Expiration=1,IF($A84&lt;VLOOKUP(O$5,NFI,5,0),1,0)*Data_NFI_t[[#This Row],[Kitchen Set]],0)</f>
        <v>0</v>
      </c>
      <c r="AE84" s="112">
        <f>IF(NFI_Expiration=1,IF($A84&lt;VLOOKUP(P$5,NFI,5,0),1,0)*Data_NFI_t[[#This Row],[Complementary Kit]],0)</f>
        <v>0</v>
      </c>
      <c r="AF84" s="112">
        <f>IF(NFI_Expiration=1,IF($A84&lt;VLOOKUP(Q$5,NFI,5,0),1,0)*Data_NFI_t[[#This Row],[Plastic Bucket]],0)</f>
        <v>0</v>
      </c>
      <c r="AG84" s="112">
        <f>IF(NFI_Expiration=1,IF($A84&lt;VLOOKUP(R$5,NFI,5,0),1,0)*Data_NFI_t[[#This Row],[Jerry Can]],0)</f>
        <v>0</v>
      </c>
      <c r="AH84" s="131">
        <f>IF(NFI_Expiration=1,IF($A84&lt;VLOOKUP(S$5,NFI,5,0),1,0)*Data_NFI_t[[#This Row],[Plastic Mat]],0)*IF(Data_NFI_t[[#This Row],[Distribution Date]]&gt;"01-06-2015",1,2.5)</f>
        <v>0</v>
      </c>
      <c r="AI84" s="901">
        <f>IF(NFI_Expiration=1,IF($A84&lt;VLOOKUP(T$5,NFI,5,0),1,0)*Data_NFI_t[[#This Row],[Adult Clothes]],0)</f>
        <v>0</v>
      </c>
      <c r="AJ84" s="131">
        <f>IF(NFI_Expiration=1,IF($A84&lt;VLOOKUP(U$5,NFI,5,0),1,0)*Data_NFI_t[[#This Row],[Children Clothes]],0)</f>
        <v>0</v>
      </c>
      <c r="AK84" s="131">
        <f>IF(NFI_Expiration=1,IF($A84&lt;VLOOKUP(V$5,NFI,5,0),1,0)*Data_NFI_t[[#This Row],[Sewing Kit]],0)</f>
        <v>0</v>
      </c>
      <c r="AL84" s="901">
        <f>IF(NFI_Expiration=1,IF($A84&lt;VLOOKUP(V$5,NFI,5,0),1,0)*Data_NFI_t[[#This Row],[Solar Lantern]],0)</f>
        <v>0</v>
      </c>
      <c r="AM84" s="131" t="str">
        <f ca="1">IFERROR(OFFSET(Camp_List[P_Code],MATCH(Data_NFI_t[[#This Row],[Camp Name]],Camp_List[Camp Name],0)-1,0,1,1),"")</f>
        <v>MMR012CMP092</v>
      </c>
      <c r="AN84" s="513" t="str">
        <f ca="1">IFERROR(OFFSET(Camp_List[Status],MATCH(Data_NFI_t[[#This Row],[Camp Name]],Camp_List[Camp Name],0)-1,0,1,1),"")</f>
        <v>Open</v>
      </c>
      <c r="AO84" s="131"/>
    </row>
    <row r="85" spans="1:41" s="90" customFormat="1" ht="19.5" customHeight="1" x14ac:dyDescent="0.25">
      <c r="A85" s="242">
        <f t="shared" si="2"/>
        <v>22.5</v>
      </c>
      <c r="B85" s="242">
        <f>YEAR(Data_NFI_t[[#This Row],[Distribution Date]])</f>
        <v>2015</v>
      </c>
      <c r="C85" s="913">
        <v>42181</v>
      </c>
      <c r="D85" s="489" t="s">
        <v>285</v>
      </c>
      <c r="E85" s="488" t="s">
        <v>285</v>
      </c>
      <c r="F85" s="489" t="s">
        <v>7</v>
      </c>
      <c r="G85" s="790" t="s">
        <v>15</v>
      </c>
      <c r="H85" s="790" t="s">
        <v>52</v>
      </c>
      <c r="I85" s="790"/>
      <c r="J85" s="51"/>
      <c r="K85" s="51"/>
      <c r="L85" s="51"/>
      <c r="M85" s="51">
        <v>112</v>
      </c>
      <c r="N85" s="51"/>
      <c r="O85" s="51"/>
      <c r="P85" s="51"/>
      <c r="Q85" s="51"/>
      <c r="R85" s="511"/>
      <c r="S85" s="51"/>
      <c r="T85" s="51"/>
      <c r="U85" s="51"/>
      <c r="V85" s="51"/>
      <c r="W85" s="51"/>
      <c r="X85" s="131">
        <f>IF(NFI_Expiration=1,IF($A85&lt;VLOOKUP(I$5,NFI,5,0),1,0)*Data_NFI_t[[#This Row],[Hygiene Kit]],0)</f>
        <v>0</v>
      </c>
      <c r="Y85" s="131">
        <f>IF(NFI_Expiration=1,IF($A85&lt;VLOOKUP(J$5,NFI,5,0),1,0)*Data_NFI_t[[#This Row],[NFI Core Kit]],0)</f>
        <v>0</v>
      </c>
      <c r="Z85" s="112">
        <f>IF(NFI_Expiration=1,IF($A85&lt;VLOOKUP(K$5,NFI,5,0),1,0)*Data_NFI_t[[#This Row],[Sanitary Kit]],0)</f>
        <v>0</v>
      </c>
      <c r="AA85" s="112">
        <f>IF(NFI_Expiration=1,IF($A85&lt;VLOOKUP(L$5,NFI,5,0),1,0)*Data_NFI_t[[#This Row],[Mosquito net]],0)</f>
        <v>0</v>
      </c>
      <c r="AB85" s="112">
        <f>IF(NFI_Expiration=1,IF($A85&lt;VLOOKUP(M$5,NFI,5,0),1,0)*Data_NFI_t[[#This Row],[Tarpaulin]],0)</f>
        <v>0</v>
      </c>
      <c r="AC85" s="112">
        <f>IF(NFI_Expiration=1,IF($A85&lt;VLOOKUP(N$5,NFI,5,0),1,0)*Data_NFI_t[[#This Row],[Blanket]],0)</f>
        <v>0</v>
      </c>
      <c r="AD85" s="112">
        <f>IF(NFI_Expiration=1,IF($A85&lt;VLOOKUP(O$5,NFI,5,0),1,0)*Data_NFI_t[[#This Row],[Kitchen Set]],0)</f>
        <v>0</v>
      </c>
      <c r="AE85" s="112">
        <f>IF(NFI_Expiration=1,IF($A85&lt;VLOOKUP(P$5,NFI,5,0),1,0)*Data_NFI_t[[#This Row],[Complementary Kit]],0)</f>
        <v>0</v>
      </c>
      <c r="AF85" s="112">
        <f>IF(NFI_Expiration=1,IF($A85&lt;VLOOKUP(Q$5,NFI,5,0),1,0)*Data_NFI_t[[#This Row],[Plastic Bucket]],0)</f>
        <v>0</v>
      </c>
      <c r="AG85" s="112">
        <f>IF(NFI_Expiration=1,IF($A85&lt;VLOOKUP(R$5,NFI,5,0),1,0)*Data_NFI_t[[#This Row],[Jerry Can]],0)</f>
        <v>0</v>
      </c>
      <c r="AH85" s="131">
        <f>IF(NFI_Expiration=1,IF($A85&lt;VLOOKUP(S$5,NFI,5,0),1,0)*Data_NFI_t[[#This Row],[Plastic Mat]],0)*IF(Data_NFI_t[[#This Row],[Distribution Date]]&gt;"01-06-2015",1,2.5)</f>
        <v>0</v>
      </c>
      <c r="AI85" s="901">
        <f>IF(NFI_Expiration=1,IF($A85&lt;VLOOKUP(T$5,NFI,5,0),1,0)*Data_NFI_t[[#This Row],[Adult Clothes]],0)</f>
        <v>0</v>
      </c>
      <c r="AJ85" s="131">
        <f>IF(NFI_Expiration=1,IF($A85&lt;VLOOKUP(U$5,NFI,5,0),1,0)*Data_NFI_t[[#This Row],[Children Clothes]],0)</f>
        <v>0</v>
      </c>
      <c r="AK85" s="131">
        <f>IF(NFI_Expiration=1,IF($A85&lt;VLOOKUP(V$5,NFI,5,0),1,0)*Data_NFI_t[[#This Row],[Sewing Kit]],0)</f>
        <v>0</v>
      </c>
      <c r="AL85" s="901">
        <f>IF(NFI_Expiration=1,IF($A85&lt;VLOOKUP(V$5,NFI,5,0),1,0)*Data_NFI_t[[#This Row],[Solar Lantern]],0)</f>
        <v>0</v>
      </c>
      <c r="AM85" s="131" t="str">
        <f ca="1">IFERROR(OFFSET(Camp_List[P_Code],MATCH(Data_NFI_t[[#This Row],[Camp Name]],Camp_List[Camp Name],0)-1,0,1,1),"")</f>
        <v>MMR012CMP028</v>
      </c>
      <c r="AN85" s="513" t="str">
        <f ca="1">IFERROR(OFFSET(Camp_List[Status],MATCH(Data_NFI_t[[#This Row],[Camp Name]],Camp_List[Camp Name],0)-1,0,1,1),"")</f>
        <v>Returned</v>
      </c>
      <c r="AO85" s="131"/>
    </row>
    <row r="86" spans="1:41" s="90" customFormat="1" ht="19.5" customHeight="1" x14ac:dyDescent="0.25">
      <c r="A86" s="242">
        <f t="shared" si="2"/>
        <v>22.5</v>
      </c>
      <c r="B86" s="242">
        <f>YEAR(Data_NFI_t[[#This Row],[Distribution Date]])</f>
        <v>2015</v>
      </c>
      <c r="C86" s="913">
        <v>42181</v>
      </c>
      <c r="D86" s="489" t="s">
        <v>285</v>
      </c>
      <c r="E86" s="488" t="s">
        <v>285</v>
      </c>
      <c r="F86" s="489" t="s">
        <v>7</v>
      </c>
      <c r="G86" s="790" t="s">
        <v>15</v>
      </c>
      <c r="H86" s="790" t="s">
        <v>53</v>
      </c>
      <c r="I86" s="790"/>
      <c r="J86" s="51"/>
      <c r="K86" s="51"/>
      <c r="L86" s="51"/>
      <c r="M86" s="51">
        <v>138</v>
      </c>
      <c r="N86" s="51"/>
      <c r="O86" s="51"/>
      <c r="P86" s="51"/>
      <c r="Q86" s="51"/>
      <c r="R86" s="511"/>
      <c r="S86" s="51"/>
      <c r="T86" s="51"/>
      <c r="U86" s="51"/>
      <c r="V86" s="51"/>
      <c r="W86" s="51"/>
      <c r="X86" s="131">
        <f>IF(NFI_Expiration=1,IF($A86&lt;VLOOKUP(I$5,NFI,5,0),1,0)*Data_NFI_t[[#This Row],[Hygiene Kit]],0)</f>
        <v>0</v>
      </c>
      <c r="Y86" s="131">
        <f>IF(NFI_Expiration=1,IF($A86&lt;VLOOKUP(J$5,NFI,5,0),1,0)*Data_NFI_t[[#This Row],[NFI Core Kit]],0)</f>
        <v>0</v>
      </c>
      <c r="Z86" s="112">
        <f>IF(NFI_Expiration=1,IF($A86&lt;VLOOKUP(K$5,NFI,5,0),1,0)*Data_NFI_t[[#This Row],[Sanitary Kit]],0)</f>
        <v>0</v>
      </c>
      <c r="AA86" s="112">
        <f>IF(NFI_Expiration=1,IF($A86&lt;VLOOKUP(L$5,NFI,5,0),1,0)*Data_NFI_t[[#This Row],[Mosquito net]],0)</f>
        <v>0</v>
      </c>
      <c r="AB86" s="112">
        <f>IF(NFI_Expiration=1,IF($A86&lt;VLOOKUP(M$5,NFI,5,0),1,0)*Data_NFI_t[[#This Row],[Tarpaulin]],0)</f>
        <v>0</v>
      </c>
      <c r="AC86" s="112">
        <f>IF(NFI_Expiration=1,IF($A86&lt;VLOOKUP(N$5,NFI,5,0),1,0)*Data_NFI_t[[#This Row],[Blanket]],0)</f>
        <v>0</v>
      </c>
      <c r="AD86" s="112">
        <f>IF(NFI_Expiration=1,IF($A86&lt;VLOOKUP(O$5,NFI,5,0),1,0)*Data_NFI_t[[#This Row],[Kitchen Set]],0)</f>
        <v>0</v>
      </c>
      <c r="AE86" s="112">
        <f>IF(NFI_Expiration=1,IF($A86&lt;VLOOKUP(P$5,NFI,5,0),1,0)*Data_NFI_t[[#This Row],[Complementary Kit]],0)</f>
        <v>0</v>
      </c>
      <c r="AF86" s="112">
        <f>IF(NFI_Expiration=1,IF($A86&lt;VLOOKUP(Q$5,NFI,5,0),1,0)*Data_NFI_t[[#This Row],[Plastic Bucket]],0)</f>
        <v>0</v>
      </c>
      <c r="AG86" s="112">
        <f>IF(NFI_Expiration=1,IF($A86&lt;VLOOKUP(R$5,NFI,5,0),1,0)*Data_NFI_t[[#This Row],[Jerry Can]],0)</f>
        <v>0</v>
      </c>
      <c r="AH86" s="131">
        <f>IF(NFI_Expiration=1,IF($A86&lt;VLOOKUP(S$5,NFI,5,0),1,0)*Data_NFI_t[[#This Row],[Plastic Mat]],0)*IF(Data_NFI_t[[#This Row],[Distribution Date]]&gt;"01-06-2015",1,2.5)</f>
        <v>0</v>
      </c>
      <c r="AI86" s="901">
        <f>IF(NFI_Expiration=1,IF($A86&lt;VLOOKUP(T$5,NFI,5,0),1,0)*Data_NFI_t[[#This Row],[Adult Clothes]],0)</f>
        <v>0</v>
      </c>
      <c r="AJ86" s="131">
        <f>IF(NFI_Expiration=1,IF($A86&lt;VLOOKUP(U$5,NFI,5,0),1,0)*Data_NFI_t[[#This Row],[Children Clothes]],0)</f>
        <v>0</v>
      </c>
      <c r="AK86" s="131">
        <f>IF(NFI_Expiration=1,IF($A86&lt;VLOOKUP(V$5,NFI,5,0),1,0)*Data_NFI_t[[#This Row],[Sewing Kit]],0)</f>
        <v>0</v>
      </c>
      <c r="AL86" s="901">
        <f>IF(NFI_Expiration=1,IF($A86&lt;VLOOKUP(V$5,NFI,5,0),1,0)*Data_NFI_t[[#This Row],[Solar Lantern]],0)</f>
        <v>0</v>
      </c>
      <c r="AM86" s="131" t="str">
        <f ca="1">IFERROR(OFFSET(Camp_List[P_Code],MATCH(Data_NFI_t[[#This Row],[Camp Name]],Camp_List[Camp Name],0)-1,0,1,1),"")</f>
        <v>MMR012CMP029</v>
      </c>
      <c r="AN86" s="513" t="str">
        <f ca="1">IFERROR(OFFSET(Camp_List[Status],MATCH(Data_NFI_t[[#This Row],[Camp Name]],Camp_List[Camp Name],0)-1,0,1,1),"")</f>
        <v>Returned</v>
      </c>
      <c r="AO86" s="131"/>
    </row>
    <row r="87" spans="1:41" s="90" customFormat="1" ht="19.5" customHeight="1" x14ac:dyDescent="0.25">
      <c r="A87" s="242">
        <f t="shared" ref="A87:A150" si="3">IF(ISBLANK(C87),"",(Report_Date-C87)/30)</f>
        <v>22.533333333333335</v>
      </c>
      <c r="B87" s="242">
        <f>YEAR(Data_NFI_t[[#This Row],[Distribution Date]])</f>
        <v>2015</v>
      </c>
      <c r="C87" s="913">
        <v>42180</v>
      </c>
      <c r="D87" s="489" t="s">
        <v>285</v>
      </c>
      <c r="E87" s="488" t="s">
        <v>285</v>
      </c>
      <c r="F87" s="489" t="s">
        <v>7</v>
      </c>
      <c r="G87" s="790" t="s">
        <v>15</v>
      </c>
      <c r="H87" s="790" t="s">
        <v>47</v>
      </c>
      <c r="I87" s="790"/>
      <c r="J87" s="51"/>
      <c r="K87" s="51"/>
      <c r="L87" s="51"/>
      <c r="M87" s="51">
        <v>85</v>
      </c>
      <c r="N87" s="51"/>
      <c r="O87" s="51"/>
      <c r="P87" s="51"/>
      <c r="Q87" s="51"/>
      <c r="R87" s="511"/>
      <c r="S87" s="51"/>
      <c r="T87" s="51"/>
      <c r="U87" s="51"/>
      <c r="V87" s="51"/>
      <c r="W87" s="51"/>
      <c r="X87" s="131">
        <f>IF(NFI_Expiration=1,IF($A87&lt;VLOOKUP(I$5,NFI,5,0),1,0)*Data_NFI_t[[#This Row],[Hygiene Kit]],0)</f>
        <v>0</v>
      </c>
      <c r="Y87" s="131">
        <f>IF(NFI_Expiration=1,IF($A87&lt;VLOOKUP(J$5,NFI,5,0),1,0)*Data_NFI_t[[#This Row],[NFI Core Kit]],0)</f>
        <v>0</v>
      </c>
      <c r="Z87" s="112">
        <f>IF(NFI_Expiration=1,IF($A87&lt;VLOOKUP(K$5,NFI,5,0),1,0)*Data_NFI_t[[#This Row],[Sanitary Kit]],0)</f>
        <v>0</v>
      </c>
      <c r="AA87" s="112">
        <f>IF(NFI_Expiration=1,IF($A87&lt;VLOOKUP(L$5,NFI,5,0),1,0)*Data_NFI_t[[#This Row],[Mosquito net]],0)</f>
        <v>0</v>
      </c>
      <c r="AB87" s="112">
        <f>IF(NFI_Expiration=1,IF($A87&lt;VLOOKUP(M$5,NFI,5,0),1,0)*Data_NFI_t[[#This Row],[Tarpaulin]],0)</f>
        <v>0</v>
      </c>
      <c r="AC87" s="112">
        <f>IF(NFI_Expiration=1,IF($A87&lt;VLOOKUP(N$5,NFI,5,0),1,0)*Data_NFI_t[[#This Row],[Blanket]],0)</f>
        <v>0</v>
      </c>
      <c r="AD87" s="112">
        <f>IF(NFI_Expiration=1,IF($A87&lt;VLOOKUP(O$5,NFI,5,0),1,0)*Data_NFI_t[[#This Row],[Kitchen Set]],0)</f>
        <v>0</v>
      </c>
      <c r="AE87" s="112">
        <f>IF(NFI_Expiration=1,IF($A87&lt;VLOOKUP(P$5,NFI,5,0),1,0)*Data_NFI_t[[#This Row],[Complementary Kit]],0)</f>
        <v>0</v>
      </c>
      <c r="AF87" s="112">
        <f>IF(NFI_Expiration=1,IF($A87&lt;VLOOKUP(Q$5,NFI,5,0),1,0)*Data_NFI_t[[#This Row],[Plastic Bucket]],0)</f>
        <v>0</v>
      </c>
      <c r="AG87" s="112">
        <f>IF(NFI_Expiration=1,IF($A87&lt;VLOOKUP(R$5,NFI,5,0),1,0)*Data_NFI_t[[#This Row],[Jerry Can]],0)</f>
        <v>0</v>
      </c>
      <c r="AH87" s="131">
        <f>IF(NFI_Expiration=1,IF($A87&lt;VLOOKUP(S$5,NFI,5,0),1,0)*Data_NFI_t[[#This Row],[Plastic Mat]],0)*IF(Data_NFI_t[[#This Row],[Distribution Date]]&gt;"01-06-2015",1,2.5)</f>
        <v>0</v>
      </c>
      <c r="AI87" s="901">
        <f>IF(NFI_Expiration=1,IF($A87&lt;VLOOKUP(T$5,NFI,5,0),1,0)*Data_NFI_t[[#This Row],[Adult Clothes]],0)</f>
        <v>0</v>
      </c>
      <c r="AJ87" s="131">
        <f>IF(NFI_Expiration=1,IF($A87&lt;VLOOKUP(U$5,NFI,5,0),1,0)*Data_NFI_t[[#This Row],[Children Clothes]],0)</f>
        <v>0</v>
      </c>
      <c r="AK87" s="131">
        <f>IF(NFI_Expiration=1,IF($A87&lt;VLOOKUP(V$5,NFI,5,0),1,0)*Data_NFI_t[[#This Row],[Sewing Kit]],0)</f>
        <v>0</v>
      </c>
      <c r="AL87" s="901">
        <f>IF(NFI_Expiration=1,IF($A87&lt;VLOOKUP(V$5,NFI,5,0),1,0)*Data_NFI_t[[#This Row],[Solar Lantern]],0)</f>
        <v>0</v>
      </c>
      <c r="AM87" s="131" t="str">
        <f ca="1">IFERROR(OFFSET(Camp_List[P_Code],MATCH(Data_NFI_t[[#This Row],[Camp Name]],Camp_List[Camp Name],0)-1,0,1,1),"")</f>
        <v>MMR012CMP023</v>
      </c>
      <c r="AN87" s="513" t="str">
        <f ca="1">IFERROR(OFFSET(Camp_List[Status],MATCH(Data_NFI_t[[#This Row],[Camp Name]],Camp_List[Camp Name],0)-1,0,1,1),"")</f>
        <v>Open</v>
      </c>
      <c r="AO87" s="131"/>
    </row>
    <row r="88" spans="1:41" s="90" customFormat="1" ht="19.5" customHeight="1" x14ac:dyDescent="0.25">
      <c r="A88" s="242">
        <f t="shared" si="3"/>
        <v>22.533333333333335</v>
      </c>
      <c r="B88" s="242">
        <f>YEAR(Data_NFI_t[[#This Row],[Distribution Date]])</f>
        <v>2015</v>
      </c>
      <c r="C88" s="913">
        <v>42180</v>
      </c>
      <c r="D88" s="489" t="s">
        <v>285</v>
      </c>
      <c r="E88" s="488" t="s">
        <v>285</v>
      </c>
      <c r="F88" s="489" t="s">
        <v>7</v>
      </c>
      <c r="G88" s="790" t="s">
        <v>15</v>
      </c>
      <c r="H88" s="790" t="s">
        <v>54</v>
      </c>
      <c r="I88" s="790"/>
      <c r="J88" s="51"/>
      <c r="K88" s="51"/>
      <c r="L88" s="51"/>
      <c r="M88" s="51">
        <v>97</v>
      </c>
      <c r="N88" s="51"/>
      <c r="O88" s="51"/>
      <c r="P88" s="51"/>
      <c r="Q88" s="51"/>
      <c r="R88" s="511"/>
      <c r="S88" s="51"/>
      <c r="T88" s="51"/>
      <c r="U88" s="51"/>
      <c r="V88" s="51"/>
      <c r="W88" s="51"/>
      <c r="X88" s="131">
        <f>IF(NFI_Expiration=1,IF($A88&lt;VLOOKUP(I$5,NFI,5,0),1,0)*Data_NFI_t[[#This Row],[Hygiene Kit]],0)</f>
        <v>0</v>
      </c>
      <c r="Y88" s="131">
        <f>IF(NFI_Expiration=1,IF($A88&lt;VLOOKUP(J$5,NFI,5,0),1,0)*Data_NFI_t[[#This Row],[NFI Core Kit]],0)</f>
        <v>0</v>
      </c>
      <c r="Z88" s="112">
        <f>IF(NFI_Expiration=1,IF($A88&lt;VLOOKUP(K$5,NFI,5,0),1,0)*Data_NFI_t[[#This Row],[Sanitary Kit]],0)</f>
        <v>0</v>
      </c>
      <c r="AA88" s="112">
        <f>IF(NFI_Expiration=1,IF($A88&lt;VLOOKUP(L$5,NFI,5,0),1,0)*Data_NFI_t[[#This Row],[Mosquito net]],0)</f>
        <v>0</v>
      </c>
      <c r="AB88" s="112">
        <f>IF(NFI_Expiration=1,IF($A88&lt;VLOOKUP(M$5,NFI,5,0),1,0)*Data_NFI_t[[#This Row],[Tarpaulin]],0)</f>
        <v>0</v>
      </c>
      <c r="AC88" s="112">
        <f>IF(NFI_Expiration=1,IF($A88&lt;VLOOKUP(N$5,NFI,5,0),1,0)*Data_NFI_t[[#This Row],[Blanket]],0)</f>
        <v>0</v>
      </c>
      <c r="AD88" s="112">
        <f>IF(NFI_Expiration=1,IF($A88&lt;VLOOKUP(O$5,NFI,5,0),1,0)*Data_NFI_t[[#This Row],[Kitchen Set]],0)</f>
        <v>0</v>
      </c>
      <c r="AE88" s="112">
        <f>IF(NFI_Expiration=1,IF($A88&lt;VLOOKUP(P$5,NFI,5,0),1,0)*Data_NFI_t[[#This Row],[Complementary Kit]],0)</f>
        <v>0</v>
      </c>
      <c r="AF88" s="112">
        <f>IF(NFI_Expiration=1,IF($A88&lt;VLOOKUP(Q$5,NFI,5,0),1,0)*Data_NFI_t[[#This Row],[Plastic Bucket]],0)</f>
        <v>0</v>
      </c>
      <c r="AG88" s="112">
        <f>IF(NFI_Expiration=1,IF($A88&lt;VLOOKUP(R$5,NFI,5,0),1,0)*Data_NFI_t[[#This Row],[Jerry Can]],0)</f>
        <v>0</v>
      </c>
      <c r="AH88" s="131">
        <f>IF(NFI_Expiration=1,IF($A88&lt;VLOOKUP(S$5,NFI,5,0),1,0)*Data_NFI_t[[#This Row],[Plastic Mat]],0)*IF(Data_NFI_t[[#This Row],[Distribution Date]]&gt;"01-06-2015",1,2.5)</f>
        <v>0</v>
      </c>
      <c r="AI88" s="901">
        <f>IF(NFI_Expiration=1,IF($A88&lt;VLOOKUP(T$5,NFI,5,0),1,0)*Data_NFI_t[[#This Row],[Adult Clothes]],0)</f>
        <v>0</v>
      </c>
      <c r="AJ88" s="131">
        <f>IF(NFI_Expiration=1,IF($A88&lt;VLOOKUP(U$5,NFI,5,0),1,0)*Data_NFI_t[[#This Row],[Children Clothes]],0)</f>
        <v>0</v>
      </c>
      <c r="AK88" s="131">
        <f>IF(NFI_Expiration=1,IF($A88&lt;VLOOKUP(V$5,NFI,5,0),1,0)*Data_NFI_t[[#This Row],[Sewing Kit]],0)</f>
        <v>0</v>
      </c>
      <c r="AL88" s="901">
        <f>IF(NFI_Expiration=1,IF($A88&lt;VLOOKUP(V$5,NFI,5,0),1,0)*Data_NFI_t[[#This Row],[Solar Lantern]],0)</f>
        <v>0</v>
      </c>
      <c r="AM88" s="131" t="str">
        <f ca="1">IFERROR(OFFSET(Camp_List[P_Code],MATCH(Data_NFI_t[[#This Row],[Camp Name]],Camp_List[Camp Name],0)-1,0,1,1),"")</f>
        <v>MMR012CMP030</v>
      </c>
      <c r="AN88" s="513" t="str">
        <f ca="1">IFERROR(OFFSET(Camp_List[Status],MATCH(Data_NFI_t[[#This Row],[Camp Name]],Camp_List[Camp Name],0)-1,0,1,1),"")</f>
        <v>Relocated</v>
      </c>
      <c r="AO88" s="131"/>
    </row>
    <row r="89" spans="1:41" s="90" customFormat="1" ht="19.5" customHeight="1" x14ac:dyDescent="0.25">
      <c r="A89" s="242">
        <f t="shared" si="3"/>
        <v>22.566666666666666</v>
      </c>
      <c r="B89" s="242">
        <f>YEAR(Data_NFI_t[[#This Row],[Distribution Date]])</f>
        <v>2015</v>
      </c>
      <c r="C89" s="913">
        <v>42179</v>
      </c>
      <c r="D89" s="489" t="s">
        <v>285</v>
      </c>
      <c r="E89" s="488" t="s">
        <v>285</v>
      </c>
      <c r="F89" s="489" t="s">
        <v>7</v>
      </c>
      <c r="G89" s="790" t="s">
        <v>15</v>
      </c>
      <c r="H89" s="790" t="s">
        <v>50</v>
      </c>
      <c r="I89" s="790"/>
      <c r="J89" s="51"/>
      <c r="K89" s="51"/>
      <c r="L89" s="51"/>
      <c r="M89" s="51">
        <v>236</v>
      </c>
      <c r="N89" s="51"/>
      <c r="O89" s="51"/>
      <c r="P89" s="51"/>
      <c r="Q89" s="51"/>
      <c r="R89" s="511"/>
      <c r="S89" s="51"/>
      <c r="T89" s="51"/>
      <c r="U89" s="51"/>
      <c r="V89" s="51"/>
      <c r="W89" s="51"/>
      <c r="X89" s="131">
        <f>IF(NFI_Expiration=1,IF($A89&lt;VLOOKUP(I$5,NFI,5,0),1,0)*Data_NFI_t[[#This Row],[Hygiene Kit]],0)</f>
        <v>0</v>
      </c>
      <c r="Y89" s="131">
        <f>IF(NFI_Expiration=1,IF($A89&lt;VLOOKUP(J$5,NFI,5,0),1,0)*Data_NFI_t[[#This Row],[NFI Core Kit]],0)</f>
        <v>0</v>
      </c>
      <c r="Z89" s="112">
        <f>IF(NFI_Expiration=1,IF($A89&lt;VLOOKUP(K$5,NFI,5,0),1,0)*Data_NFI_t[[#This Row],[Sanitary Kit]],0)</f>
        <v>0</v>
      </c>
      <c r="AA89" s="112">
        <f>IF(NFI_Expiration=1,IF($A89&lt;VLOOKUP(L$5,NFI,5,0),1,0)*Data_NFI_t[[#This Row],[Mosquito net]],0)</f>
        <v>0</v>
      </c>
      <c r="AB89" s="112">
        <f>IF(NFI_Expiration=1,IF($A89&lt;VLOOKUP(M$5,NFI,5,0),1,0)*Data_NFI_t[[#This Row],[Tarpaulin]],0)</f>
        <v>0</v>
      </c>
      <c r="AC89" s="112">
        <f>IF(NFI_Expiration=1,IF($A89&lt;VLOOKUP(N$5,NFI,5,0),1,0)*Data_NFI_t[[#This Row],[Blanket]],0)</f>
        <v>0</v>
      </c>
      <c r="AD89" s="112">
        <f>IF(NFI_Expiration=1,IF($A89&lt;VLOOKUP(O$5,NFI,5,0),1,0)*Data_NFI_t[[#This Row],[Kitchen Set]],0)</f>
        <v>0</v>
      </c>
      <c r="AE89" s="112">
        <f>IF(NFI_Expiration=1,IF($A89&lt;VLOOKUP(P$5,NFI,5,0),1,0)*Data_NFI_t[[#This Row],[Complementary Kit]],0)</f>
        <v>0</v>
      </c>
      <c r="AF89" s="112">
        <f>IF(NFI_Expiration=1,IF($A89&lt;VLOOKUP(Q$5,NFI,5,0),1,0)*Data_NFI_t[[#This Row],[Plastic Bucket]],0)</f>
        <v>0</v>
      </c>
      <c r="AG89" s="112">
        <f>IF(NFI_Expiration=1,IF($A89&lt;VLOOKUP(R$5,NFI,5,0),1,0)*Data_NFI_t[[#This Row],[Jerry Can]],0)</f>
        <v>0</v>
      </c>
      <c r="AH89" s="131">
        <f>IF(NFI_Expiration=1,IF($A89&lt;VLOOKUP(S$5,NFI,5,0),1,0)*Data_NFI_t[[#This Row],[Plastic Mat]],0)*IF(Data_NFI_t[[#This Row],[Distribution Date]]&gt;"01-06-2015",1,2.5)</f>
        <v>0</v>
      </c>
      <c r="AI89" s="901">
        <f>IF(NFI_Expiration=1,IF($A89&lt;VLOOKUP(T$5,NFI,5,0),1,0)*Data_NFI_t[[#This Row],[Adult Clothes]],0)</f>
        <v>0</v>
      </c>
      <c r="AJ89" s="131">
        <f>IF(NFI_Expiration=1,IF($A89&lt;VLOOKUP(U$5,NFI,5,0),1,0)*Data_NFI_t[[#This Row],[Children Clothes]],0)</f>
        <v>0</v>
      </c>
      <c r="AK89" s="131">
        <f>IF(NFI_Expiration=1,IF($A89&lt;VLOOKUP(V$5,NFI,5,0),1,0)*Data_NFI_t[[#This Row],[Sewing Kit]],0)</f>
        <v>0</v>
      </c>
      <c r="AL89" s="901">
        <f>IF(NFI_Expiration=1,IF($A89&lt;VLOOKUP(V$5,NFI,5,0),1,0)*Data_NFI_t[[#This Row],[Solar Lantern]],0)</f>
        <v>0</v>
      </c>
      <c r="AM89" s="131" t="str">
        <f ca="1">IFERROR(OFFSET(Camp_List[P_Code],MATCH(Data_NFI_t[[#This Row],[Camp Name]],Camp_List[Camp Name],0)-1,0,1,1),"")</f>
        <v>MMR012CMP026</v>
      </c>
      <c r="AN89" s="513" t="str">
        <f ca="1">IFERROR(OFFSET(Camp_List[Status],MATCH(Data_NFI_t[[#This Row],[Camp Name]],Camp_List[Camp Name],0)-1,0,1,1),"")</f>
        <v>Returned</v>
      </c>
      <c r="AO89" s="131"/>
    </row>
    <row r="90" spans="1:41" s="90" customFormat="1" ht="19.5" customHeight="1" x14ac:dyDescent="0.25">
      <c r="A90" s="242">
        <f t="shared" si="3"/>
        <v>22.566666666666666</v>
      </c>
      <c r="B90" s="242">
        <f>YEAR(Data_NFI_t[[#This Row],[Distribution Date]])</f>
        <v>2015</v>
      </c>
      <c r="C90" s="913">
        <v>42179</v>
      </c>
      <c r="D90" s="489" t="s">
        <v>285</v>
      </c>
      <c r="E90" s="488" t="s">
        <v>285</v>
      </c>
      <c r="F90" s="489" t="s">
        <v>7</v>
      </c>
      <c r="G90" s="790" t="s">
        <v>15</v>
      </c>
      <c r="H90" s="790" t="s">
        <v>48</v>
      </c>
      <c r="I90" s="790"/>
      <c r="J90" s="51"/>
      <c r="K90" s="51"/>
      <c r="L90" s="51"/>
      <c r="M90" s="51">
        <v>92</v>
      </c>
      <c r="N90" s="51"/>
      <c r="O90" s="51"/>
      <c r="P90" s="51"/>
      <c r="Q90" s="51"/>
      <c r="R90" s="511"/>
      <c r="S90" s="51"/>
      <c r="T90" s="51"/>
      <c r="U90" s="51"/>
      <c r="V90" s="51"/>
      <c r="W90" s="51"/>
      <c r="X90" s="131">
        <f>IF(NFI_Expiration=1,IF($A90&lt;VLOOKUP(I$5,NFI,5,0),1,0)*Data_NFI_t[[#This Row],[Hygiene Kit]],0)</f>
        <v>0</v>
      </c>
      <c r="Y90" s="131">
        <f>IF(NFI_Expiration=1,IF($A90&lt;VLOOKUP(J$5,NFI,5,0),1,0)*Data_NFI_t[[#This Row],[NFI Core Kit]],0)</f>
        <v>0</v>
      </c>
      <c r="Z90" s="112">
        <f>IF(NFI_Expiration=1,IF($A90&lt;VLOOKUP(K$5,NFI,5,0),1,0)*Data_NFI_t[[#This Row],[Sanitary Kit]],0)</f>
        <v>0</v>
      </c>
      <c r="AA90" s="112">
        <f>IF(NFI_Expiration=1,IF($A90&lt;VLOOKUP(L$5,NFI,5,0),1,0)*Data_NFI_t[[#This Row],[Mosquito net]],0)</f>
        <v>0</v>
      </c>
      <c r="AB90" s="112">
        <f>IF(NFI_Expiration=1,IF($A90&lt;VLOOKUP(M$5,NFI,5,0),1,0)*Data_NFI_t[[#This Row],[Tarpaulin]],0)</f>
        <v>0</v>
      </c>
      <c r="AC90" s="112">
        <f>IF(NFI_Expiration=1,IF($A90&lt;VLOOKUP(N$5,NFI,5,0),1,0)*Data_NFI_t[[#This Row],[Blanket]],0)</f>
        <v>0</v>
      </c>
      <c r="AD90" s="112">
        <f>IF(NFI_Expiration=1,IF($A90&lt;VLOOKUP(O$5,NFI,5,0),1,0)*Data_NFI_t[[#This Row],[Kitchen Set]],0)</f>
        <v>0</v>
      </c>
      <c r="AE90" s="112">
        <f>IF(NFI_Expiration=1,IF($A90&lt;VLOOKUP(P$5,NFI,5,0),1,0)*Data_NFI_t[[#This Row],[Complementary Kit]],0)</f>
        <v>0</v>
      </c>
      <c r="AF90" s="112">
        <f>IF(NFI_Expiration=1,IF($A90&lt;VLOOKUP(Q$5,NFI,5,0),1,0)*Data_NFI_t[[#This Row],[Plastic Bucket]],0)</f>
        <v>0</v>
      </c>
      <c r="AG90" s="112">
        <f>IF(NFI_Expiration=1,IF($A90&lt;VLOOKUP(R$5,NFI,5,0),1,0)*Data_NFI_t[[#This Row],[Jerry Can]],0)</f>
        <v>0</v>
      </c>
      <c r="AH90" s="131">
        <f>IF(NFI_Expiration=1,IF($A90&lt;VLOOKUP(S$5,NFI,5,0),1,0)*Data_NFI_t[[#This Row],[Plastic Mat]],0)*IF(Data_NFI_t[[#This Row],[Distribution Date]]&gt;"01-06-2015",1,2.5)</f>
        <v>0</v>
      </c>
      <c r="AI90" s="901">
        <f>IF(NFI_Expiration=1,IF($A90&lt;VLOOKUP(T$5,NFI,5,0),1,0)*Data_NFI_t[[#This Row],[Adult Clothes]],0)</f>
        <v>0</v>
      </c>
      <c r="AJ90" s="131">
        <f>IF(NFI_Expiration=1,IF($A90&lt;VLOOKUP(U$5,NFI,5,0),1,0)*Data_NFI_t[[#This Row],[Children Clothes]],0)</f>
        <v>0</v>
      </c>
      <c r="AK90" s="131">
        <f>IF(NFI_Expiration=1,IF($A90&lt;VLOOKUP(V$5,NFI,5,0),1,0)*Data_NFI_t[[#This Row],[Sewing Kit]],0)</f>
        <v>0</v>
      </c>
      <c r="AL90" s="901">
        <f>IF(NFI_Expiration=1,IF($A90&lt;VLOOKUP(V$5,NFI,5,0),1,0)*Data_NFI_t[[#This Row],[Solar Lantern]],0)</f>
        <v>0</v>
      </c>
      <c r="AM90" s="131" t="str">
        <f ca="1">IFERROR(OFFSET(Camp_List[P_Code],MATCH(Data_NFI_t[[#This Row],[Camp Name]],Camp_List[Camp Name],0)-1,0,1,1),"")</f>
        <v>MMR012CMP024</v>
      </c>
      <c r="AN90" s="513" t="str">
        <f ca="1">IFERROR(OFFSET(Camp_List[Status],MATCH(Data_NFI_t[[#This Row],[Camp Name]],Camp_List[Camp Name],0)-1,0,1,1),"")</f>
        <v>Returned</v>
      </c>
      <c r="AO90" s="131"/>
    </row>
    <row r="91" spans="1:41" s="90" customFormat="1" ht="19.5" customHeight="1" x14ac:dyDescent="0.25">
      <c r="A91" s="242">
        <f t="shared" si="3"/>
        <v>22.566666666666666</v>
      </c>
      <c r="B91" s="242">
        <f>YEAR(Data_NFI_t[[#This Row],[Distribution Date]])</f>
        <v>2015</v>
      </c>
      <c r="C91" s="913">
        <v>42179</v>
      </c>
      <c r="D91" s="489" t="s">
        <v>285</v>
      </c>
      <c r="E91" s="488" t="s">
        <v>285</v>
      </c>
      <c r="F91" s="489" t="s">
        <v>7</v>
      </c>
      <c r="G91" s="790" t="s">
        <v>15</v>
      </c>
      <c r="H91" s="790" t="s">
        <v>51</v>
      </c>
      <c r="I91" s="790"/>
      <c r="J91" s="51"/>
      <c r="K91" s="51"/>
      <c r="L91" s="51"/>
      <c r="M91" s="51">
        <v>116</v>
      </c>
      <c r="N91" s="51"/>
      <c r="O91" s="51"/>
      <c r="P91" s="51"/>
      <c r="Q91" s="51"/>
      <c r="R91" s="511"/>
      <c r="S91" s="51"/>
      <c r="T91" s="51"/>
      <c r="U91" s="51"/>
      <c r="V91" s="51"/>
      <c r="W91" s="51"/>
      <c r="X91" s="131">
        <f>IF(NFI_Expiration=1,IF($A91&lt;VLOOKUP(I$5,NFI,5,0),1,0)*Data_NFI_t[[#This Row],[Hygiene Kit]],0)</f>
        <v>0</v>
      </c>
      <c r="Y91" s="131">
        <f>IF(NFI_Expiration=1,IF($A91&lt;VLOOKUP(J$5,NFI,5,0),1,0)*Data_NFI_t[[#This Row],[NFI Core Kit]],0)</f>
        <v>0</v>
      </c>
      <c r="Z91" s="112">
        <f>IF(NFI_Expiration=1,IF($A91&lt;VLOOKUP(K$5,NFI,5,0),1,0)*Data_NFI_t[[#This Row],[Sanitary Kit]],0)</f>
        <v>0</v>
      </c>
      <c r="AA91" s="112">
        <f>IF(NFI_Expiration=1,IF($A91&lt;VLOOKUP(L$5,NFI,5,0),1,0)*Data_NFI_t[[#This Row],[Mosquito net]],0)</f>
        <v>0</v>
      </c>
      <c r="AB91" s="112">
        <f>IF(NFI_Expiration=1,IF($A91&lt;VLOOKUP(M$5,NFI,5,0),1,0)*Data_NFI_t[[#This Row],[Tarpaulin]],0)</f>
        <v>0</v>
      </c>
      <c r="AC91" s="112">
        <f>IF(NFI_Expiration=1,IF($A91&lt;VLOOKUP(N$5,NFI,5,0),1,0)*Data_NFI_t[[#This Row],[Blanket]],0)</f>
        <v>0</v>
      </c>
      <c r="AD91" s="112">
        <f>IF(NFI_Expiration=1,IF($A91&lt;VLOOKUP(O$5,NFI,5,0),1,0)*Data_NFI_t[[#This Row],[Kitchen Set]],0)</f>
        <v>0</v>
      </c>
      <c r="AE91" s="112">
        <f>IF(NFI_Expiration=1,IF($A91&lt;VLOOKUP(P$5,NFI,5,0),1,0)*Data_NFI_t[[#This Row],[Complementary Kit]],0)</f>
        <v>0</v>
      </c>
      <c r="AF91" s="112">
        <f>IF(NFI_Expiration=1,IF($A91&lt;VLOOKUP(Q$5,NFI,5,0),1,0)*Data_NFI_t[[#This Row],[Plastic Bucket]],0)</f>
        <v>0</v>
      </c>
      <c r="AG91" s="112">
        <f>IF(NFI_Expiration=1,IF($A91&lt;VLOOKUP(R$5,NFI,5,0),1,0)*Data_NFI_t[[#This Row],[Jerry Can]],0)</f>
        <v>0</v>
      </c>
      <c r="AH91" s="131">
        <f>IF(NFI_Expiration=1,IF($A91&lt;VLOOKUP(S$5,NFI,5,0),1,0)*Data_NFI_t[[#This Row],[Plastic Mat]],0)*IF(Data_NFI_t[[#This Row],[Distribution Date]]&gt;"01-06-2015",1,2.5)</f>
        <v>0</v>
      </c>
      <c r="AI91" s="901">
        <f>IF(NFI_Expiration=1,IF($A91&lt;VLOOKUP(T$5,NFI,5,0),1,0)*Data_NFI_t[[#This Row],[Adult Clothes]],0)</f>
        <v>0</v>
      </c>
      <c r="AJ91" s="131">
        <f>IF(NFI_Expiration=1,IF($A91&lt;VLOOKUP(U$5,NFI,5,0),1,0)*Data_NFI_t[[#This Row],[Children Clothes]],0)</f>
        <v>0</v>
      </c>
      <c r="AK91" s="131">
        <f>IF(NFI_Expiration=1,IF($A91&lt;VLOOKUP(V$5,NFI,5,0),1,0)*Data_NFI_t[[#This Row],[Sewing Kit]],0)</f>
        <v>0</v>
      </c>
      <c r="AL91" s="901">
        <f>IF(NFI_Expiration=1,IF($A91&lt;VLOOKUP(V$5,NFI,5,0),1,0)*Data_NFI_t[[#This Row],[Solar Lantern]],0)</f>
        <v>0</v>
      </c>
      <c r="AM91" s="131" t="str">
        <f ca="1">IFERROR(OFFSET(Camp_List[P_Code],MATCH(Data_NFI_t[[#This Row],[Camp Name]],Camp_List[Camp Name],0)-1,0,1,1),"")</f>
        <v>MMR012CMP027</v>
      </c>
      <c r="AN91" s="513" t="str">
        <f ca="1">IFERROR(OFFSET(Camp_List[Status],MATCH(Data_NFI_t[[#This Row],[Camp Name]],Camp_List[Camp Name],0)-1,0,1,1),"")</f>
        <v>Returned</v>
      </c>
      <c r="AO91" s="131"/>
    </row>
    <row r="92" spans="1:41" s="90" customFormat="1" ht="19.5" customHeight="1" x14ac:dyDescent="0.25">
      <c r="A92" s="242">
        <f t="shared" si="3"/>
        <v>22.6</v>
      </c>
      <c r="B92" s="242">
        <f>YEAR(Data_NFI_t[[#This Row],[Distribution Date]])</f>
        <v>2015</v>
      </c>
      <c r="C92" s="913">
        <v>42178</v>
      </c>
      <c r="D92" s="489" t="s">
        <v>285</v>
      </c>
      <c r="E92" s="488" t="s">
        <v>285</v>
      </c>
      <c r="F92" s="489" t="s">
        <v>7</v>
      </c>
      <c r="G92" s="790" t="s">
        <v>11</v>
      </c>
      <c r="H92" s="790" t="s">
        <v>26</v>
      </c>
      <c r="I92" s="790"/>
      <c r="J92" s="51"/>
      <c r="K92" s="51"/>
      <c r="L92" s="51"/>
      <c r="M92" s="51">
        <v>16</v>
      </c>
      <c r="N92" s="51"/>
      <c r="O92" s="51"/>
      <c r="P92" s="51"/>
      <c r="Q92" s="51"/>
      <c r="R92" s="511"/>
      <c r="S92" s="51"/>
      <c r="T92" s="51"/>
      <c r="U92" s="51"/>
      <c r="V92" s="51"/>
      <c r="W92" s="51"/>
      <c r="X92" s="131">
        <f>IF(NFI_Expiration=1,IF($A92&lt;VLOOKUP(I$5,NFI,5,0),1,0)*Data_NFI_t[[#This Row],[Hygiene Kit]],0)</f>
        <v>0</v>
      </c>
      <c r="Y92" s="131">
        <f>IF(NFI_Expiration=1,IF($A92&lt;VLOOKUP(J$5,NFI,5,0),1,0)*Data_NFI_t[[#This Row],[NFI Core Kit]],0)</f>
        <v>0</v>
      </c>
      <c r="Z92" s="112">
        <f>IF(NFI_Expiration=1,IF($A92&lt;VLOOKUP(K$5,NFI,5,0),1,0)*Data_NFI_t[[#This Row],[Sanitary Kit]],0)</f>
        <v>0</v>
      </c>
      <c r="AA92" s="112">
        <f>IF(NFI_Expiration=1,IF($A92&lt;VLOOKUP(L$5,NFI,5,0),1,0)*Data_NFI_t[[#This Row],[Mosquito net]],0)</f>
        <v>0</v>
      </c>
      <c r="AB92" s="112">
        <f>IF(NFI_Expiration=1,IF($A92&lt;VLOOKUP(M$5,NFI,5,0),1,0)*Data_NFI_t[[#This Row],[Tarpaulin]],0)</f>
        <v>0</v>
      </c>
      <c r="AC92" s="112">
        <f>IF(NFI_Expiration=1,IF($A92&lt;VLOOKUP(N$5,NFI,5,0),1,0)*Data_NFI_t[[#This Row],[Blanket]],0)</f>
        <v>0</v>
      </c>
      <c r="AD92" s="112">
        <f>IF(NFI_Expiration=1,IF($A92&lt;VLOOKUP(O$5,NFI,5,0),1,0)*Data_NFI_t[[#This Row],[Kitchen Set]],0)</f>
        <v>0</v>
      </c>
      <c r="AE92" s="112">
        <f>IF(NFI_Expiration=1,IF($A92&lt;VLOOKUP(P$5,NFI,5,0),1,0)*Data_NFI_t[[#This Row],[Complementary Kit]],0)</f>
        <v>0</v>
      </c>
      <c r="AF92" s="112">
        <f>IF(NFI_Expiration=1,IF($A92&lt;VLOOKUP(Q$5,NFI,5,0),1,0)*Data_NFI_t[[#This Row],[Plastic Bucket]],0)</f>
        <v>0</v>
      </c>
      <c r="AG92" s="112">
        <f>IF(NFI_Expiration=1,IF($A92&lt;VLOOKUP(R$5,NFI,5,0),1,0)*Data_NFI_t[[#This Row],[Jerry Can]],0)</f>
        <v>0</v>
      </c>
      <c r="AH92" s="131">
        <f>IF(NFI_Expiration=1,IF($A92&lt;VLOOKUP(S$5,NFI,5,0),1,0)*Data_NFI_t[[#This Row],[Plastic Mat]],0)*IF(Data_NFI_t[[#This Row],[Distribution Date]]&gt;"01-06-2015",1,2.5)</f>
        <v>0</v>
      </c>
      <c r="AI92" s="901">
        <f>IF(NFI_Expiration=1,IF($A92&lt;VLOOKUP(T$5,NFI,5,0),1,0)*Data_NFI_t[[#This Row],[Adult Clothes]],0)</f>
        <v>0</v>
      </c>
      <c r="AJ92" s="131">
        <f>IF(NFI_Expiration=1,IF($A92&lt;VLOOKUP(U$5,NFI,5,0),1,0)*Data_NFI_t[[#This Row],[Children Clothes]],0)</f>
        <v>0</v>
      </c>
      <c r="AK92" s="131">
        <f>IF(NFI_Expiration=1,IF($A92&lt;VLOOKUP(V$5,NFI,5,0),1,0)*Data_NFI_t[[#This Row],[Sewing Kit]],0)</f>
        <v>0</v>
      </c>
      <c r="AL92" s="901">
        <f>IF(NFI_Expiration=1,IF($A92&lt;VLOOKUP(V$5,NFI,5,0),1,0)*Data_NFI_t[[#This Row],[Solar Lantern]],0)</f>
        <v>0</v>
      </c>
      <c r="AM92" s="131" t="str">
        <f ca="1">IFERROR(OFFSET(Camp_List[P_Code],MATCH(Data_NFI_t[[#This Row],[Camp Name]],Camp_List[Camp Name],0)-1,0,1,1),"")</f>
        <v>MMR012CMP002</v>
      </c>
      <c r="AN92" s="513" t="str">
        <f ca="1">IFERROR(OFFSET(Camp_List[Status],MATCH(Data_NFI_t[[#This Row],[Camp Name]],Camp_List[Camp Name],0)-1,0,1,1),"")</f>
        <v>Returned</v>
      </c>
      <c r="AO92" s="131"/>
    </row>
    <row r="93" spans="1:41" s="90" customFormat="1" ht="19.5" customHeight="1" x14ac:dyDescent="0.25">
      <c r="A93" s="242">
        <f t="shared" si="3"/>
        <v>22.866666666666667</v>
      </c>
      <c r="B93" s="242">
        <v>2015</v>
      </c>
      <c r="C93" s="913">
        <v>42170</v>
      </c>
      <c r="D93" s="489" t="s">
        <v>285</v>
      </c>
      <c r="E93" s="488" t="s">
        <v>939</v>
      </c>
      <c r="F93" s="489" t="s">
        <v>7</v>
      </c>
      <c r="G93" s="790" t="s">
        <v>16</v>
      </c>
      <c r="H93" s="790" t="s">
        <v>400</v>
      </c>
      <c r="I93" s="790">
        <v>0</v>
      </c>
      <c r="J93" s="51">
        <v>0</v>
      </c>
      <c r="K93" s="51">
        <v>0</v>
      </c>
      <c r="L93" s="51">
        <v>0</v>
      </c>
      <c r="M93" s="51">
        <v>10</v>
      </c>
      <c r="N93" s="51">
        <v>0</v>
      </c>
      <c r="O93" s="51">
        <v>0</v>
      </c>
      <c r="P93" s="51">
        <v>0</v>
      </c>
      <c r="Q93" s="51">
        <v>0</v>
      </c>
      <c r="R93" s="511">
        <v>0</v>
      </c>
      <c r="S93" s="51">
        <v>0</v>
      </c>
      <c r="T93" s="51"/>
      <c r="U93" s="51"/>
      <c r="V93" s="51"/>
      <c r="W93" s="51"/>
      <c r="X93" s="131">
        <f>IF(NFI_Expiration=1,IF($A93&lt;VLOOKUP(I$5,NFI,5,0),1,0)*Data_NFI_t[[#This Row],[Hygiene Kit]],0)</f>
        <v>0</v>
      </c>
      <c r="Y93" s="131">
        <f>IF(NFI_Expiration=1,IF($A93&lt;VLOOKUP(J$5,NFI,5,0),1,0)*Data_NFI_t[[#This Row],[NFI Core Kit]],0)</f>
        <v>0</v>
      </c>
      <c r="Z93" s="112">
        <f>IF(NFI_Expiration=1,IF($A93&lt;VLOOKUP(K$5,NFI,5,0),1,0)*Data_NFI_t[[#This Row],[Sanitary Kit]],0)</f>
        <v>0</v>
      </c>
      <c r="AA93" s="112">
        <f>IF(NFI_Expiration=1,IF($A93&lt;VLOOKUP(L$5,NFI,5,0),1,0)*Data_NFI_t[[#This Row],[Mosquito net]],0)</f>
        <v>0</v>
      </c>
      <c r="AB93" s="112">
        <f>IF(NFI_Expiration=1,IF($A93&lt;VLOOKUP(M$5,NFI,5,0),1,0)*Data_NFI_t[[#This Row],[Tarpaulin]],0)</f>
        <v>0</v>
      </c>
      <c r="AC93" s="112">
        <f>IF(NFI_Expiration=1,IF($A93&lt;VLOOKUP(N$5,NFI,5,0),1,0)*Data_NFI_t[[#This Row],[Blanket]],0)</f>
        <v>0</v>
      </c>
      <c r="AD93" s="112">
        <f>IF(NFI_Expiration=1,IF($A93&lt;VLOOKUP(O$5,NFI,5,0),1,0)*Data_NFI_t[[#This Row],[Kitchen Set]],0)</f>
        <v>0</v>
      </c>
      <c r="AE93" s="112">
        <f>IF(NFI_Expiration=1,IF($A93&lt;VLOOKUP(P$5,NFI,5,0),1,0)*Data_NFI_t[[#This Row],[Complementary Kit]],0)</f>
        <v>0</v>
      </c>
      <c r="AF93" s="112">
        <f>IF(NFI_Expiration=1,IF($A93&lt;VLOOKUP(Q$5,NFI,5,0),1,0)*Data_NFI_t[[#This Row],[Plastic Bucket]],0)</f>
        <v>0</v>
      </c>
      <c r="AG93" s="112">
        <f>IF(NFI_Expiration=1,IF($A93&lt;VLOOKUP(R$5,NFI,5,0),1,0)*Data_NFI_t[[#This Row],[Jerry Can]],0)</f>
        <v>0</v>
      </c>
      <c r="AH93" s="131">
        <f>IF(NFI_Expiration=1,IF($A93&lt;VLOOKUP(S$5,NFI,5,0),1,0)*Data_NFI_t[[#This Row],[Plastic Mat]],0)*IF(Data_NFI_t[[#This Row],[Distribution Date]]&gt;"01-06-2015",1,2.5)</f>
        <v>0</v>
      </c>
      <c r="AI93" s="901">
        <f>IF(NFI_Expiration=1,IF($A93&lt;VLOOKUP(T$5,NFI,5,0),1,0)*Data_NFI_t[[#This Row],[Adult Clothes]],0)</f>
        <v>0</v>
      </c>
      <c r="AJ93" s="131">
        <f>IF(NFI_Expiration=1,IF($A93&lt;VLOOKUP(U$5,NFI,5,0),1,0)*Data_NFI_t[[#This Row],[Children Clothes]],0)</f>
        <v>0</v>
      </c>
      <c r="AK93" s="131">
        <f>IF(NFI_Expiration=1,IF($A93&lt;VLOOKUP(V$5,NFI,5,0),1,0)*Data_NFI_t[[#This Row],[Sewing Kit]],0)</f>
        <v>0</v>
      </c>
      <c r="AL93" s="901">
        <f>IF(NFI_Expiration=1,IF($A93&lt;VLOOKUP(V$5,NFI,5,0),1,0)*Data_NFI_t[[#This Row],[Solar Lantern]],0)</f>
        <v>0</v>
      </c>
      <c r="AM93" s="131" t="str">
        <f ca="1">IFERROR(OFFSET(Camp_List[P_Code],MATCH(Data_NFI_t[[#This Row],[Camp Name]],Camp_List[Camp Name],0)-1,0,1,1),"")</f>
        <v>MMR012CMP110</v>
      </c>
      <c r="AN93" s="513" t="str">
        <f ca="1">IFERROR(OFFSET(Camp_List[Status],MATCH(Data_NFI_t[[#This Row],[Camp Name]],Camp_List[Camp Name],0)-1,0,1,1),"")</f>
        <v>Open</v>
      </c>
      <c r="AO93" s="131"/>
    </row>
    <row r="94" spans="1:41" s="90" customFormat="1" ht="19.5" customHeight="1" x14ac:dyDescent="0.25">
      <c r="A94" s="242">
        <f t="shared" si="3"/>
        <v>22.866666666666667</v>
      </c>
      <c r="B94" s="242">
        <v>2015</v>
      </c>
      <c r="C94" s="913">
        <v>42170</v>
      </c>
      <c r="D94" s="489" t="s">
        <v>285</v>
      </c>
      <c r="E94" s="488" t="s">
        <v>939</v>
      </c>
      <c r="F94" s="489" t="s">
        <v>7</v>
      </c>
      <c r="G94" s="790" t="s">
        <v>16</v>
      </c>
      <c r="H94" s="790" t="s">
        <v>604</v>
      </c>
      <c r="I94" s="790">
        <v>0</v>
      </c>
      <c r="J94" s="51">
        <v>0</v>
      </c>
      <c r="K94" s="51">
        <v>0</v>
      </c>
      <c r="L94" s="51">
        <v>0</v>
      </c>
      <c r="M94" s="51">
        <v>20</v>
      </c>
      <c r="N94" s="51">
        <v>0</v>
      </c>
      <c r="O94" s="51">
        <v>0</v>
      </c>
      <c r="P94" s="51">
        <v>0</v>
      </c>
      <c r="Q94" s="51">
        <v>0</v>
      </c>
      <c r="R94" s="511">
        <v>0</v>
      </c>
      <c r="S94" s="51">
        <v>0</v>
      </c>
      <c r="T94" s="51"/>
      <c r="U94" s="51"/>
      <c r="V94" s="51"/>
      <c r="W94" s="51"/>
      <c r="X94" s="131">
        <f>IF(NFI_Expiration=1,IF($A94&lt;VLOOKUP(I$5,NFI,5,0),1,0)*Data_NFI_t[[#This Row],[Hygiene Kit]],0)</f>
        <v>0</v>
      </c>
      <c r="Y94" s="131">
        <f>IF(NFI_Expiration=1,IF($A94&lt;VLOOKUP(J$5,NFI,5,0),1,0)*Data_NFI_t[[#This Row],[NFI Core Kit]],0)</f>
        <v>0</v>
      </c>
      <c r="Z94" s="112">
        <f>IF(NFI_Expiration=1,IF($A94&lt;VLOOKUP(K$5,NFI,5,0),1,0)*Data_NFI_t[[#This Row],[Sanitary Kit]],0)</f>
        <v>0</v>
      </c>
      <c r="AA94" s="112">
        <f>IF(NFI_Expiration=1,IF($A94&lt;VLOOKUP(L$5,NFI,5,0),1,0)*Data_NFI_t[[#This Row],[Mosquito net]],0)</f>
        <v>0</v>
      </c>
      <c r="AB94" s="112">
        <f>IF(NFI_Expiration=1,IF($A94&lt;VLOOKUP(M$5,NFI,5,0),1,0)*Data_NFI_t[[#This Row],[Tarpaulin]],0)</f>
        <v>0</v>
      </c>
      <c r="AC94" s="112">
        <f>IF(NFI_Expiration=1,IF($A94&lt;VLOOKUP(N$5,NFI,5,0),1,0)*Data_NFI_t[[#This Row],[Blanket]],0)</f>
        <v>0</v>
      </c>
      <c r="AD94" s="112">
        <f>IF(NFI_Expiration=1,IF($A94&lt;VLOOKUP(O$5,NFI,5,0),1,0)*Data_NFI_t[[#This Row],[Kitchen Set]],0)</f>
        <v>0</v>
      </c>
      <c r="AE94" s="112">
        <f>IF(NFI_Expiration=1,IF($A94&lt;VLOOKUP(P$5,NFI,5,0),1,0)*Data_NFI_t[[#This Row],[Complementary Kit]],0)</f>
        <v>0</v>
      </c>
      <c r="AF94" s="112">
        <f>IF(NFI_Expiration=1,IF($A94&lt;VLOOKUP(Q$5,NFI,5,0),1,0)*Data_NFI_t[[#This Row],[Plastic Bucket]],0)</f>
        <v>0</v>
      </c>
      <c r="AG94" s="112">
        <f>IF(NFI_Expiration=1,IF($A94&lt;VLOOKUP(R$5,NFI,5,0),1,0)*Data_NFI_t[[#This Row],[Jerry Can]],0)</f>
        <v>0</v>
      </c>
      <c r="AH94" s="131">
        <f>IF(NFI_Expiration=1,IF($A94&lt;VLOOKUP(S$5,NFI,5,0),1,0)*Data_NFI_t[[#This Row],[Plastic Mat]],0)*IF(Data_NFI_t[[#This Row],[Distribution Date]]&gt;"01-06-2015",1,2.5)</f>
        <v>0</v>
      </c>
      <c r="AI94" s="901">
        <f>IF(NFI_Expiration=1,IF($A94&lt;VLOOKUP(T$5,NFI,5,0),1,0)*Data_NFI_t[[#This Row],[Adult Clothes]],0)</f>
        <v>0</v>
      </c>
      <c r="AJ94" s="131">
        <f>IF(NFI_Expiration=1,IF($A94&lt;VLOOKUP(U$5,NFI,5,0),1,0)*Data_NFI_t[[#This Row],[Children Clothes]],0)</f>
        <v>0</v>
      </c>
      <c r="AK94" s="131">
        <f>IF(NFI_Expiration=1,IF($A94&lt;VLOOKUP(V$5,NFI,5,0),1,0)*Data_NFI_t[[#This Row],[Sewing Kit]],0)</f>
        <v>0</v>
      </c>
      <c r="AL94" s="901">
        <f>IF(NFI_Expiration=1,IF($A94&lt;VLOOKUP(V$5,NFI,5,0),1,0)*Data_NFI_t[[#This Row],[Solar Lantern]],0)</f>
        <v>0</v>
      </c>
      <c r="AM94" s="131" t="str">
        <f ca="1">IFERROR(OFFSET(Camp_List[P_Code],MATCH(Data_NFI_t[[#This Row],[Camp Name]],Camp_List[Camp Name],0)-1,0,1,1),"")</f>
        <v>MMR012CMP033</v>
      </c>
      <c r="AN94" s="513" t="str">
        <f ca="1">IFERROR(OFFSET(Camp_List[Status],MATCH(Data_NFI_t[[#This Row],[Camp Name]],Camp_List[Camp Name],0)-1,0,1,1),"")</f>
        <v>Open</v>
      </c>
      <c r="AO94" s="131"/>
    </row>
    <row r="95" spans="1:41" s="90" customFormat="1" ht="19.5" customHeight="1" x14ac:dyDescent="0.25">
      <c r="A95" s="242">
        <f t="shared" si="3"/>
        <v>22.866666666666667</v>
      </c>
      <c r="B95" s="242">
        <v>2015</v>
      </c>
      <c r="C95" s="913">
        <v>42170</v>
      </c>
      <c r="D95" s="489" t="s">
        <v>285</v>
      </c>
      <c r="E95" s="488" t="s">
        <v>939</v>
      </c>
      <c r="F95" s="489" t="s">
        <v>7</v>
      </c>
      <c r="G95" s="790" t="s">
        <v>16</v>
      </c>
      <c r="H95" s="790" t="s">
        <v>57</v>
      </c>
      <c r="I95" s="790">
        <v>0</v>
      </c>
      <c r="J95" s="51">
        <v>0</v>
      </c>
      <c r="K95" s="51">
        <v>0</v>
      </c>
      <c r="L95" s="51">
        <v>0</v>
      </c>
      <c r="M95" s="51">
        <v>10</v>
      </c>
      <c r="N95" s="51">
        <v>0</v>
      </c>
      <c r="O95" s="51">
        <v>0</v>
      </c>
      <c r="P95" s="51">
        <v>0</v>
      </c>
      <c r="Q95" s="51">
        <v>0</v>
      </c>
      <c r="R95" s="511">
        <v>0</v>
      </c>
      <c r="S95" s="51">
        <v>0</v>
      </c>
      <c r="T95" s="51"/>
      <c r="U95" s="51"/>
      <c r="V95" s="51"/>
      <c r="W95" s="51"/>
      <c r="X95" s="131">
        <f>IF(NFI_Expiration=1,IF($A95&lt;VLOOKUP(I$5,NFI,5,0),1,0)*Data_NFI_t[[#This Row],[Hygiene Kit]],0)</f>
        <v>0</v>
      </c>
      <c r="Y95" s="131">
        <f>IF(NFI_Expiration=1,IF($A95&lt;VLOOKUP(J$5,NFI,5,0),1,0)*Data_NFI_t[[#This Row],[NFI Core Kit]],0)</f>
        <v>0</v>
      </c>
      <c r="Z95" s="112">
        <f>IF(NFI_Expiration=1,IF($A95&lt;VLOOKUP(K$5,NFI,5,0),1,0)*Data_NFI_t[[#This Row],[Sanitary Kit]],0)</f>
        <v>0</v>
      </c>
      <c r="AA95" s="112">
        <f>IF(NFI_Expiration=1,IF($A95&lt;VLOOKUP(L$5,NFI,5,0),1,0)*Data_NFI_t[[#This Row],[Mosquito net]],0)</f>
        <v>0</v>
      </c>
      <c r="AB95" s="112">
        <f>IF(NFI_Expiration=1,IF($A95&lt;VLOOKUP(M$5,NFI,5,0),1,0)*Data_NFI_t[[#This Row],[Tarpaulin]],0)</f>
        <v>0</v>
      </c>
      <c r="AC95" s="112">
        <f>IF(NFI_Expiration=1,IF($A95&lt;VLOOKUP(N$5,NFI,5,0),1,0)*Data_NFI_t[[#This Row],[Blanket]],0)</f>
        <v>0</v>
      </c>
      <c r="AD95" s="112">
        <f>IF(NFI_Expiration=1,IF($A95&lt;VLOOKUP(O$5,NFI,5,0),1,0)*Data_NFI_t[[#This Row],[Kitchen Set]],0)</f>
        <v>0</v>
      </c>
      <c r="AE95" s="112">
        <f>IF(NFI_Expiration=1,IF($A95&lt;VLOOKUP(P$5,NFI,5,0),1,0)*Data_NFI_t[[#This Row],[Complementary Kit]],0)</f>
        <v>0</v>
      </c>
      <c r="AF95" s="112">
        <f>IF(NFI_Expiration=1,IF($A95&lt;VLOOKUP(Q$5,NFI,5,0),1,0)*Data_NFI_t[[#This Row],[Plastic Bucket]],0)</f>
        <v>0</v>
      </c>
      <c r="AG95" s="112">
        <f>IF(NFI_Expiration=1,IF($A95&lt;VLOOKUP(R$5,NFI,5,0),1,0)*Data_NFI_t[[#This Row],[Jerry Can]],0)</f>
        <v>0</v>
      </c>
      <c r="AH95" s="131">
        <f>IF(NFI_Expiration=1,IF($A95&lt;VLOOKUP(S$5,NFI,5,0),1,0)*Data_NFI_t[[#This Row],[Plastic Mat]],0)*IF(Data_NFI_t[[#This Row],[Distribution Date]]&gt;"01-06-2015",1,2.5)</f>
        <v>0</v>
      </c>
      <c r="AI95" s="901">
        <f>IF(NFI_Expiration=1,IF($A95&lt;VLOOKUP(T$5,NFI,5,0),1,0)*Data_NFI_t[[#This Row],[Adult Clothes]],0)</f>
        <v>0</v>
      </c>
      <c r="AJ95" s="131">
        <f>IF(NFI_Expiration=1,IF($A95&lt;VLOOKUP(U$5,NFI,5,0),1,0)*Data_NFI_t[[#This Row],[Children Clothes]],0)</f>
        <v>0</v>
      </c>
      <c r="AK95" s="131">
        <f>IF(NFI_Expiration=1,IF($A95&lt;VLOOKUP(V$5,NFI,5,0),1,0)*Data_NFI_t[[#This Row],[Sewing Kit]],0)</f>
        <v>0</v>
      </c>
      <c r="AL95" s="901">
        <f>IF(NFI_Expiration=1,IF($A95&lt;VLOOKUP(V$5,NFI,5,0),1,0)*Data_NFI_t[[#This Row],[Solar Lantern]],0)</f>
        <v>0</v>
      </c>
      <c r="AM95" s="131" t="str">
        <f ca="1">IFERROR(OFFSET(Camp_List[P_Code],MATCH(Data_NFI_t[[#This Row],[Camp Name]],Camp_List[Camp Name],0)-1,0,1,1),"")</f>
        <v>MMR012CMP034</v>
      </c>
      <c r="AN95" s="513" t="str">
        <f ca="1">IFERROR(OFFSET(Camp_List[Status],MATCH(Data_NFI_t[[#This Row],[Camp Name]],Camp_List[Camp Name],0)-1,0,1,1),"")</f>
        <v>Open</v>
      </c>
      <c r="AO95" s="131"/>
    </row>
    <row r="96" spans="1:41" s="90" customFormat="1" ht="19.5" customHeight="1" x14ac:dyDescent="0.25">
      <c r="A96" s="242">
        <f t="shared" si="3"/>
        <v>23</v>
      </c>
      <c r="B96" s="242">
        <f>YEAR(Data_NFI_t[[#This Row],[Distribution Date]])</f>
        <v>2015</v>
      </c>
      <c r="C96" s="913">
        <v>42166</v>
      </c>
      <c r="D96" s="489" t="s">
        <v>285</v>
      </c>
      <c r="E96" s="488" t="s">
        <v>285</v>
      </c>
      <c r="F96" s="489" t="s">
        <v>7</v>
      </c>
      <c r="G96" s="790" t="s">
        <v>11</v>
      </c>
      <c r="H96" s="790" t="s">
        <v>26</v>
      </c>
      <c r="I96" s="790"/>
      <c r="J96" s="51"/>
      <c r="K96" s="51"/>
      <c r="L96" s="51"/>
      <c r="M96" s="51">
        <v>187</v>
      </c>
      <c r="N96" s="51"/>
      <c r="O96" s="51"/>
      <c r="P96" s="51"/>
      <c r="Q96" s="51"/>
      <c r="R96" s="511"/>
      <c r="S96" s="51"/>
      <c r="T96" s="51"/>
      <c r="U96" s="51"/>
      <c r="V96" s="51"/>
      <c r="W96" s="51"/>
      <c r="X96" s="131">
        <f>IF(NFI_Expiration=1,IF($A96&lt;VLOOKUP(I$5,NFI,5,0),1,0)*Data_NFI_t[[#This Row],[Hygiene Kit]],0)</f>
        <v>0</v>
      </c>
      <c r="Y96" s="131">
        <f>IF(NFI_Expiration=1,IF($A96&lt;VLOOKUP(J$5,NFI,5,0),1,0)*Data_NFI_t[[#This Row],[NFI Core Kit]],0)</f>
        <v>0</v>
      </c>
      <c r="Z96" s="112">
        <f>IF(NFI_Expiration=1,IF($A96&lt;VLOOKUP(K$5,NFI,5,0),1,0)*Data_NFI_t[[#This Row],[Sanitary Kit]],0)</f>
        <v>0</v>
      </c>
      <c r="AA96" s="112">
        <f>IF(NFI_Expiration=1,IF($A96&lt;VLOOKUP(L$5,NFI,5,0),1,0)*Data_NFI_t[[#This Row],[Mosquito net]],0)</f>
        <v>0</v>
      </c>
      <c r="AB96" s="112">
        <f>IF(NFI_Expiration=1,IF($A96&lt;VLOOKUP(M$5,NFI,5,0),1,0)*Data_NFI_t[[#This Row],[Tarpaulin]],0)</f>
        <v>0</v>
      </c>
      <c r="AC96" s="112">
        <f>IF(NFI_Expiration=1,IF($A96&lt;VLOOKUP(N$5,NFI,5,0),1,0)*Data_NFI_t[[#This Row],[Blanket]],0)</f>
        <v>0</v>
      </c>
      <c r="AD96" s="112">
        <f>IF(NFI_Expiration=1,IF($A96&lt;VLOOKUP(O$5,NFI,5,0),1,0)*Data_NFI_t[[#This Row],[Kitchen Set]],0)</f>
        <v>0</v>
      </c>
      <c r="AE96" s="112">
        <f>IF(NFI_Expiration=1,IF($A96&lt;VLOOKUP(P$5,NFI,5,0),1,0)*Data_NFI_t[[#This Row],[Complementary Kit]],0)</f>
        <v>0</v>
      </c>
      <c r="AF96" s="112">
        <f>IF(NFI_Expiration=1,IF($A96&lt;VLOOKUP(Q$5,NFI,5,0),1,0)*Data_NFI_t[[#This Row],[Plastic Bucket]],0)</f>
        <v>0</v>
      </c>
      <c r="AG96" s="112">
        <f>IF(NFI_Expiration=1,IF($A96&lt;VLOOKUP(R$5,NFI,5,0),1,0)*Data_NFI_t[[#This Row],[Jerry Can]],0)</f>
        <v>0</v>
      </c>
      <c r="AH96" s="131">
        <f>IF(NFI_Expiration=1,IF($A96&lt;VLOOKUP(S$5,NFI,5,0),1,0)*Data_NFI_t[[#This Row],[Plastic Mat]],0)*IF(Data_NFI_t[[#This Row],[Distribution Date]]&gt;"01-06-2015",1,2.5)</f>
        <v>0</v>
      </c>
      <c r="AI96" s="901">
        <f>IF(NFI_Expiration=1,IF($A96&lt;VLOOKUP(T$5,NFI,5,0),1,0)*Data_NFI_t[[#This Row],[Adult Clothes]],0)</f>
        <v>0</v>
      </c>
      <c r="AJ96" s="131">
        <f>IF(NFI_Expiration=1,IF($A96&lt;VLOOKUP(U$5,NFI,5,0),1,0)*Data_NFI_t[[#This Row],[Children Clothes]],0)</f>
        <v>0</v>
      </c>
      <c r="AK96" s="131">
        <f>IF(NFI_Expiration=1,IF($A96&lt;VLOOKUP(V$5,NFI,5,0),1,0)*Data_NFI_t[[#This Row],[Sewing Kit]],0)</f>
        <v>0</v>
      </c>
      <c r="AL96" s="901">
        <f>IF(NFI_Expiration=1,IF($A96&lt;VLOOKUP(V$5,NFI,5,0),1,0)*Data_NFI_t[[#This Row],[Solar Lantern]],0)</f>
        <v>0</v>
      </c>
      <c r="AM96" s="131" t="str">
        <f ca="1">IFERROR(OFFSET(Camp_List[P_Code],MATCH(Data_NFI_t[[#This Row],[Camp Name]],Camp_List[Camp Name],0)-1,0,1,1),"")</f>
        <v>MMR012CMP002</v>
      </c>
      <c r="AN96" s="513" t="str">
        <f ca="1">IFERROR(OFFSET(Camp_List[Status],MATCH(Data_NFI_t[[#This Row],[Camp Name]],Camp_List[Camp Name],0)-1,0,1,1),"")</f>
        <v>Returned</v>
      </c>
      <c r="AO96" s="131"/>
    </row>
    <row r="97" spans="1:41" s="90" customFormat="1" ht="19.5" customHeight="1" x14ac:dyDescent="0.25">
      <c r="A97" s="242">
        <f t="shared" si="3"/>
        <v>23</v>
      </c>
      <c r="B97" s="242">
        <f>YEAR(Data_NFI_t[[#This Row],[Distribution Date]])</f>
        <v>2015</v>
      </c>
      <c r="C97" s="913">
        <v>42166</v>
      </c>
      <c r="D97" s="489" t="s">
        <v>285</v>
      </c>
      <c r="E97" s="488" t="s">
        <v>285</v>
      </c>
      <c r="F97" s="489" t="s">
        <v>7</v>
      </c>
      <c r="G97" s="790" t="s">
        <v>11</v>
      </c>
      <c r="H97" s="790" t="s">
        <v>27</v>
      </c>
      <c r="I97" s="790"/>
      <c r="J97" s="51"/>
      <c r="K97" s="51"/>
      <c r="L97" s="51"/>
      <c r="M97" s="51">
        <v>90</v>
      </c>
      <c r="N97" s="51"/>
      <c r="O97" s="51"/>
      <c r="P97" s="51"/>
      <c r="Q97" s="51"/>
      <c r="R97" s="511"/>
      <c r="S97" s="51"/>
      <c r="T97" s="51"/>
      <c r="U97" s="51"/>
      <c r="V97" s="51"/>
      <c r="W97" s="51"/>
      <c r="X97" s="131">
        <f>IF(NFI_Expiration=1,IF($A97&lt;VLOOKUP(I$5,NFI,5,0),1,0)*Data_NFI_t[[#This Row],[Hygiene Kit]],0)</f>
        <v>0</v>
      </c>
      <c r="Y97" s="131">
        <f>IF(NFI_Expiration=1,IF($A97&lt;VLOOKUP(J$5,NFI,5,0),1,0)*Data_NFI_t[[#This Row],[NFI Core Kit]],0)</f>
        <v>0</v>
      </c>
      <c r="Z97" s="112">
        <f>IF(NFI_Expiration=1,IF($A97&lt;VLOOKUP(K$5,NFI,5,0),1,0)*Data_NFI_t[[#This Row],[Sanitary Kit]],0)</f>
        <v>0</v>
      </c>
      <c r="AA97" s="112">
        <f>IF(NFI_Expiration=1,IF($A97&lt;VLOOKUP(L$5,NFI,5,0),1,0)*Data_NFI_t[[#This Row],[Mosquito net]],0)</f>
        <v>0</v>
      </c>
      <c r="AB97" s="112">
        <f>IF(NFI_Expiration=1,IF($A97&lt;VLOOKUP(M$5,NFI,5,0),1,0)*Data_NFI_t[[#This Row],[Tarpaulin]],0)</f>
        <v>0</v>
      </c>
      <c r="AC97" s="112">
        <f>IF(NFI_Expiration=1,IF($A97&lt;VLOOKUP(N$5,NFI,5,0),1,0)*Data_NFI_t[[#This Row],[Blanket]],0)</f>
        <v>0</v>
      </c>
      <c r="AD97" s="112">
        <f>IF(NFI_Expiration=1,IF($A97&lt;VLOOKUP(O$5,NFI,5,0),1,0)*Data_NFI_t[[#This Row],[Kitchen Set]],0)</f>
        <v>0</v>
      </c>
      <c r="AE97" s="112">
        <f>IF(NFI_Expiration=1,IF($A97&lt;VLOOKUP(P$5,NFI,5,0),1,0)*Data_NFI_t[[#This Row],[Complementary Kit]],0)</f>
        <v>0</v>
      </c>
      <c r="AF97" s="112">
        <f>IF(NFI_Expiration=1,IF($A97&lt;VLOOKUP(Q$5,NFI,5,0),1,0)*Data_NFI_t[[#This Row],[Plastic Bucket]],0)</f>
        <v>0</v>
      </c>
      <c r="AG97" s="112">
        <f>IF(NFI_Expiration=1,IF($A97&lt;VLOOKUP(R$5,NFI,5,0),1,0)*Data_NFI_t[[#This Row],[Jerry Can]],0)</f>
        <v>0</v>
      </c>
      <c r="AH97" s="131">
        <f>IF(NFI_Expiration=1,IF($A97&lt;VLOOKUP(S$5,NFI,5,0),1,0)*Data_NFI_t[[#This Row],[Plastic Mat]],0)*IF(Data_NFI_t[[#This Row],[Distribution Date]]&gt;"01-06-2015",1,2.5)</f>
        <v>0</v>
      </c>
      <c r="AI97" s="901">
        <f>IF(NFI_Expiration=1,IF($A97&lt;VLOOKUP(T$5,NFI,5,0),1,0)*Data_NFI_t[[#This Row],[Adult Clothes]],0)</f>
        <v>0</v>
      </c>
      <c r="AJ97" s="131">
        <f>IF(NFI_Expiration=1,IF($A97&lt;VLOOKUP(U$5,NFI,5,0),1,0)*Data_NFI_t[[#This Row],[Children Clothes]],0)</f>
        <v>0</v>
      </c>
      <c r="AK97" s="131">
        <f>IF(NFI_Expiration=1,IF($A97&lt;VLOOKUP(V$5,NFI,5,0),1,0)*Data_NFI_t[[#This Row],[Sewing Kit]],0)</f>
        <v>0</v>
      </c>
      <c r="AL97" s="901">
        <f>IF(NFI_Expiration=1,IF($A97&lt;VLOOKUP(V$5,NFI,5,0),1,0)*Data_NFI_t[[#This Row],[Solar Lantern]],0)</f>
        <v>0</v>
      </c>
      <c r="AM97" s="131" t="str">
        <f ca="1">IFERROR(OFFSET(Camp_List[P_Code],MATCH(Data_NFI_t[[#This Row],[Camp Name]],Camp_List[Camp Name],0)-1,0,1,1),"")</f>
        <v>MMR012CMP003</v>
      </c>
      <c r="AN97" s="513" t="str">
        <f ca="1">IFERROR(OFFSET(Camp_List[Status],MATCH(Data_NFI_t[[#This Row],[Camp Name]],Camp_List[Camp Name],0)-1,0,1,1),"")</f>
        <v>Returned</v>
      </c>
      <c r="AO97" s="131"/>
    </row>
    <row r="98" spans="1:41" s="90" customFormat="1" ht="19.5" customHeight="1" x14ac:dyDescent="0.25">
      <c r="A98" s="242">
        <f t="shared" si="3"/>
        <v>23</v>
      </c>
      <c r="B98" s="242">
        <f>YEAR(Data_NFI_t[[#This Row],[Distribution Date]])</f>
        <v>2015</v>
      </c>
      <c r="C98" s="913">
        <v>42166</v>
      </c>
      <c r="D98" s="489" t="s">
        <v>285</v>
      </c>
      <c r="E98" s="488" t="s">
        <v>285</v>
      </c>
      <c r="F98" s="489" t="s">
        <v>7</v>
      </c>
      <c r="G98" s="790" t="s">
        <v>11</v>
      </c>
      <c r="H98" s="790" t="s">
        <v>30</v>
      </c>
      <c r="I98" s="790"/>
      <c r="J98" s="51"/>
      <c r="K98" s="51"/>
      <c r="L98" s="51"/>
      <c r="M98" s="51">
        <v>86</v>
      </c>
      <c r="N98" s="51"/>
      <c r="O98" s="51"/>
      <c r="P98" s="51"/>
      <c r="Q98" s="51"/>
      <c r="R98" s="511"/>
      <c r="S98" s="51"/>
      <c r="T98" s="51"/>
      <c r="U98" s="51"/>
      <c r="V98" s="51"/>
      <c r="W98" s="51"/>
      <c r="X98" s="131">
        <f>IF(NFI_Expiration=1,IF($A98&lt;VLOOKUP(I$5,NFI,5,0),1,0)*Data_NFI_t[[#This Row],[Hygiene Kit]],0)</f>
        <v>0</v>
      </c>
      <c r="Y98" s="131">
        <f>IF(NFI_Expiration=1,IF($A98&lt;VLOOKUP(J$5,NFI,5,0),1,0)*Data_NFI_t[[#This Row],[NFI Core Kit]],0)</f>
        <v>0</v>
      </c>
      <c r="Z98" s="112">
        <f>IF(NFI_Expiration=1,IF($A98&lt;VLOOKUP(K$5,NFI,5,0),1,0)*Data_NFI_t[[#This Row],[Sanitary Kit]],0)</f>
        <v>0</v>
      </c>
      <c r="AA98" s="112">
        <f>IF(NFI_Expiration=1,IF($A98&lt;VLOOKUP(L$5,NFI,5,0),1,0)*Data_NFI_t[[#This Row],[Mosquito net]],0)</f>
        <v>0</v>
      </c>
      <c r="AB98" s="112">
        <f>IF(NFI_Expiration=1,IF($A98&lt;VLOOKUP(M$5,NFI,5,0),1,0)*Data_NFI_t[[#This Row],[Tarpaulin]],0)</f>
        <v>0</v>
      </c>
      <c r="AC98" s="112">
        <f>IF(NFI_Expiration=1,IF($A98&lt;VLOOKUP(N$5,NFI,5,0),1,0)*Data_NFI_t[[#This Row],[Blanket]],0)</f>
        <v>0</v>
      </c>
      <c r="AD98" s="112">
        <f>IF(NFI_Expiration=1,IF($A98&lt;VLOOKUP(O$5,NFI,5,0),1,0)*Data_NFI_t[[#This Row],[Kitchen Set]],0)</f>
        <v>0</v>
      </c>
      <c r="AE98" s="112">
        <f>IF(NFI_Expiration=1,IF($A98&lt;VLOOKUP(P$5,NFI,5,0),1,0)*Data_NFI_t[[#This Row],[Complementary Kit]],0)</f>
        <v>0</v>
      </c>
      <c r="AF98" s="112">
        <f>IF(NFI_Expiration=1,IF($A98&lt;VLOOKUP(Q$5,NFI,5,0),1,0)*Data_NFI_t[[#This Row],[Plastic Bucket]],0)</f>
        <v>0</v>
      </c>
      <c r="AG98" s="112">
        <f>IF(NFI_Expiration=1,IF($A98&lt;VLOOKUP(R$5,NFI,5,0),1,0)*Data_NFI_t[[#This Row],[Jerry Can]],0)</f>
        <v>0</v>
      </c>
      <c r="AH98" s="131">
        <f>IF(NFI_Expiration=1,IF($A98&lt;VLOOKUP(S$5,NFI,5,0),1,0)*Data_NFI_t[[#This Row],[Plastic Mat]],0)*IF(Data_NFI_t[[#This Row],[Distribution Date]]&gt;"01-06-2015",1,2.5)</f>
        <v>0</v>
      </c>
      <c r="AI98" s="901">
        <f>IF(NFI_Expiration=1,IF($A98&lt;VLOOKUP(T$5,NFI,5,0),1,0)*Data_NFI_t[[#This Row],[Adult Clothes]],0)</f>
        <v>0</v>
      </c>
      <c r="AJ98" s="131">
        <f>IF(NFI_Expiration=1,IF($A98&lt;VLOOKUP(U$5,NFI,5,0),1,0)*Data_NFI_t[[#This Row],[Children Clothes]],0)</f>
        <v>0</v>
      </c>
      <c r="AK98" s="131">
        <f>IF(NFI_Expiration=1,IF($A98&lt;VLOOKUP(V$5,NFI,5,0),1,0)*Data_NFI_t[[#This Row],[Sewing Kit]],0)</f>
        <v>0</v>
      </c>
      <c r="AL98" s="901">
        <f>IF(NFI_Expiration=1,IF($A98&lt;VLOOKUP(V$5,NFI,5,0),1,0)*Data_NFI_t[[#This Row],[Solar Lantern]],0)</f>
        <v>0</v>
      </c>
      <c r="AM98" s="131" t="str">
        <f ca="1">IFERROR(OFFSET(Camp_List[P_Code],MATCH(Data_NFI_t[[#This Row],[Camp Name]],Camp_List[Camp Name],0)-1,0,1,1),"")</f>
        <v>MMR012CMP006</v>
      </c>
      <c r="AN98" s="513" t="str">
        <f ca="1">IFERROR(OFFSET(Camp_List[Status],MATCH(Data_NFI_t[[#This Row],[Camp Name]],Camp_List[Camp Name],0)-1,0,1,1),"")</f>
        <v>Returned</v>
      </c>
      <c r="AO98" s="131"/>
    </row>
    <row r="99" spans="1:41" s="90" customFormat="1" ht="19.5" customHeight="1" x14ac:dyDescent="0.25">
      <c r="A99" s="242">
        <f t="shared" si="3"/>
        <v>23</v>
      </c>
      <c r="B99" s="242">
        <f>YEAR(Data_NFI_t[[#This Row],[Distribution Date]])</f>
        <v>2015</v>
      </c>
      <c r="C99" s="913">
        <v>42166</v>
      </c>
      <c r="D99" s="489" t="s">
        <v>285</v>
      </c>
      <c r="E99" s="488" t="s">
        <v>285</v>
      </c>
      <c r="F99" s="489" t="s">
        <v>7</v>
      </c>
      <c r="G99" s="790" t="s">
        <v>11</v>
      </c>
      <c r="H99" s="790" t="s">
        <v>32</v>
      </c>
      <c r="I99" s="790"/>
      <c r="J99" s="51"/>
      <c r="K99" s="51"/>
      <c r="L99" s="51"/>
      <c r="M99" s="51">
        <v>225</v>
      </c>
      <c r="N99" s="51"/>
      <c r="O99" s="51"/>
      <c r="P99" s="51"/>
      <c r="Q99" s="51"/>
      <c r="R99" s="511"/>
      <c r="S99" s="51"/>
      <c r="T99" s="51"/>
      <c r="U99" s="51"/>
      <c r="V99" s="51"/>
      <c r="W99" s="51"/>
      <c r="X99" s="131">
        <f>IF(NFI_Expiration=1,IF($A99&lt;VLOOKUP(I$5,NFI,5,0),1,0)*Data_NFI_t[[#This Row],[Hygiene Kit]],0)</f>
        <v>0</v>
      </c>
      <c r="Y99" s="131">
        <f>IF(NFI_Expiration=1,IF($A99&lt;VLOOKUP(J$5,NFI,5,0),1,0)*Data_NFI_t[[#This Row],[NFI Core Kit]],0)</f>
        <v>0</v>
      </c>
      <c r="Z99" s="112">
        <f>IF(NFI_Expiration=1,IF($A99&lt;VLOOKUP(K$5,NFI,5,0),1,0)*Data_NFI_t[[#This Row],[Sanitary Kit]],0)</f>
        <v>0</v>
      </c>
      <c r="AA99" s="112">
        <f>IF(NFI_Expiration=1,IF($A99&lt;VLOOKUP(L$5,NFI,5,0),1,0)*Data_NFI_t[[#This Row],[Mosquito net]],0)</f>
        <v>0</v>
      </c>
      <c r="AB99" s="112">
        <f>IF(NFI_Expiration=1,IF($A99&lt;VLOOKUP(M$5,NFI,5,0),1,0)*Data_NFI_t[[#This Row],[Tarpaulin]],0)</f>
        <v>0</v>
      </c>
      <c r="AC99" s="112">
        <f>IF(NFI_Expiration=1,IF($A99&lt;VLOOKUP(N$5,NFI,5,0),1,0)*Data_NFI_t[[#This Row],[Blanket]],0)</f>
        <v>0</v>
      </c>
      <c r="AD99" s="112">
        <f>IF(NFI_Expiration=1,IF($A99&lt;VLOOKUP(O$5,NFI,5,0),1,0)*Data_NFI_t[[#This Row],[Kitchen Set]],0)</f>
        <v>0</v>
      </c>
      <c r="AE99" s="112">
        <f>IF(NFI_Expiration=1,IF($A99&lt;VLOOKUP(P$5,NFI,5,0),1,0)*Data_NFI_t[[#This Row],[Complementary Kit]],0)</f>
        <v>0</v>
      </c>
      <c r="AF99" s="112">
        <f>IF(NFI_Expiration=1,IF($A99&lt;VLOOKUP(Q$5,NFI,5,0),1,0)*Data_NFI_t[[#This Row],[Plastic Bucket]],0)</f>
        <v>0</v>
      </c>
      <c r="AG99" s="112">
        <f>IF(NFI_Expiration=1,IF($A99&lt;VLOOKUP(R$5,NFI,5,0),1,0)*Data_NFI_t[[#This Row],[Jerry Can]],0)</f>
        <v>0</v>
      </c>
      <c r="AH99" s="131">
        <f>IF(NFI_Expiration=1,IF($A99&lt;VLOOKUP(S$5,NFI,5,0),1,0)*Data_NFI_t[[#This Row],[Plastic Mat]],0)*IF(Data_NFI_t[[#This Row],[Distribution Date]]&gt;"01-06-2015",1,2.5)</f>
        <v>0</v>
      </c>
      <c r="AI99" s="901">
        <f>IF(NFI_Expiration=1,IF($A99&lt;VLOOKUP(T$5,NFI,5,0),1,0)*Data_NFI_t[[#This Row],[Adult Clothes]],0)</f>
        <v>0</v>
      </c>
      <c r="AJ99" s="131">
        <f>IF(NFI_Expiration=1,IF($A99&lt;VLOOKUP(U$5,NFI,5,0),1,0)*Data_NFI_t[[#This Row],[Children Clothes]],0)</f>
        <v>0</v>
      </c>
      <c r="AK99" s="131">
        <f>IF(NFI_Expiration=1,IF($A99&lt;VLOOKUP(V$5,NFI,5,0),1,0)*Data_NFI_t[[#This Row],[Sewing Kit]],0)</f>
        <v>0</v>
      </c>
      <c r="AL99" s="901">
        <f>IF(NFI_Expiration=1,IF($A99&lt;VLOOKUP(V$5,NFI,5,0),1,0)*Data_NFI_t[[#This Row],[Solar Lantern]],0)</f>
        <v>0</v>
      </c>
      <c r="AM99" s="131" t="str">
        <f ca="1">IFERROR(OFFSET(Camp_List[P_Code],MATCH(Data_NFI_t[[#This Row],[Camp Name]],Camp_List[Camp Name],0)-1,0,1,1),"")</f>
        <v>MMR012CMP008</v>
      </c>
      <c r="AN99" s="513" t="str">
        <f ca="1">IFERROR(OFFSET(Camp_List[Status],MATCH(Data_NFI_t[[#This Row],[Camp Name]],Camp_List[Camp Name],0)-1,0,1,1),"")</f>
        <v>Returned</v>
      </c>
      <c r="AO99" s="131"/>
    </row>
    <row r="100" spans="1:41" s="90" customFormat="1" ht="19.5" customHeight="1" x14ac:dyDescent="0.25">
      <c r="A100" s="242">
        <f t="shared" si="3"/>
        <v>23.033333333333335</v>
      </c>
      <c r="B100" s="242">
        <f>YEAR(Data_NFI_t[[#This Row],[Distribution Date]])</f>
        <v>2015</v>
      </c>
      <c r="C100" s="913">
        <v>42165</v>
      </c>
      <c r="D100" s="489" t="s">
        <v>285</v>
      </c>
      <c r="E100" s="488" t="s">
        <v>285</v>
      </c>
      <c r="F100" s="489" t="s">
        <v>7</v>
      </c>
      <c r="G100" s="790" t="s">
        <v>1002</v>
      </c>
      <c r="H100" s="790" t="s">
        <v>33</v>
      </c>
      <c r="I100" s="790"/>
      <c r="J100" s="51"/>
      <c r="K100" s="51"/>
      <c r="L100" s="51"/>
      <c r="M100" s="51">
        <v>56</v>
      </c>
      <c r="N100" s="51"/>
      <c r="O100" s="51"/>
      <c r="P100" s="51"/>
      <c r="Q100" s="51"/>
      <c r="R100" s="511"/>
      <c r="S100" s="51"/>
      <c r="T100" s="51"/>
      <c r="U100" s="51"/>
      <c r="V100" s="51"/>
      <c r="W100" s="51"/>
      <c r="X100" s="131">
        <f>IF(NFI_Expiration=1,IF($A100&lt;VLOOKUP(I$5,NFI,5,0),1,0)*Data_NFI_t[[#This Row],[Hygiene Kit]],0)</f>
        <v>0</v>
      </c>
      <c r="Y100" s="131">
        <f>IF(NFI_Expiration=1,IF($A100&lt;VLOOKUP(J$5,NFI,5,0),1,0)*Data_NFI_t[[#This Row],[NFI Core Kit]],0)</f>
        <v>0</v>
      </c>
      <c r="Z100" s="112">
        <f>IF(NFI_Expiration=1,IF($A100&lt;VLOOKUP(K$5,NFI,5,0),1,0)*Data_NFI_t[[#This Row],[Sanitary Kit]],0)</f>
        <v>0</v>
      </c>
      <c r="AA100" s="112">
        <f>IF(NFI_Expiration=1,IF($A100&lt;VLOOKUP(L$5,NFI,5,0),1,0)*Data_NFI_t[[#This Row],[Mosquito net]],0)</f>
        <v>0</v>
      </c>
      <c r="AB100" s="112">
        <f>IF(NFI_Expiration=1,IF($A100&lt;VLOOKUP(M$5,NFI,5,0),1,0)*Data_NFI_t[[#This Row],[Tarpaulin]],0)</f>
        <v>0</v>
      </c>
      <c r="AC100" s="112">
        <f>IF(NFI_Expiration=1,IF($A100&lt;VLOOKUP(N$5,NFI,5,0),1,0)*Data_NFI_t[[#This Row],[Blanket]],0)</f>
        <v>0</v>
      </c>
      <c r="AD100" s="112">
        <f>IF(NFI_Expiration=1,IF($A100&lt;VLOOKUP(O$5,NFI,5,0),1,0)*Data_NFI_t[[#This Row],[Kitchen Set]],0)</f>
        <v>0</v>
      </c>
      <c r="AE100" s="112">
        <f>IF(NFI_Expiration=1,IF($A100&lt;VLOOKUP(P$5,NFI,5,0),1,0)*Data_NFI_t[[#This Row],[Complementary Kit]],0)</f>
        <v>0</v>
      </c>
      <c r="AF100" s="112">
        <f>IF(NFI_Expiration=1,IF($A100&lt;VLOOKUP(Q$5,NFI,5,0),1,0)*Data_NFI_t[[#This Row],[Plastic Bucket]],0)</f>
        <v>0</v>
      </c>
      <c r="AG100" s="112">
        <f>IF(NFI_Expiration=1,IF($A100&lt;VLOOKUP(R$5,NFI,5,0),1,0)*Data_NFI_t[[#This Row],[Jerry Can]],0)</f>
        <v>0</v>
      </c>
      <c r="AH100" s="131">
        <f>IF(NFI_Expiration=1,IF($A100&lt;VLOOKUP(S$5,NFI,5,0),1,0)*Data_NFI_t[[#This Row],[Plastic Mat]],0)*IF(Data_NFI_t[[#This Row],[Distribution Date]]&gt;"01-06-2015",1,2.5)</f>
        <v>0</v>
      </c>
      <c r="AI100" s="901">
        <f>IF(NFI_Expiration=1,IF($A100&lt;VLOOKUP(T$5,NFI,5,0),1,0)*Data_NFI_t[[#This Row],[Adult Clothes]],0)</f>
        <v>0</v>
      </c>
      <c r="AJ100" s="131">
        <f>IF(NFI_Expiration=1,IF($A100&lt;VLOOKUP(U$5,NFI,5,0),1,0)*Data_NFI_t[[#This Row],[Children Clothes]],0)</f>
        <v>0</v>
      </c>
      <c r="AK100" s="131">
        <f>IF(NFI_Expiration=1,IF($A100&lt;VLOOKUP(V$5,NFI,5,0),1,0)*Data_NFI_t[[#This Row],[Sewing Kit]],0)</f>
        <v>0</v>
      </c>
      <c r="AL100" s="901">
        <f>IF(NFI_Expiration=1,IF($A100&lt;VLOOKUP(V$5,NFI,5,0),1,0)*Data_NFI_t[[#This Row],[Solar Lantern]],0)</f>
        <v>0</v>
      </c>
      <c r="AM100" s="131" t="str">
        <f ca="1">IFERROR(OFFSET(Camp_List[P_Code],MATCH(Data_NFI_t[[#This Row],[Camp Name]],Camp_List[Camp Name],0)-1,0,1,1),"")</f>
        <v>MMR012CMP009</v>
      </c>
      <c r="AN100" s="513" t="str">
        <f ca="1">IFERROR(OFFSET(Camp_List[Status],MATCH(Data_NFI_t[[#This Row],[Camp Name]],Camp_List[Camp Name],0)-1,0,1,1),"")</f>
        <v>Returned</v>
      </c>
      <c r="AO100" s="131"/>
    </row>
    <row r="101" spans="1:41" s="90" customFormat="1" ht="19.5" customHeight="1" x14ac:dyDescent="0.25">
      <c r="A101" s="242">
        <f t="shared" si="3"/>
        <v>23.033333333333335</v>
      </c>
      <c r="B101" s="242">
        <f>YEAR(Data_NFI_t[[#This Row],[Distribution Date]])</f>
        <v>2015</v>
      </c>
      <c r="C101" s="913">
        <v>42165</v>
      </c>
      <c r="D101" s="489" t="s">
        <v>285</v>
      </c>
      <c r="E101" s="488" t="s">
        <v>285</v>
      </c>
      <c r="F101" s="489" t="s">
        <v>7</v>
      </c>
      <c r="G101" s="790" t="s">
        <v>1002</v>
      </c>
      <c r="H101" s="790" t="s">
        <v>34</v>
      </c>
      <c r="I101" s="790"/>
      <c r="J101" s="51"/>
      <c r="K101" s="51"/>
      <c r="L101" s="51"/>
      <c r="M101" s="51">
        <v>55</v>
      </c>
      <c r="N101" s="51"/>
      <c r="O101" s="51"/>
      <c r="P101" s="51"/>
      <c r="Q101" s="51"/>
      <c r="R101" s="511"/>
      <c r="S101" s="51"/>
      <c r="T101" s="51"/>
      <c r="U101" s="51"/>
      <c r="V101" s="51"/>
      <c r="W101" s="51"/>
      <c r="X101" s="131">
        <f>IF(NFI_Expiration=1,IF($A101&lt;VLOOKUP(I$5,NFI,5,0),1,0)*Data_NFI_t[[#This Row],[Hygiene Kit]],0)</f>
        <v>0</v>
      </c>
      <c r="Y101" s="131">
        <f>IF(NFI_Expiration=1,IF($A101&lt;VLOOKUP(J$5,NFI,5,0),1,0)*Data_NFI_t[[#This Row],[NFI Core Kit]],0)</f>
        <v>0</v>
      </c>
      <c r="Z101" s="112">
        <f>IF(NFI_Expiration=1,IF($A101&lt;VLOOKUP(K$5,NFI,5,0),1,0)*Data_NFI_t[[#This Row],[Sanitary Kit]],0)</f>
        <v>0</v>
      </c>
      <c r="AA101" s="112">
        <f>IF(NFI_Expiration=1,IF($A101&lt;VLOOKUP(L$5,NFI,5,0),1,0)*Data_NFI_t[[#This Row],[Mosquito net]],0)</f>
        <v>0</v>
      </c>
      <c r="AB101" s="112">
        <f>IF(NFI_Expiration=1,IF($A101&lt;VLOOKUP(M$5,NFI,5,0),1,0)*Data_NFI_t[[#This Row],[Tarpaulin]],0)</f>
        <v>0</v>
      </c>
      <c r="AC101" s="112">
        <f>IF(NFI_Expiration=1,IF($A101&lt;VLOOKUP(N$5,NFI,5,0),1,0)*Data_NFI_t[[#This Row],[Blanket]],0)</f>
        <v>0</v>
      </c>
      <c r="AD101" s="112">
        <f>IF(NFI_Expiration=1,IF($A101&lt;VLOOKUP(O$5,NFI,5,0),1,0)*Data_NFI_t[[#This Row],[Kitchen Set]],0)</f>
        <v>0</v>
      </c>
      <c r="AE101" s="112">
        <f>IF(NFI_Expiration=1,IF($A101&lt;VLOOKUP(P$5,NFI,5,0),1,0)*Data_NFI_t[[#This Row],[Complementary Kit]],0)</f>
        <v>0</v>
      </c>
      <c r="AF101" s="112">
        <f>IF(NFI_Expiration=1,IF($A101&lt;VLOOKUP(Q$5,NFI,5,0),1,0)*Data_NFI_t[[#This Row],[Plastic Bucket]],0)</f>
        <v>0</v>
      </c>
      <c r="AG101" s="112">
        <f>IF(NFI_Expiration=1,IF($A101&lt;VLOOKUP(R$5,NFI,5,0),1,0)*Data_NFI_t[[#This Row],[Jerry Can]],0)</f>
        <v>0</v>
      </c>
      <c r="AH101" s="131">
        <f>IF(NFI_Expiration=1,IF($A101&lt;VLOOKUP(S$5,NFI,5,0),1,0)*Data_NFI_t[[#This Row],[Plastic Mat]],0)*IF(Data_NFI_t[[#This Row],[Distribution Date]]&gt;"01-06-2015",1,2.5)</f>
        <v>0</v>
      </c>
      <c r="AI101" s="901">
        <f>IF(NFI_Expiration=1,IF($A101&lt;VLOOKUP(T$5,NFI,5,0),1,0)*Data_NFI_t[[#This Row],[Adult Clothes]],0)</f>
        <v>0</v>
      </c>
      <c r="AJ101" s="131">
        <f>IF(NFI_Expiration=1,IF($A101&lt;VLOOKUP(U$5,NFI,5,0),1,0)*Data_NFI_t[[#This Row],[Children Clothes]],0)</f>
        <v>0</v>
      </c>
      <c r="AK101" s="131">
        <f>IF(NFI_Expiration=1,IF($A101&lt;VLOOKUP(V$5,NFI,5,0),1,0)*Data_NFI_t[[#This Row],[Sewing Kit]],0)</f>
        <v>0</v>
      </c>
      <c r="AL101" s="901">
        <f>IF(NFI_Expiration=1,IF($A101&lt;VLOOKUP(V$5,NFI,5,0),1,0)*Data_NFI_t[[#This Row],[Solar Lantern]],0)</f>
        <v>0</v>
      </c>
      <c r="AM101" s="131" t="str">
        <f ca="1">IFERROR(OFFSET(Camp_List[P_Code],MATCH(Data_NFI_t[[#This Row],[Camp Name]],Camp_List[Camp Name],0)-1,0,1,1),"")</f>
        <v>MMR012CMP010</v>
      </c>
      <c r="AN101" s="513" t="str">
        <f ca="1">IFERROR(OFFSET(Camp_List[Status],MATCH(Data_NFI_t[[#This Row],[Camp Name]],Camp_List[Camp Name],0)-1,0,1,1),"")</f>
        <v>Returned</v>
      </c>
      <c r="AO101" s="131"/>
    </row>
    <row r="102" spans="1:41" s="90" customFormat="1" ht="19.5" customHeight="1" x14ac:dyDescent="0.25">
      <c r="A102" s="242">
        <f t="shared" si="3"/>
        <v>23.033333333333335</v>
      </c>
      <c r="B102" s="242">
        <f>YEAR(Data_NFI_t[[#This Row],[Distribution Date]])</f>
        <v>2015</v>
      </c>
      <c r="C102" s="913">
        <v>42165</v>
      </c>
      <c r="D102" s="489" t="s">
        <v>285</v>
      </c>
      <c r="E102" s="488" t="s">
        <v>285</v>
      </c>
      <c r="F102" s="489" t="s">
        <v>7</v>
      </c>
      <c r="G102" s="790" t="s">
        <v>11</v>
      </c>
      <c r="H102" s="790" t="s">
        <v>29</v>
      </c>
      <c r="I102" s="790"/>
      <c r="J102" s="51"/>
      <c r="K102" s="51"/>
      <c r="L102" s="51"/>
      <c r="M102" s="51">
        <v>275</v>
      </c>
      <c r="N102" s="51"/>
      <c r="O102" s="51"/>
      <c r="P102" s="51"/>
      <c r="Q102" s="51"/>
      <c r="R102" s="511"/>
      <c r="S102" s="51"/>
      <c r="T102" s="51"/>
      <c r="U102" s="51"/>
      <c r="V102" s="51"/>
      <c r="W102" s="51"/>
      <c r="X102" s="131">
        <f>IF(NFI_Expiration=1,IF($A102&lt;VLOOKUP(I$5,NFI,5,0),1,0)*Data_NFI_t[[#This Row],[Hygiene Kit]],0)</f>
        <v>0</v>
      </c>
      <c r="Y102" s="131">
        <f>IF(NFI_Expiration=1,IF($A102&lt;VLOOKUP(J$5,NFI,5,0),1,0)*Data_NFI_t[[#This Row],[NFI Core Kit]],0)</f>
        <v>0</v>
      </c>
      <c r="Z102" s="112">
        <f>IF(NFI_Expiration=1,IF($A102&lt;VLOOKUP(K$5,NFI,5,0),1,0)*Data_NFI_t[[#This Row],[Sanitary Kit]],0)</f>
        <v>0</v>
      </c>
      <c r="AA102" s="112">
        <f>IF(NFI_Expiration=1,IF($A102&lt;VLOOKUP(L$5,NFI,5,0),1,0)*Data_NFI_t[[#This Row],[Mosquito net]],0)</f>
        <v>0</v>
      </c>
      <c r="AB102" s="112">
        <f>IF(NFI_Expiration=1,IF($A102&lt;VLOOKUP(M$5,NFI,5,0),1,0)*Data_NFI_t[[#This Row],[Tarpaulin]],0)</f>
        <v>0</v>
      </c>
      <c r="AC102" s="112">
        <f>IF(NFI_Expiration=1,IF($A102&lt;VLOOKUP(N$5,NFI,5,0),1,0)*Data_NFI_t[[#This Row],[Blanket]],0)</f>
        <v>0</v>
      </c>
      <c r="AD102" s="112">
        <f>IF(NFI_Expiration=1,IF($A102&lt;VLOOKUP(O$5,NFI,5,0),1,0)*Data_NFI_t[[#This Row],[Kitchen Set]],0)</f>
        <v>0</v>
      </c>
      <c r="AE102" s="112">
        <f>IF(NFI_Expiration=1,IF($A102&lt;VLOOKUP(P$5,NFI,5,0),1,0)*Data_NFI_t[[#This Row],[Complementary Kit]],0)</f>
        <v>0</v>
      </c>
      <c r="AF102" s="112">
        <f>IF(NFI_Expiration=1,IF($A102&lt;VLOOKUP(Q$5,NFI,5,0),1,0)*Data_NFI_t[[#This Row],[Plastic Bucket]],0)</f>
        <v>0</v>
      </c>
      <c r="AG102" s="112">
        <f>IF(NFI_Expiration=1,IF($A102&lt;VLOOKUP(R$5,NFI,5,0),1,0)*Data_NFI_t[[#This Row],[Jerry Can]],0)</f>
        <v>0</v>
      </c>
      <c r="AH102" s="131">
        <f>IF(NFI_Expiration=1,IF($A102&lt;VLOOKUP(S$5,NFI,5,0),1,0)*Data_NFI_t[[#This Row],[Plastic Mat]],0)*IF(Data_NFI_t[[#This Row],[Distribution Date]]&gt;"01-06-2015",1,2.5)</f>
        <v>0</v>
      </c>
      <c r="AI102" s="901">
        <f>IF(NFI_Expiration=1,IF($A102&lt;VLOOKUP(T$5,NFI,5,0),1,0)*Data_NFI_t[[#This Row],[Adult Clothes]],0)</f>
        <v>0</v>
      </c>
      <c r="AJ102" s="131">
        <f>IF(NFI_Expiration=1,IF($A102&lt;VLOOKUP(U$5,NFI,5,0),1,0)*Data_NFI_t[[#This Row],[Children Clothes]],0)</f>
        <v>0</v>
      </c>
      <c r="AK102" s="131">
        <f>IF(NFI_Expiration=1,IF($A102&lt;VLOOKUP(V$5,NFI,5,0),1,0)*Data_NFI_t[[#This Row],[Sewing Kit]],0)</f>
        <v>0</v>
      </c>
      <c r="AL102" s="901">
        <f>IF(NFI_Expiration=1,IF($A102&lt;VLOOKUP(V$5,NFI,5,0),1,0)*Data_NFI_t[[#This Row],[Solar Lantern]],0)</f>
        <v>0</v>
      </c>
      <c r="AM102" s="131" t="str">
        <f ca="1">IFERROR(OFFSET(Camp_List[P_Code],MATCH(Data_NFI_t[[#This Row],[Camp Name]],Camp_List[Camp Name],0)-1,0,1,1),"")</f>
        <v>MMR012CMP005</v>
      </c>
      <c r="AN102" s="513" t="str">
        <f ca="1">IFERROR(OFFSET(Camp_List[Status],MATCH(Data_NFI_t[[#This Row],[Camp Name]],Camp_List[Camp Name],0)-1,0,1,1),"")</f>
        <v>Returned</v>
      </c>
      <c r="AO102" s="131"/>
    </row>
    <row r="103" spans="1:41" s="90" customFormat="1" ht="19.5" customHeight="1" x14ac:dyDescent="0.25">
      <c r="A103" s="242">
        <f t="shared" si="3"/>
        <v>23.733333333333334</v>
      </c>
      <c r="B103" s="242">
        <f>YEAR(Data_NFI_t[[#This Row],[Distribution Date]])</f>
        <v>2015</v>
      </c>
      <c r="C103" s="913">
        <v>42144</v>
      </c>
      <c r="D103" s="489" t="s">
        <v>285</v>
      </c>
      <c r="E103" s="488" t="s">
        <v>288</v>
      </c>
      <c r="F103" s="489" t="s">
        <v>7</v>
      </c>
      <c r="G103" s="790" t="s">
        <v>19</v>
      </c>
      <c r="H103" s="790" t="s">
        <v>633</v>
      </c>
      <c r="I103" s="790">
        <v>0</v>
      </c>
      <c r="J103" s="51">
        <v>140</v>
      </c>
      <c r="K103" s="51">
        <v>0</v>
      </c>
      <c r="L103" s="51">
        <v>1298</v>
      </c>
      <c r="M103" s="51">
        <v>649</v>
      </c>
      <c r="N103" s="51">
        <v>1298</v>
      </c>
      <c r="O103" s="51">
        <v>649</v>
      </c>
      <c r="P103" s="51">
        <v>509</v>
      </c>
      <c r="Q103" s="51">
        <v>649</v>
      </c>
      <c r="R103" s="511">
        <v>649</v>
      </c>
      <c r="S103" s="51">
        <v>3245</v>
      </c>
      <c r="T103" s="51"/>
      <c r="U103" s="51"/>
      <c r="V103" s="51"/>
      <c r="W103" s="51"/>
      <c r="X103" s="131">
        <f>IF(NFI_Expiration=1,IF($A103&lt;VLOOKUP(I$5,NFI,5,0),1,0)*Data_NFI_t[[#This Row],[Hygiene Kit]],0)</f>
        <v>0</v>
      </c>
      <c r="Y103" s="131">
        <f>IF(NFI_Expiration=1,IF($A103&lt;VLOOKUP(J$5,NFI,5,0),1,0)*Data_NFI_t[[#This Row],[NFI Core Kit]],0)</f>
        <v>0</v>
      </c>
      <c r="Z103" s="112">
        <f>IF(NFI_Expiration=1,IF($A103&lt;VLOOKUP(K$5,NFI,5,0),1,0)*Data_NFI_t[[#This Row],[Sanitary Kit]],0)</f>
        <v>0</v>
      </c>
      <c r="AA103" s="112">
        <f>IF(NFI_Expiration=1,IF($A103&lt;VLOOKUP(L$5,NFI,5,0),1,0)*Data_NFI_t[[#This Row],[Mosquito net]],0)</f>
        <v>0</v>
      </c>
      <c r="AB103" s="112">
        <f>IF(NFI_Expiration=1,IF($A103&lt;VLOOKUP(M$5,NFI,5,0),1,0)*Data_NFI_t[[#This Row],[Tarpaulin]],0)</f>
        <v>0</v>
      </c>
      <c r="AC103" s="112">
        <f>IF(NFI_Expiration=1,IF($A103&lt;VLOOKUP(N$5,NFI,5,0),1,0)*Data_NFI_t[[#This Row],[Blanket]],0)</f>
        <v>0</v>
      </c>
      <c r="AD103" s="112">
        <f>IF(NFI_Expiration=1,IF($A103&lt;VLOOKUP(O$5,NFI,5,0),1,0)*Data_NFI_t[[#This Row],[Kitchen Set]],0)</f>
        <v>0</v>
      </c>
      <c r="AE103" s="112">
        <f>IF(NFI_Expiration=1,IF($A103&lt;VLOOKUP(P$5,NFI,5,0),1,0)*Data_NFI_t[[#This Row],[Complementary Kit]],0)</f>
        <v>0</v>
      </c>
      <c r="AF103" s="112">
        <f>IF(NFI_Expiration=1,IF($A103&lt;VLOOKUP(Q$5,NFI,5,0),1,0)*Data_NFI_t[[#This Row],[Plastic Bucket]],0)</f>
        <v>0</v>
      </c>
      <c r="AG103" s="112">
        <f>IF(NFI_Expiration=1,IF($A103&lt;VLOOKUP(R$5,NFI,5,0),1,0)*Data_NFI_t[[#This Row],[Jerry Can]],0)</f>
        <v>0</v>
      </c>
      <c r="AH103" s="131">
        <f>IF(NFI_Expiration=1,IF($A103&lt;VLOOKUP(S$5,NFI,5,0),1,0)*Data_NFI_t[[#This Row],[Plastic Mat]],0)*IF(Data_NFI_t[[#This Row],[Distribution Date]]&gt;"01-06-2015",1,2.5)</f>
        <v>0</v>
      </c>
      <c r="AI103" s="901">
        <f>IF(NFI_Expiration=1,IF($A103&lt;VLOOKUP(T$5,NFI,5,0),1,0)*Data_NFI_t[[#This Row],[Adult Clothes]],0)</f>
        <v>0</v>
      </c>
      <c r="AJ103" s="131">
        <f>IF(NFI_Expiration=1,IF($A103&lt;VLOOKUP(U$5,NFI,5,0),1,0)*Data_NFI_t[[#This Row],[Children Clothes]],0)</f>
        <v>0</v>
      </c>
      <c r="AK103" s="131">
        <f>IF(NFI_Expiration=1,IF($A103&lt;VLOOKUP(V$5,NFI,5,0),1,0)*Data_NFI_t[[#This Row],[Sewing Kit]],0)</f>
        <v>0</v>
      </c>
      <c r="AL103" s="901">
        <f>IF(NFI_Expiration=1,IF($A103&lt;VLOOKUP(V$5,NFI,5,0),1,0)*Data_NFI_t[[#This Row],[Solar Lantern]],0)</f>
        <v>0</v>
      </c>
      <c r="AM103" s="131" t="str">
        <f ca="1">IFERROR(OFFSET(Camp_List[P_Code],MATCH(Data_NFI_t[[#This Row],[Camp Name]],Camp_List[Camp Name],0)-1,0,1,1),"")</f>
        <v>MMR012CMP098</v>
      </c>
      <c r="AN103" s="513" t="str">
        <f ca="1">IFERROR(OFFSET(Camp_List[Status],MATCH(Data_NFI_t[[#This Row],[Camp Name]],Camp_List[Camp Name],0)-1,0,1,1),"")</f>
        <v>Open</v>
      </c>
      <c r="AO103" s="131"/>
    </row>
    <row r="104" spans="1:41" s="90" customFormat="1" ht="19.5" customHeight="1" x14ac:dyDescent="0.25">
      <c r="A104" s="242">
        <f t="shared" si="3"/>
        <v>24</v>
      </c>
      <c r="B104" s="242">
        <f>YEAR(Data_NFI_t[[#This Row],[Distribution Date]])</f>
        <v>2015</v>
      </c>
      <c r="C104" s="913">
        <v>42136</v>
      </c>
      <c r="D104" s="489" t="s">
        <v>285</v>
      </c>
      <c r="E104" s="488" t="s">
        <v>515</v>
      </c>
      <c r="F104" s="489" t="s">
        <v>7</v>
      </c>
      <c r="G104" s="790" t="s">
        <v>19</v>
      </c>
      <c r="H104" s="790" t="s">
        <v>638</v>
      </c>
      <c r="I104" s="790">
        <v>0</v>
      </c>
      <c r="J104" s="51"/>
      <c r="K104" s="51">
        <v>0</v>
      </c>
      <c r="L104" s="51">
        <v>498</v>
      </c>
      <c r="M104" s="51">
        <v>249</v>
      </c>
      <c r="N104" s="51">
        <v>498</v>
      </c>
      <c r="O104" s="51">
        <v>249</v>
      </c>
      <c r="P104" s="51">
        <v>0</v>
      </c>
      <c r="Q104" s="51">
        <v>249</v>
      </c>
      <c r="R104" s="511">
        <v>249</v>
      </c>
      <c r="S104" s="51">
        <v>1245</v>
      </c>
      <c r="T104" s="51"/>
      <c r="U104" s="51"/>
      <c r="V104" s="51"/>
      <c r="W104" s="51"/>
      <c r="X104" s="131">
        <f>IF(NFI_Expiration=1,IF($A104&lt;VLOOKUP(I$5,NFI,5,0),1,0)*Data_NFI_t[[#This Row],[Hygiene Kit]],0)</f>
        <v>0</v>
      </c>
      <c r="Y104" s="131">
        <f>IF(NFI_Expiration=1,IF($A104&lt;VLOOKUP(J$5,NFI,5,0),1,0)*Data_NFI_t[[#This Row],[NFI Core Kit]],0)</f>
        <v>0</v>
      </c>
      <c r="Z104" s="112">
        <f>IF(NFI_Expiration=1,IF($A104&lt;VLOOKUP(K$5,NFI,5,0),1,0)*Data_NFI_t[[#This Row],[Sanitary Kit]],0)</f>
        <v>0</v>
      </c>
      <c r="AA104" s="112">
        <f>IF(NFI_Expiration=1,IF($A104&lt;VLOOKUP(L$5,NFI,5,0),1,0)*Data_NFI_t[[#This Row],[Mosquito net]],0)</f>
        <v>0</v>
      </c>
      <c r="AB104" s="112">
        <f>IF(NFI_Expiration=1,IF($A104&lt;VLOOKUP(M$5,NFI,5,0),1,0)*Data_NFI_t[[#This Row],[Tarpaulin]],0)</f>
        <v>0</v>
      </c>
      <c r="AC104" s="112">
        <f>IF(NFI_Expiration=1,IF($A104&lt;VLOOKUP(N$5,NFI,5,0),1,0)*Data_NFI_t[[#This Row],[Blanket]],0)</f>
        <v>0</v>
      </c>
      <c r="AD104" s="112">
        <f>IF(NFI_Expiration=1,IF($A104&lt;VLOOKUP(O$5,NFI,5,0),1,0)*Data_NFI_t[[#This Row],[Kitchen Set]],0)</f>
        <v>0</v>
      </c>
      <c r="AE104" s="112">
        <f>IF(NFI_Expiration=1,IF($A104&lt;VLOOKUP(P$5,NFI,5,0),1,0)*Data_NFI_t[[#This Row],[Complementary Kit]],0)</f>
        <v>0</v>
      </c>
      <c r="AF104" s="112">
        <f>IF(NFI_Expiration=1,IF($A104&lt;VLOOKUP(Q$5,NFI,5,0),1,0)*Data_NFI_t[[#This Row],[Plastic Bucket]],0)</f>
        <v>0</v>
      </c>
      <c r="AG104" s="112">
        <f>IF(NFI_Expiration=1,IF($A104&lt;VLOOKUP(R$5,NFI,5,0),1,0)*Data_NFI_t[[#This Row],[Jerry Can]],0)</f>
        <v>0</v>
      </c>
      <c r="AH104" s="131">
        <f>IF(NFI_Expiration=1,IF($A104&lt;VLOOKUP(S$5,NFI,5,0),1,0)*Data_NFI_t[[#This Row],[Plastic Mat]],0)*IF(Data_NFI_t[[#This Row],[Distribution Date]]&gt;"01-06-2015",1,2.5)</f>
        <v>0</v>
      </c>
      <c r="AI104" s="901">
        <f>IF(NFI_Expiration=1,IF($A104&lt;VLOOKUP(T$5,NFI,5,0),1,0)*Data_NFI_t[[#This Row],[Adult Clothes]],0)</f>
        <v>0</v>
      </c>
      <c r="AJ104" s="131">
        <f>IF(NFI_Expiration=1,IF($A104&lt;VLOOKUP(U$5,NFI,5,0),1,0)*Data_NFI_t[[#This Row],[Children Clothes]],0)</f>
        <v>0</v>
      </c>
      <c r="AK104" s="131">
        <f>IF(NFI_Expiration=1,IF($A104&lt;VLOOKUP(V$5,NFI,5,0),1,0)*Data_NFI_t[[#This Row],[Sewing Kit]],0)</f>
        <v>0</v>
      </c>
      <c r="AL104" s="901">
        <f>IF(NFI_Expiration=1,IF($A104&lt;VLOOKUP(V$5,NFI,5,0),1,0)*Data_NFI_t[[#This Row],[Solar Lantern]],0)</f>
        <v>0</v>
      </c>
      <c r="AM104" s="131" t="str">
        <f ca="1">IFERROR(OFFSET(Camp_List[P_Code],MATCH(Data_NFI_t[[#This Row],[Camp Name]],Camp_List[Camp Name],0)-1,0,1,1),"")</f>
        <v>MMR012CMP111</v>
      </c>
      <c r="AN104" s="513" t="str">
        <f ca="1">IFERROR(OFFSET(Camp_List[Status],MATCH(Data_NFI_t[[#This Row],[Camp Name]],Camp_List[Camp Name],0)-1,0,1,1),"")</f>
        <v>Relocated</v>
      </c>
      <c r="AO104" s="131"/>
    </row>
    <row r="105" spans="1:41" s="90" customFormat="1" ht="19.5" customHeight="1" x14ac:dyDescent="0.25">
      <c r="A105" s="242">
        <f t="shared" si="3"/>
        <v>24.166666666666668</v>
      </c>
      <c r="B105" s="242">
        <f>YEAR(Data_NFI_t[[#This Row],[Distribution Date]])</f>
        <v>2015</v>
      </c>
      <c r="C105" s="913">
        <v>42131</v>
      </c>
      <c r="D105" s="489" t="s">
        <v>285</v>
      </c>
      <c r="E105" s="488" t="s">
        <v>623</v>
      </c>
      <c r="F105" s="489" t="s">
        <v>7</v>
      </c>
      <c r="G105" s="790" t="s">
        <v>19</v>
      </c>
      <c r="H105" s="790" t="s">
        <v>68</v>
      </c>
      <c r="I105" s="790"/>
      <c r="J105" s="51">
        <v>2145</v>
      </c>
      <c r="K105" s="51"/>
      <c r="L105" s="51">
        <v>4290</v>
      </c>
      <c r="M105" s="51">
        <v>2145</v>
      </c>
      <c r="N105" s="51">
        <v>4290</v>
      </c>
      <c r="O105" s="51">
        <v>2145</v>
      </c>
      <c r="P105" s="51"/>
      <c r="Q105" s="51">
        <v>2145</v>
      </c>
      <c r="R105" s="511">
        <v>2145</v>
      </c>
      <c r="S105" s="51">
        <v>10725</v>
      </c>
      <c r="T105" s="51"/>
      <c r="U105" s="51"/>
      <c r="V105" s="51"/>
      <c r="W105" s="51"/>
      <c r="X105" s="131">
        <f>IF(NFI_Expiration=1,IF($A105&lt;VLOOKUP(I$5,NFI,5,0),1,0)*Data_NFI_t[[#This Row],[Hygiene Kit]],0)</f>
        <v>0</v>
      </c>
      <c r="Y105" s="131">
        <f>IF(NFI_Expiration=1,IF($A105&lt;VLOOKUP(J$5,NFI,5,0),1,0)*Data_NFI_t[[#This Row],[NFI Core Kit]],0)</f>
        <v>0</v>
      </c>
      <c r="Z105" s="112">
        <f>IF(NFI_Expiration=1,IF($A105&lt;VLOOKUP(K$5,NFI,5,0),1,0)*Data_NFI_t[[#This Row],[Sanitary Kit]],0)</f>
        <v>0</v>
      </c>
      <c r="AA105" s="112">
        <f>IF(NFI_Expiration=1,IF($A105&lt;VLOOKUP(L$5,NFI,5,0),1,0)*Data_NFI_t[[#This Row],[Mosquito net]],0)</f>
        <v>0</v>
      </c>
      <c r="AB105" s="112">
        <f>IF(NFI_Expiration=1,IF($A105&lt;VLOOKUP(M$5,NFI,5,0),1,0)*Data_NFI_t[[#This Row],[Tarpaulin]],0)</f>
        <v>0</v>
      </c>
      <c r="AC105" s="112">
        <f>IF(NFI_Expiration=1,IF($A105&lt;VLOOKUP(N$5,NFI,5,0),1,0)*Data_NFI_t[[#This Row],[Blanket]],0)</f>
        <v>0</v>
      </c>
      <c r="AD105" s="112">
        <f>IF(NFI_Expiration=1,IF($A105&lt;VLOOKUP(O$5,NFI,5,0),1,0)*Data_NFI_t[[#This Row],[Kitchen Set]],0)</f>
        <v>0</v>
      </c>
      <c r="AE105" s="112">
        <f>IF(NFI_Expiration=1,IF($A105&lt;VLOOKUP(P$5,NFI,5,0),1,0)*Data_NFI_t[[#This Row],[Complementary Kit]],0)</f>
        <v>0</v>
      </c>
      <c r="AF105" s="112">
        <f>IF(NFI_Expiration=1,IF($A105&lt;VLOOKUP(Q$5,NFI,5,0),1,0)*Data_NFI_t[[#This Row],[Plastic Bucket]],0)</f>
        <v>0</v>
      </c>
      <c r="AG105" s="112">
        <f>IF(NFI_Expiration=1,IF($A105&lt;VLOOKUP(R$5,NFI,5,0),1,0)*Data_NFI_t[[#This Row],[Jerry Can]],0)</f>
        <v>0</v>
      </c>
      <c r="AH105" s="131">
        <f>IF(NFI_Expiration=1,IF($A105&lt;VLOOKUP(S$5,NFI,5,0),1,0)*Data_NFI_t[[#This Row],[Plastic Mat]],0)*IF(Data_NFI_t[[#This Row],[Distribution Date]]&gt;"01-06-2015",1,2.5)</f>
        <v>0</v>
      </c>
      <c r="AI105" s="901">
        <f>IF(NFI_Expiration=1,IF($A105&lt;VLOOKUP(T$5,NFI,5,0),1,0)*Data_NFI_t[[#This Row],[Adult Clothes]],0)</f>
        <v>0</v>
      </c>
      <c r="AJ105" s="131">
        <f>IF(NFI_Expiration=1,IF($A105&lt;VLOOKUP(U$5,NFI,5,0),1,0)*Data_NFI_t[[#This Row],[Children Clothes]],0)</f>
        <v>0</v>
      </c>
      <c r="AK105" s="131">
        <f>IF(NFI_Expiration=1,IF($A105&lt;VLOOKUP(V$5,NFI,5,0),1,0)*Data_NFI_t[[#This Row],[Sewing Kit]],0)</f>
        <v>0</v>
      </c>
      <c r="AL105" s="901">
        <f>IF(NFI_Expiration=1,IF($A105&lt;VLOOKUP(V$5,NFI,5,0),1,0)*Data_NFI_t[[#This Row],[Solar Lantern]],0)</f>
        <v>0</v>
      </c>
      <c r="AM105" s="131" t="str">
        <f ca="1">IFERROR(OFFSET(Camp_List[P_Code],MATCH(Data_NFI_t[[#This Row],[Camp Name]],Camp_List[Camp Name],0)-1,0,1,1),"")</f>
        <v>MMR012CMP046</v>
      </c>
      <c r="AN105" s="513" t="str">
        <f ca="1">IFERROR(OFFSET(Camp_List[Status],MATCH(Data_NFI_t[[#This Row],[Camp Name]],Camp_List[Camp Name],0)-1,0,1,1),"")</f>
        <v>Open</v>
      </c>
      <c r="AO105" s="131"/>
    </row>
    <row r="106" spans="1:41" s="90" customFormat="1" ht="19.5" customHeight="1" x14ac:dyDescent="0.25">
      <c r="A106" s="242">
        <f t="shared" si="3"/>
        <v>24.2</v>
      </c>
      <c r="B106" s="242">
        <f>YEAR(Data_NFI_t[[#This Row],[Distribution Date]])</f>
        <v>2015</v>
      </c>
      <c r="C106" s="913">
        <v>42130</v>
      </c>
      <c r="D106" s="489" t="s">
        <v>288</v>
      </c>
      <c r="E106" s="488" t="s">
        <v>288</v>
      </c>
      <c r="F106" s="489" t="s">
        <v>7</v>
      </c>
      <c r="G106" s="790" t="s">
        <v>19</v>
      </c>
      <c r="H106" s="790" t="s">
        <v>63</v>
      </c>
      <c r="I106" s="790">
        <v>0</v>
      </c>
      <c r="J106" s="51">
        <v>1364</v>
      </c>
      <c r="K106" s="51">
        <v>0</v>
      </c>
      <c r="L106" s="51">
        <v>2728</v>
      </c>
      <c r="M106" s="51">
        <v>1364</v>
      </c>
      <c r="N106" s="51">
        <v>2728</v>
      </c>
      <c r="O106" s="51">
        <v>1364</v>
      </c>
      <c r="P106" s="51">
        <v>0</v>
      </c>
      <c r="Q106" s="51">
        <v>1364</v>
      </c>
      <c r="R106" s="511">
        <v>1364</v>
      </c>
      <c r="S106" s="51">
        <v>6820</v>
      </c>
      <c r="T106" s="51"/>
      <c r="U106" s="51"/>
      <c r="V106" s="51"/>
      <c r="W106" s="51"/>
      <c r="X106" s="131">
        <f>IF(NFI_Expiration=1,IF($A106&lt;VLOOKUP(I$5,NFI,5,0),1,0)*Data_NFI_t[[#This Row],[Hygiene Kit]],0)</f>
        <v>0</v>
      </c>
      <c r="Y106" s="131">
        <f>IF(NFI_Expiration=1,IF($A106&lt;VLOOKUP(J$5,NFI,5,0),1,0)*Data_NFI_t[[#This Row],[NFI Core Kit]],0)</f>
        <v>0</v>
      </c>
      <c r="Z106" s="112">
        <f>IF(NFI_Expiration=1,IF($A106&lt;VLOOKUP(K$5,NFI,5,0),1,0)*Data_NFI_t[[#This Row],[Sanitary Kit]],0)</f>
        <v>0</v>
      </c>
      <c r="AA106" s="112">
        <f>IF(NFI_Expiration=1,IF($A106&lt;VLOOKUP(L$5,NFI,5,0),1,0)*Data_NFI_t[[#This Row],[Mosquito net]],0)</f>
        <v>0</v>
      </c>
      <c r="AB106" s="112">
        <f>IF(NFI_Expiration=1,IF($A106&lt;VLOOKUP(M$5,NFI,5,0),1,0)*Data_NFI_t[[#This Row],[Tarpaulin]],0)</f>
        <v>0</v>
      </c>
      <c r="AC106" s="112">
        <f>IF(NFI_Expiration=1,IF($A106&lt;VLOOKUP(N$5,NFI,5,0),1,0)*Data_NFI_t[[#This Row],[Blanket]],0)</f>
        <v>0</v>
      </c>
      <c r="AD106" s="112">
        <f>IF(NFI_Expiration=1,IF($A106&lt;VLOOKUP(O$5,NFI,5,0),1,0)*Data_NFI_t[[#This Row],[Kitchen Set]],0)</f>
        <v>0</v>
      </c>
      <c r="AE106" s="112">
        <f>IF(NFI_Expiration=1,IF($A106&lt;VLOOKUP(P$5,NFI,5,0),1,0)*Data_NFI_t[[#This Row],[Complementary Kit]],0)</f>
        <v>0</v>
      </c>
      <c r="AF106" s="112">
        <f>IF(NFI_Expiration=1,IF($A106&lt;VLOOKUP(Q$5,NFI,5,0),1,0)*Data_NFI_t[[#This Row],[Plastic Bucket]],0)</f>
        <v>0</v>
      </c>
      <c r="AG106" s="112">
        <f>IF(NFI_Expiration=1,IF($A106&lt;VLOOKUP(R$5,NFI,5,0),1,0)*Data_NFI_t[[#This Row],[Jerry Can]],0)</f>
        <v>0</v>
      </c>
      <c r="AH106" s="131">
        <f>IF(NFI_Expiration=1,IF($A106&lt;VLOOKUP(S$5,NFI,5,0),1,0)*Data_NFI_t[[#This Row],[Plastic Mat]],0)*IF(Data_NFI_t[[#This Row],[Distribution Date]]&gt;"01-06-2015",1,2.5)</f>
        <v>0</v>
      </c>
      <c r="AI106" s="901">
        <f>IF(NFI_Expiration=1,IF($A106&lt;VLOOKUP(T$5,NFI,5,0),1,0)*Data_NFI_t[[#This Row],[Adult Clothes]],0)</f>
        <v>0</v>
      </c>
      <c r="AJ106" s="131">
        <f>IF(NFI_Expiration=1,IF($A106&lt;VLOOKUP(U$5,NFI,5,0),1,0)*Data_NFI_t[[#This Row],[Children Clothes]],0)</f>
        <v>0</v>
      </c>
      <c r="AK106" s="131">
        <f>IF(NFI_Expiration=1,IF($A106&lt;VLOOKUP(V$5,NFI,5,0),1,0)*Data_NFI_t[[#This Row],[Sewing Kit]],0)</f>
        <v>0</v>
      </c>
      <c r="AL106" s="901">
        <f>IF(NFI_Expiration=1,IF($A106&lt;VLOOKUP(V$5,NFI,5,0),1,0)*Data_NFI_t[[#This Row],[Solar Lantern]],0)</f>
        <v>0</v>
      </c>
      <c r="AM106" s="131" t="str">
        <f ca="1">IFERROR(OFFSET(Camp_List[P_Code],MATCH(Data_NFI_t[[#This Row],[Camp Name]],Camp_List[Camp Name],0)-1,0,1,1),"")</f>
        <v>MMR012CMP041</v>
      </c>
      <c r="AN106" s="513" t="str">
        <f ca="1">IFERROR(OFFSET(Camp_List[Status],MATCH(Data_NFI_t[[#This Row],[Camp Name]],Camp_List[Camp Name],0)-1,0,1,1),"")</f>
        <v>Open</v>
      </c>
      <c r="AO106" s="131"/>
    </row>
    <row r="107" spans="1:41" s="90" customFormat="1" ht="19.5" customHeight="1" x14ac:dyDescent="0.25">
      <c r="A107" s="242">
        <f t="shared" si="3"/>
        <v>24.233333333333334</v>
      </c>
      <c r="B107" s="242">
        <v>2015</v>
      </c>
      <c r="C107" s="913">
        <v>42129</v>
      </c>
      <c r="D107" s="489" t="s">
        <v>285</v>
      </c>
      <c r="E107" s="488" t="s">
        <v>285</v>
      </c>
      <c r="F107" s="489" t="s">
        <v>7</v>
      </c>
      <c r="G107" s="790" t="s">
        <v>16</v>
      </c>
      <c r="H107" s="790" t="s">
        <v>604</v>
      </c>
      <c r="I107" s="790">
        <v>0</v>
      </c>
      <c r="J107" s="51">
        <v>7</v>
      </c>
      <c r="K107" s="51">
        <v>7</v>
      </c>
      <c r="L107" s="51">
        <v>14</v>
      </c>
      <c r="M107" s="51">
        <v>5</v>
      </c>
      <c r="N107" s="51">
        <v>14</v>
      </c>
      <c r="O107" s="51">
        <v>5</v>
      </c>
      <c r="P107" s="51">
        <v>0</v>
      </c>
      <c r="Q107" s="51">
        <v>7</v>
      </c>
      <c r="R107" s="511">
        <v>7</v>
      </c>
      <c r="S107" s="51">
        <v>21</v>
      </c>
      <c r="T107" s="51"/>
      <c r="U107" s="51"/>
      <c r="V107" s="51"/>
      <c r="W107" s="51"/>
      <c r="X107" s="131">
        <f>IF(NFI_Expiration=1,IF($A107&lt;VLOOKUP(I$5,NFI,5,0),1,0)*Data_NFI_t[[#This Row],[Hygiene Kit]],0)</f>
        <v>0</v>
      </c>
      <c r="Y107" s="131">
        <f>IF(NFI_Expiration=1,IF($A107&lt;VLOOKUP(J$5,NFI,5,0),1,0)*Data_NFI_t[[#This Row],[NFI Core Kit]],0)</f>
        <v>0</v>
      </c>
      <c r="Z107" s="112">
        <f>IF(NFI_Expiration=1,IF($A107&lt;VLOOKUP(K$5,NFI,5,0),1,0)*Data_NFI_t[[#This Row],[Sanitary Kit]],0)</f>
        <v>0</v>
      </c>
      <c r="AA107" s="112">
        <f>IF(NFI_Expiration=1,IF($A107&lt;VLOOKUP(L$5,NFI,5,0),1,0)*Data_NFI_t[[#This Row],[Mosquito net]],0)</f>
        <v>0</v>
      </c>
      <c r="AB107" s="112">
        <f>IF(NFI_Expiration=1,IF($A107&lt;VLOOKUP(M$5,NFI,5,0),1,0)*Data_NFI_t[[#This Row],[Tarpaulin]],0)</f>
        <v>0</v>
      </c>
      <c r="AC107" s="112">
        <f>IF(NFI_Expiration=1,IF($A107&lt;VLOOKUP(N$5,NFI,5,0),1,0)*Data_NFI_t[[#This Row],[Blanket]],0)</f>
        <v>0</v>
      </c>
      <c r="AD107" s="112">
        <f>IF(NFI_Expiration=1,IF($A107&lt;VLOOKUP(O$5,NFI,5,0),1,0)*Data_NFI_t[[#This Row],[Kitchen Set]],0)</f>
        <v>0</v>
      </c>
      <c r="AE107" s="112">
        <f>IF(NFI_Expiration=1,IF($A107&lt;VLOOKUP(P$5,NFI,5,0),1,0)*Data_NFI_t[[#This Row],[Complementary Kit]],0)</f>
        <v>0</v>
      </c>
      <c r="AF107" s="112">
        <f>IF(NFI_Expiration=1,IF($A107&lt;VLOOKUP(Q$5,NFI,5,0),1,0)*Data_NFI_t[[#This Row],[Plastic Bucket]],0)</f>
        <v>0</v>
      </c>
      <c r="AG107" s="112">
        <f>IF(NFI_Expiration=1,IF($A107&lt;VLOOKUP(R$5,NFI,5,0),1,0)*Data_NFI_t[[#This Row],[Jerry Can]],0)</f>
        <v>0</v>
      </c>
      <c r="AH107" s="131">
        <f>IF(NFI_Expiration=1,IF($A107&lt;VLOOKUP(S$5,NFI,5,0),1,0)*Data_NFI_t[[#This Row],[Plastic Mat]],0)*IF(Data_NFI_t[[#This Row],[Distribution Date]]&gt;"01-06-2015",1,2.5)</f>
        <v>0</v>
      </c>
      <c r="AI107" s="901">
        <f>IF(NFI_Expiration=1,IF($A107&lt;VLOOKUP(T$5,NFI,5,0),1,0)*Data_NFI_t[[#This Row],[Adult Clothes]],0)</f>
        <v>0</v>
      </c>
      <c r="AJ107" s="131">
        <f>IF(NFI_Expiration=1,IF($A107&lt;VLOOKUP(U$5,NFI,5,0),1,0)*Data_NFI_t[[#This Row],[Children Clothes]],0)</f>
        <v>0</v>
      </c>
      <c r="AK107" s="131">
        <f>IF(NFI_Expiration=1,IF($A107&lt;VLOOKUP(V$5,NFI,5,0),1,0)*Data_NFI_t[[#This Row],[Sewing Kit]],0)</f>
        <v>0</v>
      </c>
      <c r="AL107" s="901">
        <f>IF(NFI_Expiration=1,IF($A107&lt;VLOOKUP(V$5,NFI,5,0),1,0)*Data_NFI_t[[#This Row],[Solar Lantern]],0)</f>
        <v>0</v>
      </c>
      <c r="AM107" s="131" t="str">
        <f ca="1">IFERROR(OFFSET(Camp_List[P_Code],MATCH(Data_NFI_t[[#This Row],[Camp Name]],Camp_List[Camp Name],0)-1,0,1,1),"")</f>
        <v>MMR012CMP033</v>
      </c>
      <c r="AN107" s="513" t="str">
        <f ca="1">IFERROR(OFFSET(Camp_List[Status],MATCH(Data_NFI_t[[#This Row],[Camp Name]],Camp_List[Camp Name],0)-1,0,1,1),"")</f>
        <v>Open</v>
      </c>
      <c r="AO107" s="131"/>
    </row>
    <row r="108" spans="1:41" s="90" customFormat="1" ht="19.5" customHeight="1" x14ac:dyDescent="0.25">
      <c r="A108" s="242">
        <f t="shared" si="3"/>
        <v>24.5</v>
      </c>
      <c r="B108" s="242">
        <f>YEAR(Data_NFI_t[[#This Row],[Distribution Date]])</f>
        <v>2015</v>
      </c>
      <c r="C108" s="913">
        <v>42121</v>
      </c>
      <c r="D108" s="489" t="s">
        <v>285</v>
      </c>
      <c r="E108" s="488" t="s">
        <v>285</v>
      </c>
      <c r="F108" s="489" t="s">
        <v>7</v>
      </c>
      <c r="G108" s="790" t="s">
        <v>19</v>
      </c>
      <c r="H108" s="790" t="s">
        <v>639</v>
      </c>
      <c r="I108" s="790">
        <v>0</v>
      </c>
      <c r="J108" s="51"/>
      <c r="K108" s="51">
        <v>0</v>
      </c>
      <c r="L108" s="51">
        <v>836</v>
      </c>
      <c r="M108" s="51">
        <v>418</v>
      </c>
      <c r="N108" s="51">
        <v>836</v>
      </c>
      <c r="O108" s="51">
        <v>418</v>
      </c>
      <c r="P108" s="51">
        <v>0</v>
      </c>
      <c r="Q108" s="51">
        <v>418</v>
      </c>
      <c r="R108" s="511">
        <v>418</v>
      </c>
      <c r="S108" s="51">
        <v>2090</v>
      </c>
      <c r="T108" s="51"/>
      <c r="U108" s="51"/>
      <c r="V108" s="51"/>
      <c r="W108" s="51"/>
      <c r="X108" s="131">
        <f>IF(NFI_Expiration=1,IF($A108&lt;VLOOKUP(I$5,NFI,5,0),1,0)*Data_NFI_t[[#This Row],[Hygiene Kit]],0)</f>
        <v>0</v>
      </c>
      <c r="Y108" s="131">
        <f>IF(NFI_Expiration=1,IF($A108&lt;VLOOKUP(J$5,NFI,5,0),1,0)*Data_NFI_t[[#This Row],[NFI Core Kit]],0)</f>
        <v>0</v>
      </c>
      <c r="Z108" s="112">
        <f>IF(NFI_Expiration=1,IF($A108&lt;VLOOKUP(K$5,NFI,5,0),1,0)*Data_NFI_t[[#This Row],[Sanitary Kit]],0)</f>
        <v>0</v>
      </c>
      <c r="AA108" s="112">
        <f>IF(NFI_Expiration=1,IF($A108&lt;VLOOKUP(L$5,NFI,5,0),1,0)*Data_NFI_t[[#This Row],[Mosquito net]],0)</f>
        <v>0</v>
      </c>
      <c r="AB108" s="112">
        <f>IF(NFI_Expiration=1,IF($A108&lt;VLOOKUP(M$5,NFI,5,0),1,0)*Data_NFI_t[[#This Row],[Tarpaulin]],0)</f>
        <v>0</v>
      </c>
      <c r="AC108" s="112">
        <f>IF(NFI_Expiration=1,IF($A108&lt;VLOOKUP(N$5,NFI,5,0),1,0)*Data_NFI_t[[#This Row],[Blanket]],0)</f>
        <v>0</v>
      </c>
      <c r="AD108" s="112">
        <f>IF(NFI_Expiration=1,IF($A108&lt;VLOOKUP(O$5,NFI,5,0),1,0)*Data_NFI_t[[#This Row],[Kitchen Set]],0)</f>
        <v>0</v>
      </c>
      <c r="AE108" s="112">
        <f>IF(NFI_Expiration=1,IF($A108&lt;VLOOKUP(P$5,NFI,5,0),1,0)*Data_NFI_t[[#This Row],[Complementary Kit]],0)</f>
        <v>0</v>
      </c>
      <c r="AF108" s="112">
        <f>IF(NFI_Expiration=1,IF($A108&lt;VLOOKUP(Q$5,NFI,5,0),1,0)*Data_NFI_t[[#This Row],[Plastic Bucket]],0)</f>
        <v>0</v>
      </c>
      <c r="AG108" s="112">
        <f>IF(NFI_Expiration=1,IF($A108&lt;VLOOKUP(R$5,NFI,5,0),1,0)*Data_NFI_t[[#This Row],[Jerry Can]],0)</f>
        <v>0</v>
      </c>
      <c r="AH108" s="131">
        <f>IF(NFI_Expiration=1,IF($A108&lt;VLOOKUP(S$5,NFI,5,0),1,0)*Data_NFI_t[[#This Row],[Plastic Mat]],0)*IF(Data_NFI_t[[#This Row],[Distribution Date]]&gt;"01-06-2015",1,2.5)</f>
        <v>0</v>
      </c>
      <c r="AI108" s="901">
        <f>IF(NFI_Expiration=1,IF($A108&lt;VLOOKUP(T$5,NFI,5,0),1,0)*Data_NFI_t[[#This Row],[Adult Clothes]],0)</f>
        <v>0</v>
      </c>
      <c r="AJ108" s="131">
        <f>IF(NFI_Expiration=1,IF($A108&lt;VLOOKUP(U$5,NFI,5,0),1,0)*Data_NFI_t[[#This Row],[Children Clothes]],0)</f>
        <v>0</v>
      </c>
      <c r="AK108" s="131">
        <f>IF(NFI_Expiration=1,IF($A108&lt;VLOOKUP(V$5,NFI,5,0),1,0)*Data_NFI_t[[#This Row],[Sewing Kit]],0)</f>
        <v>0</v>
      </c>
      <c r="AL108" s="901">
        <f>IF(NFI_Expiration=1,IF($A108&lt;VLOOKUP(V$5,NFI,5,0),1,0)*Data_NFI_t[[#This Row],[Solar Lantern]],0)</f>
        <v>0</v>
      </c>
      <c r="AM108" s="131" t="str">
        <f ca="1">IFERROR(OFFSET(Camp_List[P_Code],MATCH(Data_NFI_t[[#This Row],[Camp Name]],Camp_List[Camp Name],0)-1,0,1,1),"")</f>
        <v>MMR012CMP112</v>
      </c>
      <c r="AN108" s="513" t="str">
        <f ca="1">IFERROR(OFFSET(Camp_List[Status],MATCH(Data_NFI_t[[#This Row],[Camp Name]],Camp_List[Camp Name],0)-1,0,1,1),"")</f>
        <v>Relocated</v>
      </c>
      <c r="AO108" s="131"/>
    </row>
    <row r="109" spans="1:41" s="90" customFormat="1" ht="19.5" customHeight="1" x14ac:dyDescent="0.25">
      <c r="A109" s="242">
        <f t="shared" si="3"/>
        <v>24.5</v>
      </c>
      <c r="B109" s="242">
        <f>YEAR(Data_NFI_t[[#This Row],[Distribution Date]])</f>
        <v>2015</v>
      </c>
      <c r="C109" s="913">
        <v>42121</v>
      </c>
      <c r="D109" s="489" t="s">
        <v>285</v>
      </c>
      <c r="E109" s="488" t="s">
        <v>623</v>
      </c>
      <c r="F109" s="489" t="s">
        <v>7</v>
      </c>
      <c r="G109" s="790" t="s">
        <v>19</v>
      </c>
      <c r="H109" s="790" t="s">
        <v>78</v>
      </c>
      <c r="I109" s="790"/>
      <c r="J109" s="51">
        <v>72</v>
      </c>
      <c r="K109" s="51"/>
      <c r="L109" s="51">
        <v>144</v>
      </c>
      <c r="M109" s="51">
        <v>72</v>
      </c>
      <c r="N109" s="51">
        <v>144</v>
      </c>
      <c r="O109" s="51">
        <v>72</v>
      </c>
      <c r="P109" s="51"/>
      <c r="Q109" s="51">
        <v>72</v>
      </c>
      <c r="R109" s="511">
        <v>72</v>
      </c>
      <c r="S109" s="51">
        <v>360</v>
      </c>
      <c r="T109" s="51"/>
      <c r="U109" s="51"/>
      <c r="V109" s="51"/>
      <c r="W109" s="51"/>
      <c r="X109" s="131">
        <f>IF(NFI_Expiration=1,IF($A109&lt;VLOOKUP(I$5,NFI,5,0),1,0)*Data_NFI_t[[#This Row],[Hygiene Kit]],0)</f>
        <v>0</v>
      </c>
      <c r="Y109" s="131">
        <f>IF(NFI_Expiration=1,IF($A109&lt;VLOOKUP(J$5,NFI,5,0),1,0)*Data_NFI_t[[#This Row],[NFI Core Kit]],0)</f>
        <v>0</v>
      </c>
      <c r="Z109" s="112">
        <f>IF(NFI_Expiration=1,IF($A109&lt;VLOOKUP(K$5,NFI,5,0),1,0)*Data_NFI_t[[#This Row],[Sanitary Kit]],0)</f>
        <v>0</v>
      </c>
      <c r="AA109" s="112">
        <f>IF(NFI_Expiration=1,IF($A109&lt;VLOOKUP(L$5,NFI,5,0),1,0)*Data_NFI_t[[#This Row],[Mosquito net]],0)</f>
        <v>0</v>
      </c>
      <c r="AB109" s="112">
        <f>IF(NFI_Expiration=1,IF($A109&lt;VLOOKUP(M$5,NFI,5,0),1,0)*Data_NFI_t[[#This Row],[Tarpaulin]],0)</f>
        <v>0</v>
      </c>
      <c r="AC109" s="112">
        <f>IF(NFI_Expiration=1,IF($A109&lt;VLOOKUP(N$5,NFI,5,0),1,0)*Data_NFI_t[[#This Row],[Blanket]],0)</f>
        <v>0</v>
      </c>
      <c r="AD109" s="112">
        <f>IF(NFI_Expiration=1,IF($A109&lt;VLOOKUP(O$5,NFI,5,0),1,0)*Data_NFI_t[[#This Row],[Kitchen Set]],0)</f>
        <v>0</v>
      </c>
      <c r="AE109" s="112">
        <f>IF(NFI_Expiration=1,IF($A109&lt;VLOOKUP(P$5,NFI,5,0),1,0)*Data_NFI_t[[#This Row],[Complementary Kit]],0)</f>
        <v>0</v>
      </c>
      <c r="AF109" s="112">
        <f>IF(NFI_Expiration=1,IF($A109&lt;VLOOKUP(Q$5,NFI,5,0),1,0)*Data_NFI_t[[#This Row],[Plastic Bucket]],0)</f>
        <v>0</v>
      </c>
      <c r="AG109" s="112">
        <f>IF(NFI_Expiration=1,IF($A109&lt;VLOOKUP(R$5,NFI,5,0),1,0)*Data_NFI_t[[#This Row],[Jerry Can]],0)</f>
        <v>0</v>
      </c>
      <c r="AH109" s="131">
        <f>IF(NFI_Expiration=1,IF($A109&lt;VLOOKUP(S$5,NFI,5,0),1,0)*Data_NFI_t[[#This Row],[Plastic Mat]],0)*IF(Data_NFI_t[[#This Row],[Distribution Date]]&gt;"01-06-2015",1,2.5)</f>
        <v>0</v>
      </c>
      <c r="AI109" s="901">
        <f>IF(NFI_Expiration=1,IF($A109&lt;VLOOKUP(T$5,NFI,5,0),1,0)*Data_NFI_t[[#This Row],[Adult Clothes]],0)</f>
        <v>0</v>
      </c>
      <c r="AJ109" s="131">
        <f>IF(NFI_Expiration=1,IF($A109&lt;VLOOKUP(U$5,NFI,5,0),1,0)*Data_NFI_t[[#This Row],[Children Clothes]],0)</f>
        <v>0</v>
      </c>
      <c r="AK109" s="131">
        <f>IF(NFI_Expiration=1,IF($A109&lt;VLOOKUP(V$5,NFI,5,0),1,0)*Data_NFI_t[[#This Row],[Sewing Kit]],0)</f>
        <v>0</v>
      </c>
      <c r="AL109" s="901">
        <f>IF(NFI_Expiration=1,IF($A109&lt;VLOOKUP(V$5,NFI,5,0),1,0)*Data_NFI_t[[#This Row],[Solar Lantern]],0)</f>
        <v>0</v>
      </c>
      <c r="AM109" s="131" t="str">
        <f ca="1">IFERROR(OFFSET(Camp_List[P_Code],MATCH(Data_NFI_t[[#This Row],[Camp Name]],Camp_List[Camp Name],0)-1,0,1,1),"")</f>
        <v>MMR012CMP056</v>
      </c>
      <c r="AN109" s="513" t="str">
        <f ca="1">IFERROR(OFFSET(Camp_List[Status],MATCH(Data_NFI_t[[#This Row],[Camp Name]],Camp_List[Camp Name],0)-1,0,1,1),"")</f>
        <v>Relocated</v>
      </c>
      <c r="AO109" s="131"/>
    </row>
    <row r="110" spans="1:41" s="90" customFormat="1" ht="19.5" customHeight="1" x14ac:dyDescent="0.25">
      <c r="A110" s="242">
        <f t="shared" si="3"/>
        <v>24.5</v>
      </c>
      <c r="B110" s="242">
        <f>YEAR(Data_NFI_t[[#This Row],[Distribution Date]])</f>
        <v>2015</v>
      </c>
      <c r="C110" s="913">
        <v>42121</v>
      </c>
      <c r="D110" s="489" t="s">
        <v>285</v>
      </c>
      <c r="E110" s="488" t="s">
        <v>623</v>
      </c>
      <c r="F110" s="489" t="s">
        <v>7</v>
      </c>
      <c r="G110" s="790" t="s">
        <v>19</v>
      </c>
      <c r="H110" s="790" t="s">
        <v>245</v>
      </c>
      <c r="I110" s="790"/>
      <c r="J110" s="51">
        <v>151</v>
      </c>
      <c r="K110" s="51"/>
      <c r="L110" s="51">
        <v>302</v>
      </c>
      <c r="M110" s="51">
        <v>151</v>
      </c>
      <c r="N110" s="51">
        <v>302</v>
      </c>
      <c r="O110" s="51">
        <v>151</v>
      </c>
      <c r="P110" s="51"/>
      <c r="Q110" s="51">
        <v>151</v>
      </c>
      <c r="R110" s="511">
        <v>151</v>
      </c>
      <c r="S110" s="51">
        <v>755</v>
      </c>
      <c r="T110" s="51"/>
      <c r="U110" s="51"/>
      <c r="V110" s="51"/>
      <c r="W110" s="51"/>
      <c r="X110" s="131">
        <f>IF(NFI_Expiration=1,IF($A110&lt;VLOOKUP(I$5,NFI,5,0),1,0)*Data_NFI_t[[#This Row],[Hygiene Kit]],0)</f>
        <v>0</v>
      </c>
      <c r="Y110" s="131">
        <f>IF(NFI_Expiration=1,IF($A110&lt;VLOOKUP(J$5,NFI,5,0),1,0)*Data_NFI_t[[#This Row],[NFI Core Kit]],0)</f>
        <v>0</v>
      </c>
      <c r="Z110" s="112">
        <f>IF(NFI_Expiration=1,IF($A110&lt;VLOOKUP(K$5,NFI,5,0),1,0)*Data_NFI_t[[#This Row],[Sanitary Kit]],0)</f>
        <v>0</v>
      </c>
      <c r="AA110" s="112">
        <f>IF(NFI_Expiration=1,IF($A110&lt;VLOOKUP(L$5,NFI,5,0),1,0)*Data_NFI_t[[#This Row],[Mosquito net]],0)</f>
        <v>0</v>
      </c>
      <c r="AB110" s="112">
        <f>IF(NFI_Expiration=1,IF($A110&lt;VLOOKUP(M$5,NFI,5,0),1,0)*Data_NFI_t[[#This Row],[Tarpaulin]],0)</f>
        <v>0</v>
      </c>
      <c r="AC110" s="112">
        <f>IF(NFI_Expiration=1,IF($A110&lt;VLOOKUP(N$5,NFI,5,0),1,0)*Data_NFI_t[[#This Row],[Blanket]],0)</f>
        <v>0</v>
      </c>
      <c r="AD110" s="112">
        <f>IF(NFI_Expiration=1,IF($A110&lt;VLOOKUP(O$5,NFI,5,0),1,0)*Data_NFI_t[[#This Row],[Kitchen Set]],0)</f>
        <v>0</v>
      </c>
      <c r="AE110" s="112">
        <f>IF(NFI_Expiration=1,IF($A110&lt;VLOOKUP(P$5,NFI,5,0),1,0)*Data_NFI_t[[#This Row],[Complementary Kit]],0)</f>
        <v>0</v>
      </c>
      <c r="AF110" s="112">
        <f>IF(NFI_Expiration=1,IF($A110&lt;VLOOKUP(Q$5,NFI,5,0),1,0)*Data_NFI_t[[#This Row],[Plastic Bucket]],0)</f>
        <v>0</v>
      </c>
      <c r="AG110" s="112">
        <f>IF(NFI_Expiration=1,IF($A110&lt;VLOOKUP(R$5,NFI,5,0),1,0)*Data_NFI_t[[#This Row],[Jerry Can]],0)</f>
        <v>0</v>
      </c>
      <c r="AH110" s="131">
        <f>IF(NFI_Expiration=1,IF($A110&lt;VLOOKUP(S$5,NFI,5,0),1,0)*Data_NFI_t[[#This Row],[Plastic Mat]],0)*IF(Data_NFI_t[[#This Row],[Distribution Date]]&gt;"01-06-2015",1,2.5)</f>
        <v>0</v>
      </c>
      <c r="AI110" s="901">
        <f>IF(NFI_Expiration=1,IF($A110&lt;VLOOKUP(T$5,NFI,5,0),1,0)*Data_NFI_t[[#This Row],[Adult Clothes]],0)</f>
        <v>0</v>
      </c>
      <c r="AJ110" s="131">
        <f>IF(NFI_Expiration=1,IF($A110&lt;VLOOKUP(U$5,NFI,5,0),1,0)*Data_NFI_t[[#This Row],[Children Clothes]],0)</f>
        <v>0</v>
      </c>
      <c r="AK110" s="131">
        <f>IF(NFI_Expiration=1,IF($A110&lt;VLOOKUP(V$5,NFI,5,0),1,0)*Data_NFI_t[[#This Row],[Sewing Kit]],0)</f>
        <v>0</v>
      </c>
      <c r="AL110" s="901">
        <f>IF(NFI_Expiration=1,IF($A110&lt;VLOOKUP(V$5,NFI,5,0),1,0)*Data_NFI_t[[#This Row],[Solar Lantern]],0)</f>
        <v>0</v>
      </c>
      <c r="AM110" s="131" t="str">
        <f ca="1">IFERROR(OFFSET(Camp_List[P_Code],MATCH(Data_NFI_t[[#This Row],[Camp Name]],Camp_List[Camp Name],0)-1,0,1,1),"")</f>
        <v>MMR012CMP093</v>
      </c>
      <c r="AN110" s="513" t="str">
        <f ca="1">IFERROR(OFFSET(Camp_List[Status],MATCH(Data_NFI_t[[#This Row],[Camp Name]],Camp_List[Camp Name],0)-1,0,1,1),"")</f>
        <v>Relocated</v>
      </c>
      <c r="AO110" s="131"/>
    </row>
    <row r="111" spans="1:41" s="90" customFormat="1" ht="19.5" customHeight="1" x14ac:dyDescent="0.25">
      <c r="A111" s="242">
        <f t="shared" si="3"/>
        <v>25.933333333333334</v>
      </c>
      <c r="B111" s="242">
        <f>YEAR(Data_NFI_t[[#This Row],[Distribution Date]])</f>
        <v>2015</v>
      </c>
      <c r="C111" s="913">
        <v>42078</v>
      </c>
      <c r="D111" s="489" t="s">
        <v>515</v>
      </c>
      <c r="E111" s="488" t="s">
        <v>515</v>
      </c>
      <c r="F111" s="489" t="s">
        <v>7</v>
      </c>
      <c r="G111" s="790" t="s">
        <v>19</v>
      </c>
      <c r="H111" s="790" t="s">
        <v>70</v>
      </c>
      <c r="I111" s="790">
        <v>1020</v>
      </c>
      <c r="J111" s="51"/>
      <c r="K111" s="51"/>
      <c r="L111" s="51"/>
      <c r="M111" s="51"/>
      <c r="N111" s="51"/>
      <c r="O111" s="51"/>
      <c r="P111" s="51"/>
      <c r="Q111" s="51"/>
      <c r="R111" s="511"/>
      <c r="S111" s="51"/>
      <c r="T111" s="51"/>
      <c r="U111" s="51"/>
      <c r="V111" s="51"/>
      <c r="W111" s="51"/>
      <c r="X111" s="131">
        <f>IF(NFI_Expiration=1,IF($A111&lt;VLOOKUP(I$5,NFI,5,0),1,0)*Data_NFI_t[[#This Row],[Hygiene Kit]],0)</f>
        <v>0</v>
      </c>
      <c r="Y111" s="131">
        <f>IF(NFI_Expiration=1,IF($A111&lt;VLOOKUP(J$5,NFI,5,0),1,0)*Data_NFI_t[[#This Row],[NFI Core Kit]],0)</f>
        <v>0</v>
      </c>
      <c r="Z111" s="112">
        <f>IF(NFI_Expiration=1,IF($A111&lt;VLOOKUP(K$5,NFI,5,0),1,0)*Data_NFI_t[[#This Row],[Sanitary Kit]],0)</f>
        <v>0</v>
      </c>
      <c r="AA111" s="112">
        <f>IF(NFI_Expiration=1,IF($A111&lt;VLOOKUP(L$5,NFI,5,0),1,0)*Data_NFI_t[[#This Row],[Mosquito net]],0)</f>
        <v>0</v>
      </c>
      <c r="AB111" s="112">
        <f>IF(NFI_Expiration=1,IF($A111&lt;VLOOKUP(M$5,NFI,5,0),1,0)*Data_NFI_t[[#This Row],[Tarpaulin]],0)</f>
        <v>0</v>
      </c>
      <c r="AC111" s="112">
        <f>IF(NFI_Expiration=1,IF($A111&lt;VLOOKUP(N$5,NFI,5,0),1,0)*Data_NFI_t[[#This Row],[Blanket]],0)</f>
        <v>0</v>
      </c>
      <c r="AD111" s="112">
        <f>IF(NFI_Expiration=1,IF($A111&lt;VLOOKUP(O$5,NFI,5,0),1,0)*Data_NFI_t[[#This Row],[Kitchen Set]],0)</f>
        <v>0</v>
      </c>
      <c r="AE111" s="112">
        <f>IF(NFI_Expiration=1,IF($A111&lt;VLOOKUP(P$5,NFI,5,0),1,0)*Data_NFI_t[[#This Row],[Complementary Kit]],0)</f>
        <v>0</v>
      </c>
      <c r="AF111" s="112">
        <f>IF(NFI_Expiration=1,IF($A111&lt;VLOOKUP(Q$5,NFI,5,0),1,0)*Data_NFI_t[[#This Row],[Plastic Bucket]],0)</f>
        <v>0</v>
      </c>
      <c r="AG111" s="112">
        <f>IF(NFI_Expiration=1,IF($A111&lt;VLOOKUP(R$5,NFI,5,0),1,0)*Data_NFI_t[[#This Row],[Jerry Can]],0)</f>
        <v>0</v>
      </c>
      <c r="AH111" s="131">
        <f>IF(NFI_Expiration=1,IF($A111&lt;VLOOKUP(S$5,NFI,5,0),1,0)*Data_NFI_t[[#This Row],[Plastic Mat]],0)*IF(Data_NFI_t[[#This Row],[Distribution Date]]&gt;"01-06-2015",1,2.5)</f>
        <v>0</v>
      </c>
      <c r="AI111" s="901">
        <f>IF(NFI_Expiration=1,IF($A111&lt;VLOOKUP(T$5,NFI,5,0),1,0)*Data_NFI_t[[#This Row],[Adult Clothes]],0)</f>
        <v>0</v>
      </c>
      <c r="AJ111" s="131">
        <f>IF(NFI_Expiration=1,IF($A111&lt;VLOOKUP(U$5,NFI,5,0),1,0)*Data_NFI_t[[#This Row],[Children Clothes]],0)</f>
        <v>0</v>
      </c>
      <c r="AK111" s="131">
        <f>IF(NFI_Expiration=1,IF($A111&lt;VLOOKUP(V$5,NFI,5,0),1,0)*Data_NFI_t[[#This Row],[Sewing Kit]],0)</f>
        <v>0</v>
      </c>
      <c r="AL111" s="901">
        <f>IF(NFI_Expiration=1,IF($A111&lt;VLOOKUP(V$5,NFI,5,0),1,0)*Data_NFI_t[[#This Row],[Solar Lantern]],0)</f>
        <v>0</v>
      </c>
      <c r="AM111" s="131" t="str">
        <f ca="1">IFERROR(OFFSET(Camp_List[P_Code],MATCH(Data_NFI_t[[#This Row],[Camp Name]],Camp_List[Camp Name],0)-1,0,1,1),"")</f>
        <v>MMR012CMP048</v>
      </c>
      <c r="AN111" s="513" t="str">
        <f ca="1">IFERROR(OFFSET(Camp_List[Status],MATCH(Data_NFI_t[[#This Row],[Camp Name]],Camp_List[Camp Name],0)-1,0,1,1),"")</f>
        <v>Open</v>
      </c>
      <c r="AO111" s="131"/>
    </row>
    <row r="112" spans="1:41" s="90" customFormat="1" ht="19.5" customHeight="1" x14ac:dyDescent="0.25">
      <c r="A112" s="242">
        <f t="shared" si="3"/>
        <v>26.266666666666666</v>
      </c>
      <c r="B112" s="242">
        <v>2015</v>
      </c>
      <c r="C112" s="913">
        <v>42068</v>
      </c>
      <c r="D112" s="489" t="s">
        <v>285</v>
      </c>
      <c r="E112" s="488" t="s">
        <v>285</v>
      </c>
      <c r="F112" s="489" t="s">
        <v>7</v>
      </c>
      <c r="G112" s="790" t="s">
        <v>20</v>
      </c>
      <c r="H112" s="790" t="s">
        <v>105</v>
      </c>
      <c r="I112" s="790">
        <v>0</v>
      </c>
      <c r="J112" s="51">
        <v>43</v>
      </c>
      <c r="K112" s="51">
        <v>43</v>
      </c>
      <c r="L112" s="51">
        <v>86</v>
      </c>
      <c r="M112" s="51">
        <v>0</v>
      </c>
      <c r="N112" s="51">
        <v>86</v>
      </c>
      <c r="O112" s="51">
        <v>33</v>
      </c>
      <c r="P112" s="51">
        <v>0</v>
      </c>
      <c r="Q112" s="51">
        <v>43</v>
      </c>
      <c r="R112" s="511">
        <v>43</v>
      </c>
      <c r="S112" s="51">
        <v>165</v>
      </c>
      <c r="T112" s="51"/>
      <c r="U112" s="51"/>
      <c r="V112" s="51"/>
      <c r="W112" s="51"/>
      <c r="X112" s="131">
        <f>IF(NFI_Expiration=1,IF($A112&lt;VLOOKUP(I$5,NFI,5,0),1,0)*Data_NFI_t[[#This Row],[Hygiene Kit]],0)</f>
        <v>0</v>
      </c>
      <c r="Y112" s="131">
        <f>IF(NFI_Expiration=1,IF($A112&lt;VLOOKUP(J$5,NFI,5,0),1,0)*Data_NFI_t[[#This Row],[NFI Core Kit]],0)</f>
        <v>0</v>
      </c>
      <c r="Z112" s="112">
        <f>IF(NFI_Expiration=1,IF($A112&lt;VLOOKUP(K$5,NFI,5,0),1,0)*Data_NFI_t[[#This Row],[Sanitary Kit]],0)</f>
        <v>0</v>
      </c>
      <c r="AA112" s="112">
        <f>IF(NFI_Expiration=1,IF($A112&lt;VLOOKUP(L$5,NFI,5,0),1,0)*Data_NFI_t[[#This Row],[Mosquito net]],0)</f>
        <v>0</v>
      </c>
      <c r="AB112" s="112">
        <f>IF(NFI_Expiration=1,IF($A112&lt;VLOOKUP(M$5,NFI,5,0),1,0)*Data_NFI_t[[#This Row],[Tarpaulin]],0)</f>
        <v>0</v>
      </c>
      <c r="AC112" s="112">
        <f>IF(NFI_Expiration=1,IF($A112&lt;VLOOKUP(N$5,NFI,5,0),1,0)*Data_NFI_t[[#This Row],[Blanket]],0)</f>
        <v>0</v>
      </c>
      <c r="AD112" s="112">
        <f>IF(NFI_Expiration=1,IF($A112&lt;VLOOKUP(O$5,NFI,5,0),1,0)*Data_NFI_t[[#This Row],[Kitchen Set]],0)</f>
        <v>0</v>
      </c>
      <c r="AE112" s="112">
        <f>IF(NFI_Expiration=1,IF($A112&lt;VLOOKUP(P$5,NFI,5,0),1,0)*Data_NFI_t[[#This Row],[Complementary Kit]],0)</f>
        <v>0</v>
      </c>
      <c r="AF112" s="112">
        <f>IF(NFI_Expiration=1,IF($A112&lt;VLOOKUP(Q$5,NFI,5,0),1,0)*Data_NFI_t[[#This Row],[Plastic Bucket]],0)</f>
        <v>0</v>
      </c>
      <c r="AG112" s="112">
        <f>IF(NFI_Expiration=1,IF($A112&lt;VLOOKUP(R$5,NFI,5,0),1,0)*Data_NFI_t[[#This Row],[Jerry Can]],0)</f>
        <v>0</v>
      </c>
      <c r="AH112" s="131">
        <f>IF(NFI_Expiration=1,IF($A112&lt;VLOOKUP(S$5,NFI,5,0),1,0)*Data_NFI_t[[#This Row],[Plastic Mat]],0)*IF(Data_NFI_t[[#This Row],[Distribution Date]]&gt;"01-06-2015",1,2.5)</f>
        <v>0</v>
      </c>
      <c r="AI112" s="901">
        <f>IF(NFI_Expiration=1,IF($A112&lt;VLOOKUP(T$5,NFI,5,0),1,0)*Data_NFI_t[[#This Row],[Adult Clothes]],0)</f>
        <v>0</v>
      </c>
      <c r="AJ112" s="131">
        <f>IF(NFI_Expiration=1,IF($A112&lt;VLOOKUP(U$5,NFI,5,0),1,0)*Data_NFI_t[[#This Row],[Children Clothes]],0)</f>
        <v>0</v>
      </c>
      <c r="AK112" s="131">
        <f>IF(NFI_Expiration=1,IF($A112&lt;VLOOKUP(V$5,NFI,5,0),1,0)*Data_NFI_t[[#This Row],[Sewing Kit]],0)</f>
        <v>0</v>
      </c>
      <c r="AL112" s="901">
        <f>IF(NFI_Expiration=1,IF($A112&lt;VLOOKUP(V$5,NFI,5,0),1,0)*Data_NFI_t[[#This Row],[Solar Lantern]],0)</f>
        <v>0</v>
      </c>
      <c r="AM112" s="131" t="str">
        <f ca="1">IFERROR(OFFSET(Camp_List[P_Code],MATCH(Data_NFI_t[[#This Row],[Camp Name]],Camp_List[Camp Name],0)-1,0,1,1),"")</f>
        <v>MMR012CMP084</v>
      </c>
      <c r="AN112" s="513" t="str">
        <f ca="1">IFERROR(OFFSET(Camp_List[Status],MATCH(Data_NFI_t[[#This Row],[Camp Name]],Camp_List[Camp Name],0)-1,0,1,1),"")</f>
        <v>Open</v>
      </c>
      <c r="AO112" s="131"/>
    </row>
    <row r="113" spans="1:41" s="90" customFormat="1" ht="19.5" customHeight="1" x14ac:dyDescent="0.25">
      <c r="A113" s="242">
        <f t="shared" si="3"/>
        <v>26.4</v>
      </c>
      <c r="B113" s="242">
        <f>YEAR(Data_NFI_t[[#This Row],[Distribution Date]])</f>
        <v>2015</v>
      </c>
      <c r="C113" s="913">
        <v>42064</v>
      </c>
      <c r="D113" s="489" t="s">
        <v>706</v>
      </c>
      <c r="E113" s="488" t="s">
        <v>706</v>
      </c>
      <c r="F113" s="489" t="s">
        <v>7</v>
      </c>
      <c r="G113" s="790" t="s">
        <v>866</v>
      </c>
      <c r="H113" s="790" t="s">
        <v>37</v>
      </c>
      <c r="I113" s="790">
        <v>42</v>
      </c>
      <c r="J113" s="51"/>
      <c r="K113" s="51"/>
      <c r="L113" s="51"/>
      <c r="M113" s="51"/>
      <c r="N113" s="51"/>
      <c r="O113" s="51"/>
      <c r="P113" s="51"/>
      <c r="Q113" s="51"/>
      <c r="R113" s="511"/>
      <c r="S113" s="51"/>
      <c r="T113" s="51"/>
      <c r="U113" s="51"/>
      <c r="V113" s="51"/>
      <c r="W113" s="51"/>
      <c r="X113" s="131">
        <f>IF(NFI_Expiration=1,IF($A113&lt;VLOOKUP(I$5,NFI,5,0),1,0)*Data_NFI_t[[#This Row],[Hygiene Kit]],0)</f>
        <v>0</v>
      </c>
      <c r="Y113" s="131">
        <f>IF(NFI_Expiration=1,IF($A113&lt;VLOOKUP(J$5,NFI,5,0),1,0)*Data_NFI_t[[#This Row],[NFI Core Kit]],0)</f>
        <v>0</v>
      </c>
      <c r="Z113" s="112">
        <f>IF(NFI_Expiration=1,IF($A113&lt;VLOOKUP(K$5,NFI,5,0),1,0)*Data_NFI_t[[#This Row],[Sanitary Kit]],0)</f>
        <v>0</v>
      </c>
      <c r="AA113" s="112">
        <f>IF(NFI_Expiration=1,IF($A113&lt;VLOOKUP(L$5,NFI,5,0),1,0)*Data_NFI_t[[#This Row],[Mosquito net]],0)</f>
        <v>0</v>
      </c>
      <c r="AB113" s="112">
        <f>IF(NFI_Expiration=1,IF($A113&lt;VLOOKUP(M$5,NFI,5,0),1,0)*Data_NFI_t[[#This Row],[Tarpaulin]],0)</f>
        <v>0</v>
      </c>
      <c r="AC113" s="112">
        <f>IF(NFI_Expiration=1,IF($A113&lt;VLOOKUP(N$5,NFI,5,0),1,0)*Data_NFI_t[[#This Row],[Blanket]],0)</f>
        <v>0</v>
      </c>
      <c r="AD113" s="112">
        <f>IF(NFI_Expiration=1,IF($A113&lt;VLOOKUP(O$5,NFI,5,0),1,0)*Data_NFI_t[[#This Row],[Kitchen Set]],0)</f>
        <v>0</v>
      </c>
      <c r="AE113" s="112">
        <f>IF(NFI_Expiration=1,IF($A113&lt;VLOOKUP(P$5,NFI,5,0),1,0)*Data_NFI_t[[#This Row],[Complementary Kit]],0)</f>
        <v>0</v>
      </c>
      <c r="AF113" s="112">
        <f>IF(NFI_Expiration=1,IF($A113&lt;VLOOKUP(Q$5,NFI,5,0),1,0)*Data_NFI_t[[#This Row],[Plastic Bucket]],0)</f>
        <v>0</v>
      </c>
      <c r="AG113" s="112">
        <f>IF(NFI_Expiration=1,IF($A113&lt;VLOOKUP(R$5,NFI,5,0),1,0)*Data_NFI_t[[#This Row],[Jerry Can]],0)</f>
        <v>0</v>
      </c>
      <c r="AH113" s="131">
        <f>IF(NFI_Expiration=1,IF($A113&lt;VLOOKUP(S$5,NFI,5,0),1,0)*Data_NFI_t[[#This Row],[Plastic Mat]],0)*IF(Data_NFI_t[[#This Row],[Distribution Date]]&gt;"01-06-2015",1,2.5)</f>
        <v>0</v>
      </c>
      <c r="AI113" s="901">
        <f>IF(NFI_Expiration=1,IF($A113&lt;VLOOKUP(T$5,NFI,5,0),1,0)*Data_NFI_t[[#This Row],[Adult Clothes]],0)</f>
        <v>0</v>
      </c>
      <c r="AJ113" s="131">
        <f>IF(NFI_Expiration=1,IF($A113&lt;VLOOKUP(U$5,NFI,5,0),1,0)*Data_NFI_t[[#This Row],[Children Clothes]],0)</f>
        <v>0</v>
      </c>
      <c r="AK113" s="131">
        <f>IF(NFI_Expiration=1,IF($A113&lt;VLOOKUP(V$5,NFI,5,0),1,0)*Data_NFI_t[[#This Row],[Sewing Kit]],0)</f>
        <v>0</v>
      </c>
      <c r="AL113" s="901">
        <f>IF(NFI_Expiration=1,IF($A113&lt;VLOOKUP(V$5,NFI,5,0),1,0)*Data_NFI_t[[#This Row],[Solar Lantern]],0)</f>
        <v>0</v>
      </c>
      <c r="AM113" s="131" t="str">
        <f ca="1">IFERROR(OFFSET(Camp_List[P_Code],MATCH(Data_NFI_t[[#This Row],[Camp Name]],Camp_List[Camp Name],0)-1,0,1,1),"")</f>
        <v>MMR012CMP013</v>
      </c>
      <c r="AN113" s="513" t="str">
        <f ca="1">IFERROR(OFFSET(Camp_List[Status],MATCH(Data_NFI_t[[#This Row],[Camp Name]],Camp_List[Camp Name],0)-1,0,1,1),"")</f>
        <v>Relocated</v>
      </c>
      <c r="AO113" s="131"/>
    </row>
    <row r="114" spans="1:41" s="90" customFormat="1" ht="19.5" customHeight="1" x14ac:dyDescent="0.25">
      <c r="A114" s="242">
        <f t="shared" si="3"/>
        <v>26.4</v>
      </c>
      <c r="B114" s="242">
        <f>YEAR(Data_NFI_t[[#This Row],[Distribution Date]])</f>
        <v>2015</v>
      </c>
      <c r="C114" s="913">
        <v>42064</v>
      </c>
      <c r="D114" s="489" t="s">
        <v>706</v>
      </c>
      <c r="E114" s="488" t="s">
        <v>706</v>
      </c>
      <c r="F114" s="489" t="s">
        <v>7</v>
      </c>
      <c r="G114" s="790" t="s">
        <v>866</v>
      </c>
      <c r="H114" s="790" t="s">
        <v>38</v>
      </c>
      <c r="I114" s="790">
        <v>682</v>
      </c>
      <c r="J114" s="51"/>
      <c r="K114" s="51"/>
      <c r="L114" s="51"/>
      <c r="M114" s="51"/>
      <c r="N114" s="51"/>
      <c r="O114" s="51"/>
      <c r="P114" s="51"/>
      <c r="Q114" s="51"/>
      <c r="R114" s="511"/>
      <c r="S114" s="51"/>
      <c r="T114" s="51"/>
      <c r="U114" s="51"/>
      <c r="V114" s="51"/>
      <c r="W114" s="51"/>
      <c r="X114" s="131">
        <f>IF(NFI_Expiration=1,IF($A114&lt;VLOOKUP(I$5,NFI,5,0),1,0)*Data_NFI_t[[#This Row],[Hygiene Kit]],0)</f>
        <v>0</v>
      </c>
      <c r="Y114" s="131">
        <f>IF(NFI_Expiration=1,IF($A114&lt;VLOOKUP(J$5,NFI,5,0),1,0)*Data_NFI_t[[#This Row],[NFI Core Kit]],0)</f>
        <v>0</v>
      </c>
      <c r="Z114" s="112">
        <f>IF(NFI_Expiration=1,IF($A114&lt;VLOOKUP(K$5,NFI,5,0),1,0)*Data_NFI_t[[#This Row],[Sanitary Kit]],0)</f>
        <v>0</v>
      </c>
      <c r="AA114" s="112">
        <f>IF(NFI_Expiration=1,IF($A114&lt;VLOOKUP(L$5,NFI,5,0),1,0)*Data_NFI_t[[#This Row],[Mosquito net]],0)</f>
        <v>0</v>
      </c>
      <c r="AB114" s="112">
        <f>IF(NFI_Expiration=1,IF($A114&lt;VLOOKUP(M$5,NFI,5,0),1,0)*Data_NFI_t[[#This Row],[Tarpaulin]],0)</f>
        <v>0</v>
      </c>
      <c r="AC114" s="112">
        <f>IF(NFI_Expiration=1,IF($A114&lt;VLOOKUP(N$5,NFI,5,0),1,0)*Data_NFI_t[[#This Row],[Blanket]],0)</f>
        <v>0</v>
      </c>
      <c r="AD114" s="112">
        <f>IF(NFI_Expiration=1,IF($A114&lt;VLOOKUP(O$5,NFI,5,0),1,0)*Data_NFI_t[[#This Row],[Kitchen Set]],0)</f>
        <v>0</v>
      </c>
      <c r="AE114" s="112">
        <f>IF(NFI_Expiration=1,IF($A114&lt;VLOOKUP(P$5,NFI,5,0),1,0)*Data_NFI_t[[#This Row],[Complementary Kit]],0)</f>
        <v>0</v>
      </c>
      <c r="AF114" s="112">
        <f>IF(NFI_Expiration=1,IF($A114&lt;VLOOKUP(Q$5,NFI,5,0),1,0)*Data_NFI_t[[#This Row],[Plastic Bucket]],0)</f>
        <v>0</v>
      </c>
      <c r="AG114" s="112">
        <f>IF(NFI_Expiration=1,IF($A114&lt;VLOOKUP(R$5,NFI,5,0),1,0)*Data_NFI_t[[#This Row],[Jerry Can]],0)</f>
        <v>0</v>
      </c>
      <c r="AH114" s="131">
        <f>IF(NFI_Expiration=1,IF($A114&lt;VLOOKUP(S$5,NFI,5,0),1,0)*Data_NFI_t[[#This Row],[Plastic Mat]],0)*IF(Data_NFI_t[[#This Row],[Distribution Date]]&gt;"01-06-2015",1,2.5)</f>
        <v>0</v>
      </c>
      <c r="AI114" s="901">
        <f>IF(NFI_Expiration=1,IF($A114&lt;VLOOKUP(T$5,NFI,5,0),1,0)*Data_NFI_t[[#This Row],[Adult Clothes]],0)</f>
        <v>0</v>
      </c>
      <c r="AJ114" s="131">
        <f>IF(NFI_Expiration=1,IF($A114&lt;VLOOKUP(U$5,NFI,5,0),1,0)*Data_NFI_t[[#This Row],[Children Clothes]],0)</f>
        <v>0</v>
      </c>
      <c r="AK114" s="131">
        <f>IF(NFI_Expiration=1,IF($A114&lt;VLOOKUP(V$5,NFI,5,0),1,0)*Data_NFI_t[[#This Row],[Sewing Kit]],0)</f>
        <v>0</v>
      </c>
      <c r="AL114" s="901">
        <f>IF(NFI_Expiration=1,IF($A114&lt;VLOOKUP(V$5,NFI,5,0),1,0)*Data_NFI_t[[#This Row],[Solar Lantern]],0)</f>
        <v>0</v>
      </c>
      <c r="AM114" s="131" t="str">
        <f ca="1">IFERROR(OFFSET(Camp_List[P_Code],MATCH(Data_NFI_t[[#This Row],[Camp Name]],Camp_List[Camp Name],0)-1,0,1,1),"")</f>
        <v>MMR012CMP014</v>
      </c>
      <c r="AN114" s="513" t="str">
        <f ca="1">IFERROR(OFFSET(Camp_List[Status],MATCH(Data_NFI_t[[#This Row],[Camp Name]],Camp_List[Camp Name],0)-1,0,1,1),"")</f>
        <v>Open</v>
      </c>
      <c r="AO114" s="131"/>
    </row>
    <row r="115" spans="1:41" s="90" customFormat="1" ht="19.5" customHeight="1" x14ac:dyDescent="0.25">
      <c r="A115" s="242">
        <f t="shared" si="3"/>
        <v>26.7</v>
      </c>
      <c r="B115" s="242">
        <f>YEAR(Data_NFI_t[[#This Row],[Distribution Date]])</f>
        <v>2015</v>
      </c>
      <c r="C115" s="913">
        <v>42055</v>
      </c>
      <c r="D115" s="489" t="s">
        <v>518</v>
      </c>
      <c r="E115" s="488" t="s">
        <v>518</v>
      </c>
      <c r="F115" s="489" t="s">
        <v>7</v>
      </c>
      <c r="G115" s="790" t="s">
        <v>19</v>
      </c>
      <c r="H115" s="790" t="s">
        <v>638</v>
      </c>
      <c r="I115" s="790">
        <v>249</v>
      </c>
      <c r="J115" s="51"/>
      <c r="K115" s="51"/>
      <c r="L115" s="51"/>
      <c r="M115" s="51"/>
      <c r="N115" s="51"/>
      <c r="O115" s="51"/>
      <c r="P115" s="51"/>
      <c r="Q115" s="51"/>
      <c r="R115" s="511"/>
      <c r="S115" s="51"/>
      <c r="T115" s="51"/>
      <c r="U115" s="51"/>
      <c r="V115" s="51"/>
      <c r="W115" s="51"/>
      <c r="X115" s="131">
        <f>IF(NFI_Expiration=1,IF($A115&lt;VLOOKUP(I$5,NFI,5,0),1,0)*Data_NFI_t[[#This Row],[Hygiene Kit]],0)</f>
        <v>0</v>
      </c>
      <c r="Y115" s="131">
        <f>IF(NFI_Expiration=1,IF($A115&lt;VLOOKUP(J$5,NFI,5,0),1,0)*Data_NFI_t[[#This Row],[NFI Core Kit]],0)</f>
        <v>0</v>
      </c>
      <c r="Z115" s="112">
        <f>IF(NFI_Expiration=1,IF($A115&lt;VLOOKUP(K$5,NFI,5,0),1,0)*Data_NFI_t[[#This Row],[Sanitary Kit]],0)</f>
        <v>0</v>
      </c>
      <c r="AA115" s="112">
        <f>IF(NFI_Expiration=1,IF($A115&lt;VLOOKUP(L$5,NFI,5,0),1,0)*Data_NFI_t[[#This Row],[Mosquito net]],0)</f>
        <v>0</v>
      </c>
      <c r="AB115" s="112">
        <f>IF(NFI_Expiration=1,IF($A115&lt;VLOOKUP(M$5,NFI,5,0),1,0)*Data_NFI_t[[#This Row],[Tarpaulin]],0)</f>
        <v>0</v>
      </c>
      <c r="AC115" s="112">
        <f>IF(NFI_Expiration=1,IF($A115&lt;VLOOKUP(N$5,NFI,5,0),1,0)*Data_NFI_t[[#This Row],[Blanket]],0)</f>
        <v>0</v>
      </c>
      <c r="AD115" s="112">
        <f>IF(NFI_Expiration=1,IF($A115&lt;VLOOKUP(O$5,NFI,5,0),1,0)*Data_NFI_t[[#This Row],[Kitchen Set]],0)</f>
        <v>0</v>
      </c>
      <c r="AE115" s="112">
        <f>IF(NFI_Expiration=1,IF($A115&lt;VLOOKUP(P$5,NFI,5,0),1,0)*Data_NFI_t[[#This Row],[Complementary Kit]],0)</f>
        <v>0</v>
      </c>
      <c r="AF115" s="112">
        <f>IF(NFI_Expiration=1,IF($A115&lt;VLOOKUP(Q$5,NFI,5,0),1,0)*Data_NFI_t[[#This Row],[Plastic Bucket]],0)</f>
        <v>0</v>
      </c>
      <c r="AG115" s="112">
        <f>IF(NFI_Expiration=1,IF($A115&lt;VLOOKUP(R$5,NFI,5,0),1,0)*Data_NFI_t[[#This Row],[Jerry Can]],0)</f>
        <v>0</v>
      </c>
      <c r="AH115" s="131">
        <f>IF(NFI_Expiration=1,IF($A115&lt;VLOOKUP(S$5,NFI,5,0),1,0)*Data_NFI_t[[#This Row],[Plastic Mat]],0)*IF(Data_NFI_t[[#This Row],[Distribution Date]]&gt;"01-06-2015",1,2.5)</f>
        <v>0</v>
      </c>
      <c r="AI115" s="901">
        <f>IF(NFI_Expiration=1,IF($A115&lt;VLOOKUP(T$5,NFI,5,0),1,0)*Data_NFI_t[[#This Row],[Adult Clothes]],0)</f>
        <v>0</v>
      </c>
      <c r="AJ115" s="131">
        <f>IF(NFI_Expiration=1,IF($A115&lt;VLOOKUP(U$5,NFI,5,0),1,0)*Data_NFI_t[[#This Row],[Children Clothes]],0)</f>
        <v>0</v>
      </c>
      <c r="AK115" s="131">
        <f>IF(NFI_Expiration=1,IF($A115&lt;VLOOKUP(V$5,NFI,5,0),1,0)*Data_NFI_t[[#This Row],[Sewing Kit]],0)</f>
        <v>0</v>
      </c>
      <c r="AL115" s="901">
        <f>IF(NFI_Expiration=1,IF($A115&lt;VLOOKUP(V$5,NFI,5,0),1,0)*Data_NFI_t[[#This Row],[Solar Lantern]],0)</f>
        <v>0</v>
      </c>
      <c r="AM115" s="131" t="str">
        <f ca="1">IFERROR(OFFSET(Camp_List[P_Code],MATCH(Data_NFI_t[[#This Row],[Camp Name]],Camp_List[Camp Name],0)-1,0,1,1),"")</f>
        <v>MMR012CMP111</v>
      </c>
      <c r="AN115" s="513" t="str">
        <f ca="1">IFERROR(OFFSET(Camp_List[Status],MATCH(Data_NFI_t[[#This Row],[Camp Name]],Camp_List[Camp Name],0)-1,0,1,1),"")</f>
        <v>Relocated</v>
      </c>
      <c r="AO115" s="131"/>
    </row>
    <row r="116" spans="1:41" s="90" customFormat="1" ht="19.5" customHeight="1" x14ac:dyDescent="0.25">
      <c r="A116" s="242">
        <f t="shared" si="3"/>
        <v>27.333333333333332</v>
      </c>
      <c r="B116" s="242">
        <f>YEAR(Data_NFI_t[[#This Row],[Distribution Date]])</f>
        <v>2015</v>
      </c>
      <c r="C116" s="913">
        <v>42036</v>
      </c>
      <c r="D116" s="489" t="s">
        <v>706</v>
      </c>
      <c r="E116" s="488" t="s">
        <v>706</v>
      </c>
      <c r="F116" s="489" t="s">
        <v>7</v>
      </c>
      <c r="G116" s="790" t="s">
        <v>866</v>
      </c>
      <c r="H116" s="790" t="s">
        <v>37</v>
      </c>
      <c r="I116" s="790">
        <v>42</v>
      </c>
      <c r="J116" s="51"/>
      <c r="K116" s="51"/>
      <c r="L116" s="51"/>
      <c r="M116" s="51"/>
      <c r="N116" s="51"/>
      <c r="O116" s="51"/>
      <c r="P116" s="51"/>
      <c r="Q116" s="51"/>
      <c r="R116" s="511"/>
      <c r="S116" s="51"/>
      <c r="T116" s="51"/>
      <c r="U116" s="51"/>
      <c r="V116" s="51"/>
      <c r="W116" s="51"/>
      <c r="X116" s="131">
        <f>IF(NFI_Expiration=1,IF($A116&lt;VLOOKUP(I$5,NFI,5,0),1,0)*Data_NFI_t[[#This Row],[Hygiene Kit]],0)</f>
        <v>0</v>
      </c>
      <c r="Y116" s="131">
        <f>IF(NFI_Expiration=1,IF($A116&lt;VLOOKUP(J$5,NFI,5,0),1,0)*Data_NFI_t[[#This Row],[NFI Core Kit]],0)</f>
        <v>0</v>
      </c>
      <c r="Z116" s="112">
        <f>IF(NFI_Expiration=1,IF($A116&lt;VLOOKUP(K$5,NFI,5,0),1,0)*Data_NFI_t[[#This Row],[Sanitary Kit]],0)</f>
        <v>0</v>
      </c>
      <c r="AA116" s="112">
        <f>IF(NFI_Expiration=1,IF($A116&lt;VLOOKUP(L$5,NFI,5,0),1,0)*Data_NFI_t[[#This Row],[Mosquito net]],0)</f>
        <v>0</v>
      </c>
      <c r="AB116" s="112">
        <f>IF(NFI_Expiration=1,IF($A116&lt;VLOOKUP(M$5,NFI,5,0),1,0)*Data_NFI_t[[#This Row],[Tarpaulin]],0)</f>
        <v>0</v>
      </c>
      <c r="AC116" s="112">
        <f>IF(NFI_Expiration=1,IF($A116&lt;VLOOKUP(N$5,NFI,5,0),1,0)*Data_NFI_t[[#This Row],[Blanket]],0)</f>
        <v>0</v>
      </c>
      <c r="AD116" s="112">
        <f>IF(NFI_Expiration=1,IF($A116&lt;VLOOKUP(O$5,NFI,5,0),1,0)*Data_NFI_t[[#This Row],[Kitchen Set]],0)</f>
        <v>0</v>
      </c>
      <c r="AE116" s="112">
        <f>IF(NFI_Expiration=1,IF($A116&lt;VLOOKUP(P$5,NFI,5,0),1,0)*Data_NFI_t[[#This Row],[Complementary Kit]],0)</f>
        <v>0</v>
      </c>
      <c r="AF116" s="112">
        <f>IF(NFI_Expiration=1,IF($A116&lt;VLOOKUP(Q$5,NFI,5,0),1,0)*Data_NFI_t[[#This Row],[Plastic Bucket]],0)</f>
        <v>0</v>
      </c>
      <c r="AG116" s="112">
        <f>IF(NFI_Expiration=1,IF($A116&lt;VLOOKUP(R$5,NFI,5,0),1,0)*Data_NFI_t[[#This Row],[Jerry Can]],0)</f>
        <v>0</v>
      </c>
      <c r="AH116" s="131">
        <f>IF(NFI_Expiration=1,IF($A116&lt;VLOOKUP(S$5,NFI,5,0),1,0)*Data_NFI_t[[#This Row],[Plastic Mat]],0)*IF(Data_NFI_t[[#This Row],[Distribution Date]]&gt;"01-06-2015",1,2.5)</f>
        <v>0</v>
      </c>
      <c r="AI116" s="901">
        <f>IF(NFI_Expiration=1,IF($A116&lt;VLOOKUP(T$5,NFI,5,0),1,0)*Data_NFI_t[[#This Row],[Adult Clothes]],0)</f>
        <v>0</v>
      </c>
      <c r="AJ116" s="131">
        <f>IF(NFI_Expiration=1,IF($A116&lt;VLOOKUP(U$5,NFI,5,0),1,0)*Data_NFI_t[[#This Row],[Children Clothes]],0)</f>
        <v>0</v>
      </c>
      <c r="AK116" s="131">
        <f>IF(NFI_Expiration=1,IF($A116&lt;VLOOKUP(V$5,NFI,5,0),1,0)*Data_NFI_t[[#This Row],[Sewing Kit]],0)</f>
        <v>0</v>
      </c>
      <c r="AL116" s="901">
        <f>IF(NFI_Expiration=1,IF($A116&lt;VLOOKUP(V$5,NFI,5,0),1,0)*Data_NFI_t[[#This Row],[Solar Lantern]],0)</f>
        <v>0</v>
      </c>
      <c r="AM116" s="131" t="str">
        <f ca="1">IFERROR(OFFSET(Camp_List[P_Code],MATCH(Data_NFI_t[[#This Row],[Camp Name]],Camp_List[Camp Name],0)-1,0,1,1),"")</f>
        <v>MMR012CMP013</v>
      </c>
      <c r="AN116" s="513" t="str">
        <f ca="1">IFERROR(OFFSET(Camp_List[Status],MATCH(Data_NFI_t[[#This Row],[Camp Name]],Camp_List[Camp Name],0)-1,0,1,1),"")</f>
        <v>Relocated</v>
      </c>
      <c r="AO116" s="131"/>
    </row>
    <row r="117" spans="1:41" s="90" customFormat="1" ht="19.5" customHeight="1" x14ac:dyDescent="0.25">
      <c r="A117" s="242">
        <f t="shared" si="3"/>
        <v>27.333333333333332</v>
      </c>
      <c r="B117" s="242">
        <f>YEAR(Data_NFI_t[[#This Row],[Distribution Date]])</f>
        <v>2015</v>
      </c>
      <c r="C117" s="913">
        <v>42036</v>
      </c>
      <c r="D117" s="489" t="s">
        <v>706</v>
      </c>
      <c r="E117" s="488" t="s">
        <v>706</v>
      </c>
      <c r="F117" s="489" t="s">
        <v>7</v>
      </c>
      <c r="G117" s="790" t="s">
        <v>866</v>
      </c>
      <c r="H117" s="790" t="s">
        <v>38</v>
      </c>
      <c r="I117" s="790">
        <v>682</v>
      </c>
      <c r="J117" s="51"/>
      <c r="K117" s="51"/>
      <c r="L117" s="51"/>
      <c r="M117" s="51"/>
      <c r="N117" s="51"/>
      <c r="O117" s="51"/>
      <c r="P117" s="51"/>
      <c r="Q117" s="51"/>
      <c r="R117" s="511"/>
      <c r="S117" s="51"/>
      <c r="T117" s="51"/>
      <c r="U117" s="51"/>
      <c r="V117" s="51"/>
      <c r="W117" s="51"/>
      <c r="X117" s="131">
        <f>IF(NFI_Expiration=1,IF($A117&lt;VLOOKUP(I$5,NFI,5,0),1,0)*Data_NFI_t[[#This Row],[Hygiene Kit]],0)</f>
        <v>0</v>
      </c>
      <c r="Y117" s="131">
        <f>IF(NFI_Expiration=1,IF($A117&lt;VLOOKUP(J$5,NFI,5,0),1,0)*Data_NFI_t[[#This Row],[NFI Core Kit]],0)</f>
        <v>0</v>
      </c>
      <c r="Z117" s="112">
        <f>IF(NFI_Expiration=1,IF($A117&lt;VLOOKUP(K$5,NFI,5,0),1,0)*Data_NFI_t[[#This Row],[Sanitary Kit]],0)</f>
        <v>0</v>
      </c>
      <c r="AA117" s="112">
        <f>IF(NFI_Expiration=1,IF($A117&lt;VLOOKUP(L$5,NFI,5,0),1,0)*Data_NFI_t[[#This Row],[Mosquito net]],0)</f>
        <v>0</v>
      </c>
      <c r="AB117" s="112">
        <f>IF(NFI_Expiration=1,IF($A117&lt;VLOOKUP(M$5,NFI,5,0),1,0)*Data_NFI_t[[#This Row],[Tarpaulin]],0)</f>
        <v>0</v>
      </c>
      <c r="AC117" s="112">
        <f>IF(NFI_Expiration=1,IF($A117&lt;VLOOKUP(N$5,NFI,5,0),1,0)*Data_NFI_t[[#This Row],[Blanket]],0)</f>
        <v>0</v>
      </c>
      <c r="AD117" s="112">
        <f>IF(NFI_Expiration=1,IF($A117&lt;VLOOKUP(O$5,NFI,5,0),1,0)*Data_NFI_t[[#This Row],[Kitchen Set]],0)</f>
        <v>0</v>
      </c>
      <c r="AE117" s="112">
        <f>IF(NFI_Expiration=1,IF($A117&lt;VLOOKUP(P$5,NFI,5,0),1,0)*Data_NFI_t[[#This Row],[Complementary Kit]],0)</f>
        <v>0</v>
      </c>
      <c r="AF117" s="112">
        <f>IF(NFI_Expiration=1,IF($A117&lt;VLOOKUP(Q$5,NFI,5,0),1,0)*Data_NFI_t[[#This Row],[Plastic Bucket]],0)</f>
        <v>0</v>
      </c>
      <c r="AG117" s="112">
        <f>IF(NFI_Expiration=1,IF($A117&lt;VLOOKUP(R$5,NFI,5,0),1,0)*Data_NFI_t[[#This Row],[Jerry Can]],0)</f>
        <v>0</v>
      </c>
      <c r="AH117" s="131">
        <f>IF(NFI_Expiration=1,IF($A117&lt;VLOOKUP(S$5,NFI,5,0),1,0)*Data_NFI_t[[#This Row],[Plastic Mat]],0)*IF(Data_NFI_t[[#This Row],[Distribution Date]]&gt;"01-06-2015",1,2.5)</f>
        <v>0</v>
      </c>
      <c r="AI117" s="901">
        <f>IF(NFI_Expiration=1,IF($A117&lt;VLOOKUP(T$5,NFI,5,0),1,0)*Data_NFI_t[[#This Row],[Adult Clothes]],0)</f>
        <v>0</v>
      </c>
      <c r="AJ117" s="131">
        <f>IF(NFI_Expiration=1,IF($A117&lt;VLOOKUP(U$5,NFI,5,0),1,0)*Data_NFI_t[[#This Row],[Children Clothes]],0)</f>
        <v>0</v>
      </c>
      <c r="AK117" s="131">
        <f>IF(NFI_Expiration=1,IF($A117&lt;VLOOKUP(V$5,NFI,5,0),1,0)*Data_NFI_t[[#This Row],[Sewing Kit]],0)</f>
        <v>0</v>
      </c>
      <c r="AL117" s="901">
        <f>IF(NFI_Expiration=1,IF($A117&lt;VLOOKUP(V$5,NFI,5,0),1,0)*Data_NFI_t[[#This Row],[Solar Lantern]],0)</f>
        <v>0</v>
      </c>
      <c r="AM117" s="131" t="str">
        <f ca="1">IFERROR(OFFSET(Camp_List[P_Code],MATCH(Data_NFI_t[[#This Row],[Camp Name]],Camp_List[Camp Name],0)-1,0,1,1),"")</f>
        <v>MMR012CMP014</v>
      </c>
      <c r="AN117" s="513" t="str">
        <f ca="1">IFERROR(OFFSET(Camp_List[Status],MATCH(Data_NFI_t[[#This Row],[Camp Name]],Camp_List[Camp Name],0)-1,0,1,1),"")</f>
        <v>Open</v>
      </c>
      <c r="AO117" s="131"/>
    </row>
    <row r="118" spans="1:41" s="90" customFormat="1" ht="19.5" customHeight="1" x14ac:dyDescent="0.25">
      <c r="A118" s="242">
        <f t="shared" si="3"/>
        <v>27.433333333333334</v>
      </c>
      <c r="B118" s="242">
        <f>YEAR(Data_NFI_t[[#This Row],[Distribution Date]])</f>
        <v>2015</v>
      </c>
      <c r="C118" s="913">
        <v>42033</v>
      </c>
      <c r="D118" s="489" t="s">
        <v>285</v>
      </c>
      <c r="E118" s="488" t="s">
        <v>285</v>
      </c>
      <c r="F118" s="489" t="s">
        <v>7</v>
      </c>
      <c r="G118" s="790" t="s">
        <v>14</v>
      </c>
      <c r="H118" s="790" t="s">
        <v>42</v>
      </c>
      <c r="I118" s="790"/>
      <c r="J118" s="51">
        <v>101</v>
      </c>
      <c r="K118" s="51"/>
      <c r="L118" s="51">
        <v>1888</v>
      </c>
      <c r="M118" s="51">
        <v>944</v>
      </c>
      <c r="N118" s="51">
        <v>1888</v>
      </c>
      <c r="O118" s="51">
        <v>944</v>
      </c>
      <c r="P118" s="51"/>
      <c r="Q118" s="51">
        <v>944</v>
      </c>
      <c r="R118" s="511">
        <v>944</v>
      </c>
      <c r="S118" s="51">
        <v>4720</v>
      </c>
      <c r="T118" s="51"/>
      <c r="U118" s="51"/>
      <c r="V118" s="51"/>
      <c r="W118" s="51"/>
      <c r="X118" s="131">
        <f>IF(NFI_Expiration=1,IF($A118&lt;VLOOKUP(I$5,NFI,5,0),1,0)*Data_NFI_t[[#This Row],[Hygiene Kit]],0)</f>
        <v>0</v>
      </c>
      <c r="Y118" s="131">
        <f>IF(NFI_Expiration=1,IF($A118&lt;VLOOKUP(J$5,NFI,5,0),1,0)*Data_NFI_t[[#This Row],[NFI Core Kit]],0)</f>
        <v>0</v>
      </c>
      <c r="Z118" s="112">
        <f>IF(NFI_Expiration=1,IF($A118&lt;VLOOKUP(K$5,NFI,5,0),1,0)*Data_NFI_t[[#This Row],[Sanitary Kit]],0)</f>
        <v>0</v>
      </c>
      <c r="AA118" s="112">
        <f>IF(NFI_Expiration=1,IF($A118&lt;VLOOKUP(L$5,NFI,5,0),1,0)*Data_NFI_t[[#This Row],[Mosquito net]],0)</f>
        <v>0</v>
      </c>
      <c r="AB118" s="112">
        <f>IF(NFI_Expiration=1,IF($A118&lt;VLOOKUP(M$5,NFI,5,0),1,0)*Data_NFI_t[[#This Row],[Tarpaulin]],0)</f>
        <v>0</v>
      </c>
      <c r="AC118" s="112">
        <f>IF(NFI_Expiration=1,IF($A118&lt;VLOOKUP(N$5,NFI,5,0),1,0)*Data_NFI_t[[#This Row],[Blanket]],0)</f>
        <v>0</v>
      </c>
      <c r="AD118" s="112">
        <f>IF(NFI_Expiration=1,IF($A118&lt;VLOOKUP(O$5,NFI,5,0),1,0)*Data_NFI_t[[#This Row],[Kitchen Set]],0)</f>
        <v>0</v>
      </c>
      <c r="AE118" s="112">
        <f>IF(NFI_Expiration=1,IF($A118&lt;VLOOKUP(P$5,NFI,5,0),1,0)*Data_NFI_t[[#This Row],[Complementary Kit]],0)</f>
        <v>0</v>
      </c>
      <c r="AF118" s="112">
        <f>IF(NFI_Expiration=1,IF($A118&lt;VLOOKUP(Q$5,NFI,5,0),1,0)*Data_NFI_t[[#This Row],[Plastic Bucket]],0)</f>
        <v>0</v>
      </c>
      <c r="AG118" s="112">
        <f>IF(NFI_Expiration=1,IF($A118&lt;VLOOKUP(R$5,NFI,5,0),1,0)*Data_NFI_t[[#This Row],[Jerry Can]],0)</f>
        <v>0</v>
      </c>
      <c r="AH118" s="131">
        <f>IF(NFI_Expiration=1,IF($A118&lt;VLOOKUP(S$5,NFI,5,0),1,0)*Data_NFI_t[[#This Row],[Plastic Mat]],0)*IF(Data_NFI_t[[#This Row],[Distribution Date]]&gt;"01-06-2015",1,2.5)</f>
        <v>0</v>
      </c>
      <c r="AI118" s="901">
        <f>IF(NFI_Expiration=1,IF($A118&lt;VLOOKUP(T$5,NFI,5,0),1,0)*Data_NFI_t[[#This Row],[Adult Clothes]],0)</f>
        <v>0</v>
      </c>
      <c r="AJ118" s="131">
        <f>IF(NFI_Expiration=1,IF($A118&lt;VLOOKUP(U$5,NFI,5,0),1,0)*Data_NFI_t[[#This Row],[Children Clothes]],0)</f>
        <v>0</v>
      </c>
      <c r="AK118" s="131">
        <f>IF(NFI_Expiration=1,IF($A118&lt;VLOOKUP(V$5,NFI,5,0),1,0)*Data_NFI_t[[#This Row],[Sewing Kit]],0)</f>
        <v>0</v>
      </c>
      <c r="AL118" s="901">
        <f>IF(NFI_Expiration=1,IF($A118&lt;VLOOKUP(V$5,NFI,5,0),1,0)*Data_NFI_t[[#This Row],[Solar Lantern]],0)</f>
        <v>0</v>
      </c>
      <c r="AM118" s="131" t="str">
        <f ca="1">IFERROR(OFFSET(Camp_List[P_Code],MATCH(Data_NFI_t[[#This Row],[Camp Name]],Camp_List[Camp Name],0)-1,0,1,1),"")</f>
        <v>MMR012CMP018</v>
      </c>
      <c r="AN118" s="513" t="str">
        <f ca="1">IFERROR(OFFSET(Camp_List[Status],MATCH(Data_NFI_t[[#This Row],[Camp Name]],Camp_List[Camp Name],0)-1,0,1,1),"")</f>
        <v>Open</v>
      </c>
      <c r="AO118" s="131"/>
    </row>
    <row r="119" spans="1:41" s="90" customFormat="1" ht="19.5" customHeight="1" x14ac:dyDescent="0.25">
      <c r="A119" s="242">
        <f t="shared" si="3"/>
        <v>27.7</v>
      </c>
      <c r="B119" s="242">
        <v>2015</v>
      </c>
      <c r="C119" s="913">
        <v>42025</v>
      </c>
      <c r="D119" s="489" t="s">
        <v>285</v>
      </c>
      <c r="E119" s="488" t="s">
        <v>285</v>
      </c>
      <c r="F119" s="489" t="s">
        <v>7</v>
      </c>
      <c r="G119" s="790" t="s">
        <v>16</v>
      </c>
      <c r="H119" s="790" t="s">
        <v>604</v>
      </c>
      <c r="I119" s="790">
        <v>0</v>
      </c>
      <c r="J119" s="51">
        <v>0</v>
      </c>
      <c r="K119" s="51">
        <v>0</v>
      </c>
      <c r="L119" s="51">
        <v>0</v>
      </c>
      <c r="M119" s="51">
        <v>0</v>
      </c>
      <c r="N119" s="51">
        <v>700</v>
      </c>
      <c r="O119" s="51">
        <v>0</v>
      </c>
      <c r="P119" s="51">
        <v>0</v>
      </c>
      <c r="Q119" s="51">
        <v>350</v>
      </c>
      <c r="R119" s="511">
        <v>0</v>
      </c>
      <c r="S119" s="51">
        <v>1120</v>
      </c>
      <c r="T119" s="51"/>
      <c r="U119" s="51"/>
      <c r="V119" s="51"/>
      <c r="W119" s="51"/>
      <c r="X119" s="131">
        <f>IF(NFI_Expiration=1,IF($A119&lt;VLOOKUP(I$5,NFI,5,0),1,0)*Data_NFI_t[[#This Row],[Hygiene Kit]],0)</f>
        <v>0</v>
      </c>
      <c r="Y119" s="131">
        <f>IF(NFI_Expiration=1,IF($A119&lt;VLOOKUP(J$5,NFI,5,0),1,0)*Data_NFI_t[[#This Row],[NFI Core Kit]],0)</f>
        <v>0</v>
      </c>
      <c r="Z119" s="112">
        <f>IF(NFI_Expiration=1,IF($A119&lt;VLOOKUP(K$5,NFI,5,0),1,0)*Data_NFI_t[[#This Row],[Sanitary Kit]],0)</f>
        <v>0</v>
      </c>
      <c r="AA119" s="112">
        <f>IF(NFI_Expiration=1,IF($A119&lt;VLOOKUP(L$5,NFI,5,0),1,0)*Data_NFI_t[[#This Row],[Mosquito net]],0)</f>
        <v>0</v>
      </c>
      <c r="AB119" s="112">
        <f>IF(NFI_Expiration=1,IF($A119&lt;VLOOKUP(M$5,NFI,5,0),1,0)*Data_NFI_t[[#This Row],[Tarpaulin]],0)</f>
        <v>0</v>
      </c>
      <c r="AC119" s="112">
        <f>IF(NFI_Expiration=1,IF($A119&lt;VLOOKUP(N$5,NFI,5,0),1,0)*Data_NFI_t[[#This Row],[Blanket]],0)</f>
        <v>0</v>
      </c>
      <c r="AD119" s="112">
        <f>IF(NFI_Expiration=1,IF($A119&lt;VLOOKUP(O$5,NFI,5,0),1,0)*Data_NFI_t[[#This Row],[Kitchen Set]],0)</f>
        <v>0</v>
      </c>
      <c r="AE119" s="112">
        <f>IF(NFI_Expiration=1,IF($A119&lt;VLOOKUP(P$5,NFI,5,0),1,0)*Data_NFI_t[[#This Row],[Complementary Kit]],0)</f>
        <v>0</v>
      </c>
      <c r="AF119" s="112">
        <f>IF(NFI_Expiration=1,IF($A119&lt;VLOOKUP(Q$5,NFI,5,0),1,0)*Data_NFI_t[[#This Row],[Plastic Bucket]],0)</f>
        <v>0</v>
      </c>
      <c r="AG119" s="112">
        <f>IF(NFI_Expiration=1,IF($A119&lt;VLOOKUP(R$5,NFI,5,0),1,0)*Data_NFI_t[[#This Row],[Jerry Can]],0)</f>
        <v>0</v>
      </c>
      <c r="AH119" s="131">
        <f>IF(NFI_Expiration=1,IF($A119&lt;VLOOKUP(S$5,NFI,5,0),1,0)*Data_NFI_t[[#This Row],[Plastic Mat]],0)*IF(Data_NFI_t[[#This Row],[Distribution Date]]&gt;"01-06-2015",1,2.5)</f>
        <v>0</v>
      </c>
      <c r="AI119" s="901">
        <f>IF(NFI_Expiration=1,IF($A119&lt;VLOOKUP(T$5,NFI,5,0),1,0)*Data_NFI_t[[#This Row],[Adult Clothes]],0)</f>
        <v>0</v>
      </c>
      <c r="AJ119" s="131">
        <f>IF(NFI_Expiration=1,IF($A119&lt;VLOOKUP(U$5,NFI,5,0),1,0)*Data_NFI_t[[#This Row],[Children Clothes]],0)</f>
        <v>0</v>
      </c>
      <c r="AK119" s="131">
        <f>IF(NFI_Expiration=1,IF($A119&lt;VLOOKUP(V$5,NFI,5,0),1,0)*Data_NFI_t[[#This Row],[Sewing Kit]],0)</f>
        <v>0</v>
      </c>
      <c r="AL119" s="901">
        <f>IF(NFI_Expiration=1,IF($A119&lt;VLOOKUP(V$5,NFI,5,0),1,0)*Data_NFI_t[[#This Row],[Solar Lantern]],0)</f>
        <v>0</v>
      </c>
      <c r="AM119" s="131" t="str">
        <f ca="1">IFERROR(OFFSET(Camp_List[P_Code],MATCH(Data_NFI_t[[#This Row],[Camp Name]],Camp_List[Camp Name],0)-1,0,1,1),"")</f>
        <v>MMR012CMP033</v>
      </c>
      <c r="AN119" s="513" t="str">
        <f ca="1">IFERROR(OFFSET(Camp_List[Status],MATCH(Data_NFI_t[[#This Row],[Camp Name]],Camp_List[Camp Name],0)-1,0,1,1),"")</f>
        <v>Open</v>
      </c>
      <c r="AO119" s="131"/>
    </row>
    <row r="120" spans="1:41" s="90" customFormat="1" ht="19.5" customHeight="1" x14ac:dyDescent="0.25">
      <c r="A120" s="242">
        <f t="shared" si="3"/>
        <v>27.7</v>
      </c>
      <c r="B120" s="242">
        <v>2015</v>
      </c>
      <c r="C120" s="913">
        <v>42025</v>
      </c>
      <c r="D120" s="489" t="s">
        <v>285</v>
      </c>
      <c r="E120" s="488" t="s">
        <v>285</v>
      </c>
      <c r="F120" s="489" t="s">
        <v>7</v>
      </c>
      <c r="G120" s="790" t="s">
        <v>16</v>
      </c>
      <c r="H120" s="790" t="s">
        <v>400</v>
      </c>
      <c r="I120" s="790">
        <v>0</v>
      </c>
      <c r="J120" s="51">
        <v>0</v>
      </c>
      <c r="K120" s="51">
        <v>0</v>
      </c>
      <c r="L120" s="51">
        <v>0</v>
      </c>
      <c r="M120" s="51">
        <v>0</v>
      </c>
      <c r="N120" s="51">
        <v>534</v>
      </c>
      <c r="O120" s="51">
        <v>0</v>
      </c>
      <c r="P120" s="51">
        <v>0</v>
      </c>
      <c r="Q120" s="51">
        <v>267</v>
      </c>
      <c r="R120" s="511"/>
      <c r="S120" s="51">
        <v>1010</v>
      </c>
      <c r="T120" s="51"/>
      <c r="U120" s="51"/>
      <c r="V120" s="51"/>
      <c r="W120" s="51"/>
      <c r="X120" s="131">
        <f>IF(NFI_Expiration=1,IF($A120&lt;VLOOKUP(I$5,NFI,5,0),1,0)*Data_NFI_t[[#This Row],[Hygiene Kit]],0)</f>
        <v>0</v>
      </c>
      <c r="Y120" s="131">
        <f>IF(NFI_Expiration=1,IF($A120&lt;VLOOKUP(J$5,NFI,5,0),1,0)*Data_NFI_t[[#This Row],[NFI Core Kit]],0)</f>
        <v>0</v>
      </c>
      <c r="Z120" s="112">
        <f>IF(NFI_Expiration=1,IF($A120&lt;VLOOKUP(K$5,NFI,5,0),1,0)*Data_NFI_t[[#This Row],[Sanitary Kit]],0)</f>
        <v>0</v>
      </c>
      <c r="AA120" s="112">
        <f>IF(NFI_Expiration=1,IF($A120&lt;VLOOKUP(L$5,NFI,5,0),1,0)*Data_NFI_t[[#This Row],[Mosquito net]],0)</f>
        <v>0</v>
      </c>
      <c r="AB120" s="112">
        <f>IF(NFI_Expiration=1,IF($A120&lt;VLOOKUP(M$5,NFI,5,0),1,0)*Data_NFI_t[[#This Row],[Tarpaulin]],0)</f>
        <v>0</v>
      </c>
      <c r="AC120" s="112">
        <f>IF(NFI_Expiration=1,IF($A120&lt;VLOOKUP(N$5,NFI,5,0),1,0)*Data_NFI_t[[#This Row],[Blanket]],0)</f>
        <v>0</v>
      </c>
      <c r="AD120" s="112">
        <f>IF(NFI_Expiration=1,IF($A120&lt;VLOOKUP(O$5,NFI,5,0),1,0)*Data_NFI_t[[#This Row],[Kitchen Set]],0)</f>
        <v>0</v>
      </c>
      <c r="AE120" s="112">
        <f>IF(NFI_Expiration=1,IF($A120&lt;VLOOKUP(P$5,NFI,5,0),1,0)*Data_NFI_t[[#This Row],[Complementary Kit]],0)</f>
        <v>0</v>
      </c>
      <c r="AF120" s="112">
        <f>IF(NFI_Expiration=1,IF($A120&lt;VLOOKUP(Q$5,NFI,5,0),1,0)*Data_NFI_t[[#This Row],[Plastic Bucket]],0)</f>
        <v>0</v>
      </c>
      <c r="AG120" s="112">
        <f>IF(NFI_Expiration=1,IF($A120&lt;VLOOKUP(R$5,NFI,5,0),1,0)*Data_NFI_t[[#This Row],[Jerry Can]],0)</f>
        <v>0</v>
      </c>
      <c r="AH120" s="131">
        <f>IF(NFI_Expiration=1,IF($A120&lt;VLOOKUP(S$5,NFI,5,0),1,0)*Data_NFI_t[[#This Row],[Plastic Mat]],0)*IF(Data_NFI_t[[#This Row],[Distribution Date]]&gt;"01-06-2015",1,2.5)</f>
        <v>0</v>
      </c>
      <c r="AI120" s="901">
        <f>IF(NFI_Expiration=1,IF($A120&lt;VLOOKUP(T$5,NFI,5,0),1,0)*Data_NFI_t[[#This Row],[Adult Clothes]],0)</f>
        <v>0</v>
      </c>
      <c r="AJ120" s="131">
        <f>IF(NFI_Expiration=1,IF($A120&lt;VLOOKUP(U$5,NFI,5,0),1,0)*Data_NFI_t[[#This Row],[Children Clothes]],0)</f>
        <v>0</v>
      </c>
      <c r="AK120" s="131">
        <f>IF(NFI_Expiration=1,IF($A120&lt;VLOOKUP(V$5,NFI,5,0),1,0)*Data_NFI_t[[#This Row],[Sewing Kit]],0)</f>
        <v>0</v>
      </c>
      <c r="AL120" s="901">
        <f>IF(NFI_Expiration=1,IF($A120&lt;VLOOKUP(V$5,NFI,5,0),1,0)*Data_NFI_t[[#This Row],[Solar Lantern]],0)</f>
        <v>0</v>
      </c>
      <c r="AM120" s="131" t="str">
        <f ca="1">IFERROR(OFFSET(Camp_List[P_Code],MATCH(Data_NFI_t[[#This Row],[Camp Name]],Camp_List[Camp Name],0)-1,0,1,1),"")</f>
        <v>MMR012CMP110</v>
      </c>
      <c r="AN120" s="513" t="str">
        <f ca="1">IFERROR(OFFSET(Camp_List[Status],MATCH(Data_NFI_t[[#This Row],[Camp Name]],Camp_List[Camp Name],0)-1,0,1,1),"")</f>
        <v>Open</v>
      </c>
      <c r="AO120" s="131"/>
    </row>
    <row r="121" spans="1:41" s="90" customFormat="1" ht="19.5" customHeight="1" x14ac:dyDescent="0.25">
      <c r="A121" s="242">
        <f t="shared" si="3"/>
        <v>28.2</v>
      </c>
      <c r="B121" s="242">
        <v>2015</v>
      </c>
      <c r="C121" s="913">
        <v>42010</v>
      </c>
      <c r="D121" s="489" t="s">
        <v>285</v>
      </c>
      <c r="E121" s="488" t="s">
        <v>285</v>
      </c>
      <c r="F121" s="489" t="s">
        <v>7</v>
      </c>
      <c r="G121" s="790" t="s">
        <v>20</v>
      </c>
      <c r="H121" s="790" t="s">
        <v>872</v>
      </c>
      <c r="I121" s="790">
        <v>16</v>
      </c>
      <c r="J121" s="51">
        <v>16</v>
      </c>
      <c r="K121" s="51">
        <v>16</v>
      </c>
      <c r="L121" s="51">
        <v>32</v>
      </c>
      <c r="M121" s="51">
        <v>0</v>
      </c>
      <c r="N121" s="51">
        <v>32</v>
      </c>
      <c r="O121" s="51">
        <v>8</v>
      </c>
      <c r="P121" s="51">
        <v>0</v>
      </c>
      <c r="Q121" s="51">
        <v>16</v>
      </c>
      <c r="R121" s="511">
        <v>16</v>
      </c>
      <c r="S121" s="51">
        <v>40</v>
      </c>
      <c r="T121" s="51"/>
      <c r="U121" s="51"/>
      <c r="V121" s="51"/>
      <c r="W121" s="51"/>
      <c r="X121" s="131">
        <f>IF(NFI_Expiration=1,IF($A121&lt;VLOOKUP(I$5,NFI,5,0),1,0)*Data_NFI_t[[#This Row],[Hygiene Kit]],0)</f>
        <v>0</v>
      </c>
      <c r="Y121" s="131">
        <f>IF(NFI_Expiration=1,IF($A121&lt;VLOOKUP(J$5,NFI,5,0),1,0)*Data_NFI_t[[#This Row],[NFI Core Kit]],0)</f>
        <v>0</v>
      </c>
      <c r="Z121" s="112">
        <f>IF(NFI_Expiration=1,IF($A121&lt;VLOOKUP(K$5,NFI,5,0),1,0)*Data_NFI_t[[#This Row],[Sanitary Kit]],0)</f>
        <v>0</v>
      </c>
      <c r="AA121" s="112">
        <f>IF(NFI_Expiration=1,IF($A121&lt;VLOOKUP(L$5,NFI,5,0),1,0)*Data_NFI_t[[#This Row],[Mosquito net]],0)</f>
        <v>0</v>
      </c>
      <c r="AB121" s="112">
        <f>IF(NFI_Expiration=1,IF($A121&lt;VLOOKUP(M$5,NFI,5,0),1,0)*Data_NFI_t[[#This Row],[Tarpaulin]],0)</f>
        <v>0</v>
      </c>
      <c r="AC121" s="112">
        <f>IF(NFI_Expiration=1,IF($A121&lt;VLOOKUP(N$5,NFI,5,0),1,0)*Data_NFI_t[[#This Row],[Blanket]],0)</f>
        <v>0</v>
      </c>
      <c r="AD121" s="112">
        <f>IF(NFI_Expiration=1,IF($A121&lt;VLOOKUP(O$5,NFI,5,0),1,0)*Data_NFI_t[[#This Row],[Kitchen Set]],0)</f>
        <v>0</v>
      </c>
      <c r="AE121" s="112">
        <f>IF(NFI_Expiration=1,IF($A121&lt;VLOOKUP(P$5,NFI,5,0),1,0)*Data_NFI_t[[#This Row],[Complementary Kit]],0)</f>
        <v>0</v>
      </c>
      <c r="AF121" s="112">
        <f>IF(NFI_Expiration=1,IF($A121&lt;VLOOKUP(Q$5,NFI,5,0),1,0)*Data_NFI_t[[#This Row],[Plastic Bucket]],0)</f>
        <v>0</v>
      </c>
      <c r="AG121" s="112">
        <f>IF(NFI_Expiration=1,IF($A121&lt;VLOOKUP(R$5,NFI,5,0),1,0)*Data_NFI_t[[#This Row],[Jerry Can]],0)</f>
        <v>0</v>
      </c>
      <c r="AH121" s="131">
        <f>IF(NFI_Expiration=1,IF($A121&lt;VLOOKUP(S$5,NFI,5,0),1,0)*Data_NFI_t[[#This Row],[Plastic Mat]],0)*IF(Data_NFI_t[[#This Row],[Distribution Date]]&gt;"01-06-2015",1,2.5)</f>
        <v>0</v>
      </c>
      <c r="AI121" s="901">
        <f>IF(NFI_Expiration=1,IF($A121&lt;VLOOKUP(T$5,NFI,5,0),1,0)*Data_NFI_t[[#This Row],[Adult Clothes]],0)</f>
        <v>0</v>
      </c>
      <c r="AJ121" s="131">
        <f>IF(NFI_Expiration=1,IF($A121&lt;VLOOKUP(U$5,NFI,5,0),1,0)*Data_NFI_t[[#This Row],[Children Clothes]],0)</f>
        <v>0</v>
      </c>
      <c r="AK121" s="131">
        <f>IF(NFI_Expiration=1,IF($A121&lt;VLOOKUP(V$5,NFI,5,0),1,0)*Data_NFI_t[[#This Row],[Sewing Kit]],0)</f>
        <v>0</v>
      </c>
      <c r="AL121" s="901">
        <f>IF(NFI_Expiration=1,IF($A121&lt;VLOOKUP(V$5,NFI,5,0),1,0)*Data_NFI_t[[#This Row],[Solar Lantern]],0)</f>
        <v>0</v>
      </c>
      <c r="AM121" s="131" t="str">
        <f ca="1">IFERROR(OFFSET(Camp_List[P_Code],MATCH(Data_NFI_t[[#This Row],[Camp Name]],Camp_List[Camp Name],0)-1,0,1,1),"")</f>
        <v>MMR012CMP094</v>
      </c>
      <c r="AN121" s="513" t="str">
        <f ca="1">IFERROR(OFFSET(Camp_List[Status],MATCH(Data_NFI_t[[#This Row],[Camp Name]],Camp_List[Camp Name],0)-1,0,1,1),"")</f>
        <v>Open</v>
      </c>
      <c r="AO121" s="131"/>
    </row>
    <row r="122" spans="1:41" s="90" customFormat="1" ht="19.5" customHeight="1" x14ac:dyDescent="0.25">
      <c r="A122" s="242">
        <f t="shared" si="3"/>
        <v>28.2</v>
      </c>
      <c r="B122" s="242">
        <v>2015</v>
      </c>
      <c r="C122" s="913">
        <v>42010</v>
      </c>
      <c r="D122" s="489" t="s">
        <v>285</v>
      </c>
      <c r="E122" s="488" t="s">
        <v>285</v>
      </c>
      <c r="F122" s="489" t="s">
        <v>7</v>
      </c>
      <c r="G122" s="790" t="s">
        <v>20</v>
      </c>
      <c r="H122" s="790" t="s">
        <v>106</v>
      </c>
      <c r="I122" s="790">
        <v>36</v>
      </c>
      <c r="J122" s="51">
        <v>36</v>
      </c>
      <c r="K122" s="51">
        <v>36</v>
      </c>
      <c r="L122" s="51">
        <v>72</v>
      </c>
      <c r="M122" s="51">
        <v>0</v>
      </c>
      <c r="N122" s="51">
        <v>72</v>
      </c>
      <c r="O122" s="51">
        <v>19</v>
      </c>
      <c r="P122" s="51">
        <v>0</v>
      </c>
      <c r="Q122" s="51">
        <v>36</v>
      </c>
      <c r="R122" s="511">
        <v>36</v>
      </c>
      <c r="S122" s="51">
        <v>95</v>
      </c>
      <c r="T122" s="51"/>
      <c r="U122" s="51"/>
      <c r="V122" s="51"/>
      <c r="W122" s="51"/>
      <c r="X122" s="131">
        <f>IF(NFI_Expiration=1,IF($A122&lt;VLOOKUP(I$5,NFI,5,0),1,0)*Data_NFI_t[[#This Row],[Hygiene Kit]],0)</f>
        <v>0</v>
      </c>
      <c r="Y122" s="131">
        <f>IF(NFI_Expiration=1,IF($A122&lt;VLOOKUP(J$5,NFI,5,0),1,0)*Data_NFI_t[[#This Row],[NFI Core Kit]],0)</f>
        <v>0</v>
      </c>
      <c r="Z122" s="112">
        <f>IF(NFI_Expiration=1,IF($A122&lt;VLOOKUP(K$5,NFI,5,0),1,0)*Data_NFI_t[[#This Row],[Sanitary Kit]],0)</f>
        <v>0</v>
      </c>
      <c r="AA122" s="112">
        <f>IF(NFI_Expiration=1,IF($A122&lt;VLOOKUP(L$5,NFI,5,0),1,0)*Data_NFI_t[[#This Row],[Mosquito net]],0)</f>
        <v>0</v>
      </c>
      <c r="AB122" s="112">
        <f>IF(NFI_Expiration=1,IF($A122&lt;VLOOKUP(M$5,NFI,5,0),1,0)*Data_NFI_t[[#This Row],[Tarpaulin]],0)</f>
        <v>0</v>
      </c>
      <c r="AC122" s="112">
        <f>IF(NFI_Expiration=1,IF($A122&lt;VLOOKUP(N$5,NFI,5,0),1,0)*Data_NFI_t[[#This Row],[Blanket]],0)</f>
        <v>0</v>
      </c>
      <c r="AD122" s="112">
        <f>IF(NFI_Expiration=1,IF($A122&lt;VLOOKUP(O$5,NFI,5,0),1,0)*Data_NFI_t[[#This Row],[Kitchen Set]],0)</f>
        <v>0</v>
      </c>
      <c r="AE122" s="112">
        <f>IF(NFI_Expiration=1,IF($A122&lt;VLOOKUP(P$5,NFI,5,0),1,0)*Data_NFI_t[[#This Row],[Complementary Kit]],0)</f>
        <v>0</v>
      </c>
      <c r="AF122" s="112">
        <f>IF(NFI_Expiration=1,IF($A122&lt;VLOOKUP(Q$5,NFI,5,0),1,0)*Data_NFI_t[[#This Row],[Plastic Bucket]],0)</f>
        <v>0</v>
      </c>
      <c r="AG122" s="112">
        <f>IF(NFI_Expiration=1,IF($A122&lt;VLOOKUP(R$5,NFI,5,0),1,0)*Data_NFI_t[[#This Row],[Jerry Can]],0)</f>
        <v>0</v>
      </c>
      <c r="AH122" s="131">
        <f>IF(NFI_Expiration=1,IF($A122&lt;VLOOKUP(S$5,NFI,5,0),1,0)*Data_NFI_t[[#This Row],[Plastic Mat]],0)*IF(Data_NFI_t[[#This Row],[Distribution Date]]&gt;"01-06-2015",1,2.5)</f>
        <v>0</v>
      </c>
      <c r="AI122" s="901">
        <f>IF(NFI_Expiration=1,IF($A122&lt;VLOOKUP(T$5,NFI,5,0),1,0)*Data_NFI_t[[#This Row],[Adult Clothes]],0)</f>
        <v>0</v>
      </c>
      <c r="AJ122" s="131">
        <f>IF(NFI_Expiration=1,IF($A122&lt;VLOOKUP(U$5,NFI,5,0),1,0)*Data_NFI_t[[#This Row],[Children Clothes]],0)</f>
        <v>0</v>
      </c>
      <c r="AK122" s="131">
        <f>IF(NFI_Expiration=1,IF($A122&lt;VLOOKUP(V$5,NFI,5,0),1,0)*Data_NFI_t[[#This Row],[Sewing Kit]],0)</f>
        <v>0</v>
      </c>
      <c r="AL122" s="901">
        <f>IF(NFI_Expiration=1,IF($A122&lt;VLOOKUP(V$5,NFI,5,0),1,0)*Data_NFI_t[[#This Row],[Solar Lantern]],0)</f>
        <v>0</v>
      </c>
      <c r="AM122" s="131" t="str">
        <f ca="1">IFERROR(OFFSET(Camp_List[P_Code],MATCH(Data_NFI_t[[#This Row],[Camp Name]],Camp_List[Camp Name],0)-1,0,1,1),"")</f>
        <v>MMR012CMP085</v>
      </c>
      <c r="AN122" s="513" t="str">
        <f ca="1">IFERROR(OFFSET(Camp_List[Status],MATCH(Data_NFI_t[[#This Row],[Camp Name]],Camp_List[Camp Name],0)-1,0,1,1),"")</f>
        <v>Open</v>
      </c>
      <c r="AO122" s="131"/>
    </row>
    <row r="123" spans="1:41" s="90" customFormat="1" ht="19.5" customHeight="1" x14ac:dyDescent="0.25">
      <c r="A123" s="242">
        <f t="shared" si="3"/>
        <v>28.2</v>
      </c>
      <c r="B123" s="242">
        <v>2015</v>
      </c>
      <c r="C123" s="913">
        <v>42010</v>
      </c>
      <c r="D123" s="489" t="s">
        <v>285</v>
      </c>
      <c r="E123" s="488" t="s">
        <v>285</v>
      </c>
      <c r="F123" s="489" t="s">
        <v>7</v>
      </c>
      <c r="G123" s="790" t="s">
        <v>20</v>
      </c>
      <c r="H123" s="790" t="s">
        <v>938</v>
      </c>
      <c r="I123" s="790">
        <v>39</v>
      </c>
      <c r="J123" s="51">
        <v>39</v>
      </c>
      <c r="K123" s="51">
        <v>39</v>
      </c>
      <c r="L123" s="51">
        <v>78</v>
      </c>
      <c r="M123" s="51">
        <v>0</v>
      </c>
      <c r="N123" s="51">
        <v>78</v>
      </c>
      <c r="O123" s="51">
        <v>28</v>
      </c>
      <c r="P123" s="51">
        <v>0</v>
      </c>
      <c r="Q123" s="51">
        <v>39</v>
      </c>
      <c r="R123" s="511">
        <v>39</v>
      </c>
      <c r="S123" s="51">
        <v>40</v>
      </c>
      <c r="T123" s="51"/>
      <c r="U123" s="51"/>
      <c r="V123" s="51"/>
      <c r="W123" s="51"/>
      <c r="X123" s="131">
        <f>IF(NFI_Expiration=1,IF($A123&lt;VLOOKUP(I$5,NFI,5,0),1,0)*Data_NFI_t[[#This Row],[Hygiene Kit]],0)</f>
        <v>0</v>
      </c>
      <c r="Y123" s="131">
        <f>IF(NFI_Expiration=1,IF($A123&lt;VLOOKUP(J$5,NFI,5,0),1,0)*Data_NFI_t[[#This Row],[NFI Core Kit]],0)</f>
        <v>0</v>
      </c>
      <c r="Z123" s="112">
        <f>IF(NFI_Expiration=1,IF($A123&lt;VLOOKUP(K$5,NFI,5,0),1,0)*Data_NFI_t[[#This Row],[Sanitary Kit]],0)</f>
        <v>0</v>
      </c>
      <c r="AA123" s="112">
        <f>IF(NFI_Expiration=1,IF($A123&lt;VLOOKUP(L$5,NFI,5,0),1,0)*Data_NFI_t[[#This Row],[Mosquito net]],0)</f>
        <v>0</v>
      </c>
      <c r="AB123" s="112">
        <f>IF(NFI_Expiration=1,IF($A123&lt;VLOOKUP(M$5,NFI,5,0),1,0)*Data_NFI_t[[#This Row],[Tarpaulin]],0)</f>
        <v>0</v>
      </c>
      <c r="AC123" s="112">
        <f>IF(NFI_Expiration=1,IF($A123&lt;VLOOKUP(N$5,NFI,5,0),1,0)*Data_NFI_t[[#This Row],[Blanket]],0)</f>
        <v>0</v>
      </c>
      <c r="AD123" s="112">
        <f>IF(NFI_Expiration=1,IF($A123&lt;VLOOKUP(O$5,NFI,5,0),1,0)*Data_NFI_t[[#This Row],[Kitchen Set]],0)</f>
        <v>0</v>
      </c>
      <c r="AE123" s="112">
        <f>IF(NFI_Expiration=1,IF($A123&lt;VLOOKUP(P$5,NFI,5,0),1,0)*Data_NFI_t[[#This Row],[Complementary Kit]],0)</f>
        <v>0</v>
      </c>
      <c r="AF123" s="112">
        <f>IF(NFI_Expiration=1,IF($A123&lt;VLOOKUP(Q$5,NFI,5,0),1,0)*Data_NFI_t[[#This Row],[Plastic Bucket]],0)</f>
        <v>0</v>
      </c>
      <c r="AG123" s="112">
        <f>IF(NFI_Expiration=1,IF($A123&lt;VLOOKUP(R$5,NFI,5,0),1,0)*Data_NFI_t[[#This Row],[Jerry Can]],0)</f>
        <v>0</v>
      </c>
      <c r="AH123" s="131">
        <f>IF(NFI_Expiration=1,IF($A123&lt;VLOOKUP(S$5,NFI,5,0),1,0)*Data_NFI_t[[#This Row],[Plastic Mat]],0)*IF(Data_NFI_t[[#This Row],[Distribution Date]]&gt;"01-06-2015",1,2.5)</f>
        <v>0</v>
      </c>
      <c r="AI123" s="901">
        <f>IF(NFI_Expiration=1,IF($A123&lt;VLOOKUP(T$5,NFI,5,0),1,0)*Data_NFI_t[[#This Row],[Adult Clothes]],0)</f>
        <v>0</v>
      </c>
      <c r="AJ123" s="131">
        <f>IF(NFI_Expiration=1,IF($A123&lt;VLOOKUP(U$5,NFI,5,0),1,0)*Data_NFI_t[[#This Row],[Children Clothes]],0)</f>
        <v>0</v>
      </c>
      <c r="AK123" s="131">
        <f>IF(NFI_Expiration=1,IF($A123&lt;VLOOKUP(V$5,NFI,5,0),1,0)*Data_NFI_t[[#This Row],[Sewing Kit]],0)</f>
        <v>0</v>
      </c>
      <c r="AL123" s="901">
        <f>IF(NFI_Expiration=1,IF($A123&lt;VLOOKUP(V$5,NFI,5,0),1,0)*Data_NFI_t[[#This Row],[Solar Lantern]],0)</f>
        <v>0</v>
      </c>
      <c r="AM123" s="131" t="str">
        <f ca="1">IFERROR(OFFSET(Camp_List[P_Code],MATCH(Data_NFI_t[[#This Row],[Camp Name]],Camp_List[Camp Name],0)-1,0,1,1),"")</f>
        <v/>
      </c>
      <c r="AN123" s="513" t="str">
        <f ca="1">IFERROR(OFFSET(Camp_List[Status],MATCH(Data_NFI_t[[#This Row],[Camp Name]],Camp_List[Camp Name],0)-1,0,1,1),"")</f>
        <v/>
      </c>
      <c r="AO123" s="131"/>
    </row>
    <row r="124" spans="1:41" s="90" customFormat="1" ht="19.5" customHeight="1" x14ac:dyDescent="0.25">
      <c r="A124" s="242">
        <f t="shared" si="3"/>
        <v>28.366666666666667</v>
      </c>
      <c r="B124" s="242">
        <f>YEAR(Data_NFI_t[[#This Row],[Distribution Date]])</f>
        <v>2015</v>
      </c>
      <c r="C124" s="913">
        <v>42005</v>
      </c>
      <c r="D124" s="489" t="s">
        <v>706</v>
      </c>
      <c r="E124" s="488" t="s">
        <v>706</v>
      </c>
      <c r="F124" s="489" t="s">
        <v>7</v>
      </c>
      <c r="G124" s="790" t="s">
        <v>866</v>
      </c>
      <c r="H124" s="790" t="s">
        <v>37</v>
      </c>
      <c r="I124" s="790">
        <v>42</v>
      </c>
      <c r="J124" s="51"/>
      <c r="K124" s="51"/>
      <c r="L124" s="51"/>
      <c r="M124" s="51"/>
      <c r="N124" s="51"/>
      <c r="O124" s="51"/>
      <c r="P124" s="51"/>
      <c r="Q124" s="51"/>
      <c r="R124" s="511"/>
      <c r="S124" s="51"/>
      <c r="T124" s="51"/>
      <c r="U124" s="51"/>
      <c r="V124" s="51"/>
      <c r="W124" s="51"/>
      <c r="X124" s="131">
        <f>IF(NFI_Expiration=1,IF($A124&lt;VLOOKUP(I$5,NFI,5,0),1,0)*Data_NFI_t[[#This Row],[Hygiene Kit]],0)</f>
        <v>0</v>
      </c>
      <c r="Y124" s="131">
        <f>IF(NFI_Expiration=1,IF($A124&lt;VLOOKUP(J$5,NFI,5,0),1,0)*Data_NFI_t[[#This Row],[NFI Core Kit]],0)</f>
        <v>0</v>
      </c>
      <c r="Z124" s="112">
        <f>IF(NFI_Expiration=1,IF($A124&lt;VLOOKUP(K$5,NFI,5,0),1,0)*Data_NFI_t[[#This Row],[Sanitary Kit]],0)</f>
        <v>0</v>
      </c>
      <c r="AA124" s="112">
        <f>IF(NFI_Expiration=1,IF($A124&lt;VLOOKUP(L$5,NFI,5,0),1,0)*Data_NFI_t[[#This Row],[Mosquito net]],0)</f>
        <v>0</v>
      </c>
      <c r="AB124" s="112">
        <f>IF(NFI_Expiration=1,IF($A124&lt;VLOOKUP(M$5,NFI,5,0),1,0)*Data_NFI_t[[#This Row],[Tarpaulin]],0)</f>
        <v>0</v>
      </c>
      <c r="AC124" s="112">
        <f>IF(NFI_Expiration=1,IF($A124&lt;VLOOKUP(N$5,NFI,5,0),1,0)*Data_NFI_t[[#This Row],[Blanket]],0)</f>
        <v>0</v>
      </c>
      <c r="AD124" s="112">
        <f>IF(NFI_Expiration=1,IF($A124&lt;VLOOKUP(O$5,NFI,5,0),1,0)*Data_NFI_t[[#This Row],[Kitchen Set]],0)</f>
        <v>0</v>
      </c>
      <c r="AE124" s="112">
        <f>IF(NFI_Expiration=1,IF($A124&lt;VLOOKUP(P$5,NFI,5,0),1,0)*Data_NFI_t[[#This Row],[Complementary Kit]],0)</f>
        <v>0</v>
      </c>
      <c r="AF124" s="112">
        <f>IF(NFI_Expiration=1,IF($A124&lt;VLOOKUP(Q$5,NFI,5,0),1,0)*Data_NFI_t[[#This Row],[Plastic Bucket]],0)</f>
        <v>0</v>
      </c>
      <c r="AG124" s="112">
        <f>IF(NFI_Expiration=1,IF($A124&lt;VLOOKUP(R$5,NFI,5,0),1,0)*Data_NFI_t[[#This Row],[Jerry Can]],0)</f>
        <v>0</v>
      </c>
      <c r="AH124" s="131">
        <f>IF(NFI_Expiration=1,IF($A124&lt;VLOOKUP(S$5,NFI,5,0),1,0)*Data_NFI_t[[#This Row],[Plastic Mat]],0)*IF(Data_NFI_t[[#This Row],[Distribution Date]]&gt;"01-06-2015",1,2.5)</f>
        <v>0</v>
      </c>
      <c r="AI124" s="901">
        <f>IF(NFI_Expiration=1,IF($A124&lt;VLOOKUP(T$5,NFI,5,0),1,0)*Data_NFI_t[[#This Row],[Adult Clothes]],0)</f>
        <v>0</v>
      </c>
      <c r="AJ124" s="131">
        <f>IF(NFI_Expiration=1,IF($A124&lt;VLOOKUP(U$5,NFI,5,0),1,0)*Data_NFI_t[[#This Row],[Children Clothes]],0)</f>
        <v>0</v>
      </c>
      <c r="AK124" s="131">
        <f>IF(NFI_Expiration=1,IF($A124&lt;VLOOKUP(V$5,NFI,5,0),1,0)*Data_NFI_t[[#This Row],[Sewing Kit]],0)</f>
        <v>0</v>
      </c>
      <c r="AL124" s="901">
        <f>IF(NFI_Expiration=1,IF($A124&lt;VLOOKUP(V$5,NFI,5,0),1,0)*Data_NFI_t[[#This Row],[Solar Lantern]],0)</f>
        <v>0</v>
      </c>
      <c r="AM124" s="131" t="str">
        <f ca="1">IFERROR(OFFSET(Camp_List[P_Code],MATCH(Data_NFI_t[[#This Row],[Camp Name]],Camp_List[Camp Name],0)-1,0,1,1),"")</f>
        <v>MMR012CMP013</v>
      </c>
      <c r="AN124" s="513" t="str">
        <f ca="1">IFERROR(OFFSET(Camp_List[Status],MATCH(Data_NFI_t[[#This Row],[Camp Name]],Camp_List[Camp Name],0)-1,0,1,1),"")</f>
        <v>Relocated</v>
      </c>
      <c r="AO124" s="131"/>
    </row>
    <row r="125" spans="1:41" s="90" customFormat="1" ht="19.5" customHeight="1" x14ac:dyDescent="0.25">
      <c r="A125" s="242">
        <f t="shared" si="3"/>
        <v>28.366666666666667</v>
      </c>
      <c r="B125" s="242">
        <f>YEAR(Data_NFI_t[[#This Row],[Distribution Date]])</f>
        <v>2015</v>
      </c>
      <c r="C125" s="913">
        <v>42005</v>
      </c>
      <c r="D125" s="489" t="s">
        <v>706</v>
      </c>
      <c r="E125" s="488" t="s">
        <v>706</v>
      </c>
      <c r="F125" s="489" t="s">
        <v>7</v>
      </c>
      <c r="G125" s="790" t="s">
        <v>866</v>
      </c>
      <c r="H125" s="790" t="s">
        <v>38</v>
      </c>
      <c r="I125" s="790">
        <v>682</v>
      </c>
      <c r="J125" s="51"/>
      <c r="K125" s="51"/>
      <c r="L125" s="51"/>
      <c r="M125" s="51"/>
      <c r="N125" s="51"/>
      <c r="O125" s="51"/>
      <c r="P125" s="51"/>
      <c r="Q125" s="51"/>
      <c r="R125" s="511"/>
      <c r="S125" s="51"/>
      <c r="T125" s="51"/>
      <c r="U125" s="51"/>
      <c r="V125" s="51"/>
      <c r="W125" s="51"/>
      <c r="X125" s="131">
        <f>IF(NFI_Expiration=1,IF($A125&lt;VLOOKUP(I$5,NFI,5,0),1,0)*Data_NFI_t[[#This Row],[Hygiene Kit]],0)</f>
        <v>0</v>
      </c>
      <c r="Y125" s="131">
        <f>IF(NFI_Expiration=1,IF($A125&lt;VLOOKUP(J$5,NFI,5,0),1,0)*Data_NFI_t[[#This Row],[NFI Core Kit]],0)</f>
        <v>0</v>
      </c>
      <c r="Z125" s="112">
        <f>IF(NFI_Expiration=1,IF($A125&lt;VLOOKUP(K$5,NFI,5,0),1,0)*Data_NFI_t[[#This Row],[Sanitary Kit]],0)</f>
        <v>0</v>
      </c>
      <c r="AA125" s="112">
        <f>IF(NFI_Expiration=1,IF($A125&lt;VLOOKUP(L$5,NFI,5,0),1,0)*Data_NFI_t[[#This Row],[Mosquito net]],0)</f>
        <v>0</v>
      </c>
      <c r="AB125" s="112">
        <f>IF(NFI_Expiration=1,IF($A125&lt;VLOOKUP(M$5,NFI,5,0),1,0)*Data_NFI_t[[#This Row],[Tarpaulin]],0)</f>
        <v>0</v>
      </c>
      <c r="AC125" s="112">
        <f>IF(NFI_Expiration=1,IF($A125&lt;VLOOKUP(N$5,NFI,5,0),1,0)*Data_NFI_t[[#This Row],[Blanket]],0)</f>
        <v>0</v>
      </c>
      <c r="AD125" s="112">
        <f>IF(NFI_Expiration=1,IF($A125&lt;VLOOKUP(O$5,NFI,5,0),1,0)*Data_NFI_t[[#This Row],[Kitchen Set]],0)</f>
        <v>0</v>
      </c>
      <c r="AE125" s="112">
        <f>IF(NFI_Expiration=1,IF($A125&lt;VLOOKUP(P$5,NFI,5,0),1,0)*Data_NFI_t[[#This Row],[Complementary Kit]],0)</f>
        <v>0</v>
      </c>
      <c r="AF125" s="112">
        <f>IF(NFI_Expiration=1,IF($A125&lt;VLOOKUP(Q$5,NFI,5,0),1,0)*Data_NFI_t[[#This Row],[Plastic Bucket]],0)</f>
        <v>0</v>
      </c>
      <c r="AG125" s="112">
        <f>IF(NFI_Expiration=1,IF($A125&lt;VLOOKUP(R$5,NFI,5,0),1,0)*Data_NFI_t[[#This Row],[Jerry Can]],0)</f>
        <v>0</v>
      </c>
      <c r="AH125" s="131">
        <f>IF(NFI_Expiration=1,IF($A125&lt;VLOOKUP(S$5,NFI,5,0),1,0)*Data_NFI_t[[#This Row],[Plastic Mat]],0)*IF(Data_NFI_t[[#This Row],[Distribution Date]]&gt;"01-06-2015",1,2.5)</f>
        <v>0</v>
      </c>
      <c r="AI125" s="901">
        <f>IF(NFI_Expiration=1,IF($A125&lt;VLOOKUP(T$5,NFI,5,0),1,0)*Data_NFI_t[[#This Row],[Adult Clothes]],0)</f>
        <v>0</v>
      </c>
      <c r="AJ125" s="131">
        <f>IF(NFI_Expiration=1,IF($A125&lt;VLOOKUP(U$5,NFI,5,0),1,0)*Data_NFI_t[[#This Row],[Children Clothes]],0)</f>
        <v>0</v>
      </c>
      <c r="AK125" s="131">
        <f>IF(NFI_Expiration=1,IF($A125&lt;VLOOKUP(V$5,NFI,5,0),1,0)*Data_NFI_t[[#This Row],[Sewing Kit]],0)</f>
        <v>0</v>
      </c>
      <c r="AL125" s="901">
        <f>IF(NFI_Expiration=1,IF($A125&lt;VLOOKUP(V$5,NFI,5,0),1,0)*Data_NFI_t[[#This Row],[Solar Lantern]],0)</f>
        <v>0</v>
      </c>
      <c r="AM125" s="131" t="str">
        <f ca="1">IFERROR(OFFSET(Camp_List[P_Code],MATCH(Data_NFI_t[[#This Row],[Camp Name]],Camp_List[Camp Name],0)-1,0,1,1),"")</f>
        <v>MMR012CMP014</v>
      </c>
      <c r="AN125" s="513" t="str">
        <f ca="1">IFERROR(OFFSET(Camp_List[Status],MATCH(Data_NFI_t[[#This Row],[Camp Name]],Camp_List[Camp Name],0)-1,0,1,1),"")</f>
        <v>Open</v>
      </c>
      <c r="AO125" s="131"/>
    </row>
    <row r="126" spans="1:41" s="90" customFormat="1" ht="19.5" customHeight="1" x14ac:dyDescent="0.25">
      <c r="A126" s="242">
        <f t="shared" si="3"/>
        <v>28.666666666666668</v>
      </c>
      <c r="B126" s="242">
        <f>YEAR(Data_NFI_t[[#This Row],[Distribution Date]])</f>
        <v>2014</v>
      </c>
      <c r="C126" s="913">
        <v>41996</v>
      </c>
      <c r="D126" s="489" t="s">
        <v>285</v>
      </c>
      <c r="E126" s="488" t="s">
        <v>285</v>
      </c>
      <c r="F126" s="489" t="s">
        <v>7</v>
      </c>
      <c r="G126" s="790" t="s">
        <v>20</v>
      </c>
      <c r="H126" s="790" t="s">
        <v>103</v>
      </c>
      <c r="I126" s="790">
        <v>27</v>
      </c>
      <c r="J126" s="51">
        <v>27</v>
      </c>
      <c r="K126" s="51">
        <v>27</v>
      </c>
      <c r="L126" s="51">
        <v>54</v>
      </c>
      <c r="M126" s="51">
        <v>0</v>
      </c>
      <c r="N126" s="51">
        <v>54</v>
      </c>
      <c r="O126" s="51">
        <v>17</v>
      </c>
      <c r="P126" s="51">
        <v>0</v>
      </c>
      <c r="Q126" s="51">
        <v>27</v>
      </c>
      <c r="R126" s="511"/>
      <c r="S126" s="51">
        <v>85</v>
      </c>
      <c r="T126" s="51"/>
      <c r="U126" s="51"/>
      <c r="V126" s="51"/>
      <c r="W126" s="51"/>
      <c r="X126" s="131">
        <f>IF(NFI_Expiration=1,IF($A126&lt;VLOOKUP(I$5,NFI,5,0),1,0)*Data_NFI_t[[#This Row],[Hygiene Kit]],0)</f>
        <v>0</v>
      </c>
      <c r="Y126" s="131">
        <f>IF(NFI_Expiration=1,IF($A126&lt;VLOOKUP(J$5,NFI,5,0),1,0)*Data_NFI_t[[#This Row],[NFI Core Kit]],0)</f>
        <v>0</v>
      </c>
      <c r="Z126" s="112">
        <f>IF(NFI_Expiration=1,IF($A126&lt;VLOOKUP(K$5,NFI,5,0),1,0)*Data_NFI_t[[#This Row],[Sanitary Kit]],0)</f>
        <v>0</v>
      </c>
      <c r="AA126" s="112">
        <f>IF(NFI_Expiration=1,IF($A126&lt;VLOOKUP(L$5,NFI,5,0),1,0)*Data_NFI_t[[#This Row],[Mosquito net]],0)</f>
        <v>0</v>
      </c>
      <c r="AB126" s="112">
        <f>IF(NFI_Expiration=1,IF($A126&lt;VLOOKUP(M$5,NFI,5,0),1,0)*Data_NFI_t[[#This Row],[Tarpaulin]],0)</f>
        <v>0</v>
      </c>
      <c r="AC126" s="112">
        <f>IF(NFI_Expiration=1,IF($A126&lt;VLOOKUP(N$5,NFI,5,0),1,0)*Data_NFI_t[[#This Row],[Blanket]],0)</f>
        <v>0</v>
      </c>
      <c r="AD126" s="112">
        <f>IF(NFI_Expiration=1,IF($A126&lt;VLOOKUP(O$5,NFI,5,0),1,0)*Data_NFI_t[[#This Row],[Kitchen Set]],0)</f>
        <v>0</v>
      </c>
      <c r="AE126" s="112">
        <f>IF(NFI_Expiration=1,IF($A126&lt;VLOOKUP(P$5,NFI,5,0),1,0)*Data_NFI_t[[#This Row],[Complementary Kit]],0)</f>
        <v>0</v>
      </c>
      <c r="AF126" s="112">
        <f>IF(NFI_Expiration=1,IF($A126&lt;VLOOKUP(Q$5,NFI,5,0),1,0)*Data_NFI_t[[#This Row],[Plastic Bucket]],0)</f>
        <v>0</v>
      </c>
      <c r="AG126" s="112">
        <f>IF(NFI_Expiration=1,IF($A126&lt;VLOOKUP(R$5,NFI,5,0),1,0)*Data_NFI_t[[#This Row],[Jerry Can]],0)</f>
        <v>0</v>
      </c>
      <c r="AH126" s="131">
        <f>IF(NFI_Expiration=1,IF($A126&lt;VLOOKUP(S$5,NFI,5,0),1,0)*Data_NFI_t[[#This Row],[Plastic Mat]],0)*IF(Data_NFI_t[[#This Row],[Distribution Date]]&gt;"01-06-2015",1,2.5)</f>
        <v>0</v>
      </c>
      <c r="AI126" s="901">
        <f>IF(NFI_Expiration=1,IF($A126&lt;VLOOKUP(T$5,NFI,5,0),1,0)*Data_NFI_t[[#This Row],[Adult Clothes]],0)</f>
        <v>0</v>
      </c>
      <c r="AJ126" s="131">
        <f>IF(NFI_Expiration=1,IF($A126&lt;VLOOKUP(U$5,NFI,5,0),1,0)*Data_NFI_t[[#This Row],[Children Clothes]],0)</f>
        <v>0</v>
      </c>
      <c r="AK126" s="131">
        <f>IF(NFI_Expiration=1,IF($A126&lt;VLOOKUP(V$5,NFI,5,0),1,0)*Data_NFI_t[[#This Row],[Sewing Kit]],0)</f>
        <v>0</v>
      </c>
      <c r="AL126" s="901">
        <f>IF(NFI_Expiration=1,IF($A126&lt;VLOOKUP(V$5,NFI,5,0),1,0)*Data_NFI_t[[#This Row],[Solar Lantern]],0)</f>
        <v>0</v>
      </c>
      <c r="AM126" s="131" t="str">
        <f ca="1">IFERROR(OFFSET(Camp_List[P_Code],MATCH(Data_NFI_t[[#This Row],[Camp Name]],Camp_List[Camp Name],0)-1,0,1,1),"")</f>
        <v>MMR012CMP082</v>
      </c>
      <c r="AN126" s="513" t="str">
        <f ca="1">IFERROR(OFFSET(Camp_List[Status],MATCH(Data_NFI_t[[#This Row],[Camp Name]],Camp_List[Camp Name],0)-1,0,1,1),"")</f>
        <v>Returned</v>
      </c>
      <c r="AO126" s="131"/>
    </row>
    <row r="127" spans="1:41" s="90" customFormat="1" ht="19.5" customHeight="1" x14ac:dyDescent="0.25">
      <c r="A127" s="242">
        <f t="shared" si="3"/>
        <v>28.833333333333332</v>
      </c>
      <c r="B127" s="242">
        <f>YEAR(Data_NFI_t[[#This Row],[Distribution Date]])</f>
        <v>2014</v>
      </c>
      <c r="C127" s="913">
        <v>41991</v>
      </c>
      <c r="D127" s="489" t="s">
        <v>285</v>
      </c>
      <c r="E127" s="488" t="s">
        <v>285</v>
      </c>
      <c r="F127" s="489" t="s">
        <v>7</v>
      </c>
      <c r="G127" s="790" t="s">
        <v>20</v>
      </c>
      <c r="H127" s="790" t="s">
        <v>107</v>
      </c>
      <c r="I127" s="790">
        <v>108</v>
      </c>
      <c r="J127" s="51">
        <v>108</v>
      </c>
      <c r="K127" s="51">
        <v>108</v>
      </c>
      <c r="L127" s="51">
        <v>216</v>
      </c>
      <c r="M127" s="51">
        <v>0</v>
      </c>
      <c r="N127" s="51">
        <v>216</v>
      </c>
      <c r="O127" s="51">
        <v>68</v>
      </c>
      <c r="P127" s="51">
        <v>0</v>
      </c>
      <c r="Q127" s="51">
        <v>108</v>
      </c>
      <c r="R127" s="511"/>
      <c r="S127" s="51">
        <v>340</v>
      </c>
      <c r="T127" s="51"/>
      <c r="U127" s="51"/>
      <c r="V127" s="51"/>
      <c r="W127" s="51"/>
      <c r="X127" s="131">
        <f>IF(NFI_Expiration=1,IF($A127&lt;VLOOKUP(I$5,NFI,5,0),1,0)*Data_NFI_t[[#This Row],[Hygiene Kit]],0)</f>
        <v>0</v>
      </c>
      <c r="Y127" s="131">
        <f>IF(NFI_Expiration=1,IF($A127&lt;VLOOKUP(J$5,NFI,5,0),1,0)*Data_NFI_t[[#This Row],[NFI Core Kit]],0)</f>
        <v>0</v>
      </c>
      <c r="Z127" s="112">
        <f>IF(NFI_Expiration=1,IF($A127&lt;VLOOKUP(K$5,NFI,5,0),1,0)*Data_NFI_t[[#This Row],[Sanitary Kit]],0)</f>
        <v>0</v>
      </c>
      <c r="AA127" s="112">
        <f>IF(NFI_Expiration=1,IF($A127&lt;VLOOKUP(L$5,NFI,5,0),1,0)*Data_NFI_t[[#This Row],[Mosquito net]],0)</f>
        <v>0</v>
      </c>
      <c r="AB127" s="112">
        <f>IF(NFI_Expiration=1,IF($A127&lt;VLOOKUP(M$5,NFI,5,0),1,0)*Data_NFI_t[[#This Row],[Tarpaulin]],0)</f>
        <v>0</v>
      </c>
      <c r="AC127" s="112">
        <f>IF(NFI_Expiration=1,IF($A127&lt;VLOOKUP(N$5,NFI,5,0),1,0)*Data_NFI_t[[#This Row],[Blanket]],0)</f>
        <v>0</v>
      </c>
      <c r="AD127" s="112">
        <f>IF(NFI_Expiration=1,IF($A127&lt;VLOOKUP(O$5,NFI,5,0),1,0)*Data_NFI_t[[#This Row],[Kitchen Set]],0)</f>
        <v>0</v>
      </c>
      <c r="AE127" s="112">
        <f>IF(NFI_Expiration=1,IF($A127&lt;VLOOKUP(P$5,NFI,5,0),1,0)*Data_NFI_t[[#This Row],[Complementary Kit]],0)</f>
        <v>0</v>
      </c>
      <c r="AF127" s="112">
        <f>IF(NFI_Expiration=1,IF($A127&lt;VLOOKUP(Q$5,NFI,5,0),1,0)*Data_NFI_t[[#This Row],[Plastic Bucket]],0)</f>
        <v>0</v>
      </c>
      <c r="AG127" s="112">
        <f>IF(NFI_Expiration=1,IF($A127&lt;VLOOKUP(R$5,NFI,5,0),1,0)*Data_NFI_t[[#This Row],[Jerry Can]],0)</f>
        <v>0</v>
      </c>
      <c r="AH127" s="131">
        <f>IF(NFI_Expiration=1,IF($A127&lt;VLOOKUP(S$5,NFI,5,0),1,0)*Data_NFI_t[[#This Row],[Plastic Mat]],0)*IF(Data_NFI_t[[#This Row],[Distribution Date]]&gt;"01-06-2015",1,2.5)</f>
        <v>0</v>
      </c>
      <c r="AI127" s="901">
        <f>IF(NFI_Expiration=1,IF($A127&lt;VLOOKUP(T$5,NFI,5,0),1,0)*Data_NFI_t[[#This Row],[Adult Clothes]],0)</f>
        <v>0</v>
      </c>
      <c r="AJ127" s="131">
        <f>IF(NFI_Expiration=1,IF($A127&lt;VLOOKUP(U$5,NFI,5,0),1,0)*Data_NFI_t[[#This Row],[Children Clothes]],0)</f>
        <v>0</v>
      </c>
      <c r="AK127" s="131">
        <f>IF(NFI_Expiration=1,IF($A127&lt;VLOOKUP(V$5,NFI,5,0),1,0)*Data_NFI_t[[#This Row],[Sewing Kit]],0)</f>
        <v>0</v>
      </c>
      <c r="AL127" s="901">
        <f>IF(NFI_Expiration=1,IF($A127&lt;VLOOKUP(V$5,NFI,5,0),1,0)*Data_NFI_t[[#This Row],[Solar Lantern]],0)</f>
        <v>0</v>
      </c>
      <c r="AM127" s="131" t="str">
        <f ca="1">IFERROR(OFFSET(Camp_List[P_Code],MATCH(Data_NFI_t[[#This Row],[Camp Name]],Camp_List[Camp Name],0)-1,0,1,1),"")</f>
        <v>MMR012CMP086</v>
      </c>
      <c r="AN127" s="513" t="str">
        <f ca="1">IFERROR(OFFSET(Camp_List[Status],MATCH(Data_NFI_t[[#This Row],[Camp Name]],Camp_List[Camp Name],0)-1,0,1,1),"")</f>
        <v>Open</v>
      </c>
      <c r="AO127" s="131"/>
    </row>
    <row r="128" spans="1:41" s="90" customFormat="1" ht="19.5" customHeight="1" x14ac:dyDescent="0.25">
      <c r="A128" s="242">
        <f t="shared" si="3"/>
        <v>28.833333333333332</v>
      </c>
      <c r="B128" s="242">
        <f>YEAR(Data_NFI_t[[#This Row],[Distribution Date]])</f>
        <v>2014</v>
      </c>
      <c r="C128" s="913">
        <v>41991</v>
      </c>
      <c r="D128" s="489" t="s">
        <v>285</v>
      </c>
      <c r="E128" s="488" t="s">
        <v>285</v>
      </c>
      <c r="F128" s="489" t="s">
        <v>7</v>
      </c>
      <c r="G128" s="790" t="s">
        <v>20</v>
      </c>
      <c r="H128" s="790" t="s">
        <v>873</v>
      </c>
      <c r="I128" s="790">
        <v>164</v>
      </c>
      <c r="J128" s="51">
        <v>164</v>
      </c>
      <c r="K128" s="51">
        <v>164</v>
      </c>
      <c r="L128" s="51">
        <v>328</v>
      </c>
      <c r="M128" s="51">
        <v>0</v>
      </c>
      <c r="N128" s="51">
        <v>328</v>
      </c>
      <c r="O128" s="51">
        <v>92</v>
      </c>
      <c r="P128" s="51">
        <v>0</v>
      </c>
      <c r="Q128" s="51">
        <v>164</v>
      </c>
      <c r="R128" s="511"/>
      <c r="S128" s="51">
        <v>460</v>
      </c>
      <c r="T128" s="51"/>
      <c r="U128" s="51"/>
      <c r="V128" s="51"/>
      <c r="W128" s="51"/>
      <c r="X128" s="131">
        <f>IF(NFI_Expiration=1,IF($A128&lt;VLOOKUP(I$5,NFI,5,0),1,0)*Data_NFI_t[[#This Row],[Hygiene Kit]],0)</f>
        <v>0</v>
      </c>
      <c r="Y128" s="131">
        <f>IF(NFI_Expiration=1,IF($A128&lt;VLOOKUP(J$5,NFI,5,0),1,0)*Data_NFI_t[[#This Row],[NFI Core Kit]],0)</f>
        <v>0</v>
      </c>
      <c r="Z128" s="112">
        <f>IF(NFI_Expiration=1,IF($A128&lt;VLOOKUP(K$5,NFI,5,0),1,0)*Data_NFI_t[[#This Row],[Sanitary Kit]],0)</f>
        <v>0</v>
      </c>
      <c r="AA128" s="112">
        <f>IF(NFI_Expiration=1,IF($A128&lt;VLOOKUP(L$5,NFI,5,0),1,0)*Data_NFI_t[[#This Row],[Mosquito net]],0)</f>
        <v>0</v>
      </c>
      <c r="AB128" s="112">
        <f>IF(NFI_Expiration=1,IF($A128&lt;VLOOKUP(M$5,NFI,5,0),1,0)*Data_NFI_t[[#This Row],[Tarpaulin]],0)</f>
        <v>0</v>
      </c>
      <c r="AC128" s="112">
        <f>IF(NFI_Expiration=1,IF($A128&lt;VLOOKUP(N$5,NFI,5,0),1,0)*Data_NFI_t[[#This Row],[Blanket]],0)</f>
        <v>0</v>
      </c>
      <c r="AD128" s="112">
        <f>IF(NFI_Expiration=1,IF($A128&lt;VLOOKUP(O$5,NFI,5,0),1,0)*Data_NFI_t[[#This Row],[Kitchen Set]],0)</f>
        <v>0</v>
      </c>
      <c r="AE128" s="112">
        <f>IF(NFI_Expiration=1,IF($A128&lt;VLOOKUP(P$5,NFI,5,0),1,0)*Data_NFI_t[[#This Row],[Complementary Kit]],0)</f>
        <v>0</v>
      </c>
      <c r="AF128" s="112">
        <f>IF(NFI_Expiration=1,IF($A128&lt;VLOOKUP(Q$5,NFI,5,0),1,0)*Data_NFI_t[[#This Row],[Plastic Bucket]],0)</f>
        <v>0</v>
      </c>
      <c r="AG128" s="112">
        <f>IF(NFI_Expiration=1,IF($A128&lt;VLOOKUP(R$5,NFI,5,0),1,0)*Data_NFI_t[[#This Row],[Jerry Can]],0)</f>
        <v>0</v>
      </c>
      <c r="AH128" s="131">
        <f>IF(NFI_Expiration=1,IF($A128&lt;VLOOKUP(S$5,NFI,5,0),1,0)*Data_NFI_t[[#This Row],[Plastic Mat]],0)*IF(Data_NFI_t[[#This Row],[Distribution Date]]&gt;"01-06-2015",1,2.5)</f>
        <v>0</v>
      </c>
      <c r="AI128" s="901">
        <f>IF(NFI_Expiration=1,IF($A128&lt;VLOOKUP(T$5,NFI,5,0),1,0)*Data_NFI_t[[#This Row],[Adult Clothes]],0)</f>
        <v>0</v>
      </c>
      <c r="AJ128" s="131">
        <f>IF(NFI_Expiration=1,IF($A128&lt;VLOOKUP(U$5,NFI,5,0),1,0)*Data_NFI_t[[#This Row],[Children Clothes]],0)</f>
        <v>0</v>
      </c>
      <c r="AK128" s="131">
        <f>IF(NFI_Expiration=1,IF($A128&lt;VLOOKUP(V$5,NFI,5,0),1,0)*Data_NFI_t[[#This Row],[Sewing Kit]],0)</f>
        <v>0</v>
      </c>
      <c r="AL128" s="901">
        <f>IF(NFI_Expiration=1,IF($A128&lt;VLOOKUP(V$5,NFI,5,0),1,0)*Data_NFI_t[[#This Row],[Solar Lantern]],0)</f>
        <v>0</v>
      </c>
      <c r="AM128" s="131" t="str">
        <f ca="1">IFERROR(OFFSET(Camp_List[P_Code],MATCH(Data_NFI_t[[#This Row],[Camp Name]],Camp_List[Camp Name],0)-1,0,1,1),"")</f>
        <v>MMR012CMP095</v>
      </c>
      <c r="AN128" s="513" t="str">
        <f ca="1">IFERROR(OFFSET(Camp_List[Status],MATCH(Data_NFI_t[[#This Row],[Camp Name]],Camp_List[Camp Name],0)-1,0,1,1),"")</f>
        <v>Open</v>
      </c>
      <c r="AO128" s="131"/>
    </row>
    <row r="129" spans="1:41" s="90" customFormat="1" ht="19.5" customHeight="1" x14ac:dyDescent="0.25">
      <c r="A129" s="242">
        <f t="shared" si="3"/>
        <v>28.866666666666667</v>
      </c>
      <c r="B129" s="242">
        <f>YEAR(Data_NFI_t[[#This Row],[Distribution Date]])</f>
        <v>2014</v>
      </c>
      <c r="C129" s="913">
        <v>41990</v>
      </c>
      <c r="D129" s="489" t="s">
        <v>285</v>
      </c>
      <c r="E129" s="488" t="s">
        <v>285</v>
      </c>
      <c r="F129" s="489" t="s">
        <v>7</v>
      </c>
      <c r="G129" s="790" t="s">
        <v>20</v>
      </c>
      <c r="H129" s="790" t="s">
        <v>871</v>
      </c>
      <c r="I129" s="790">
        <v>315</v>
      </c>
      <c r="J129" s="51">
        <v>315</v>
      </c>
      <c r="K129" s="51">
        <v>315</v>
      </c>
      <c r="L129" s="51">
        <v>630</v>
      </c>
      <c r="M129" s="51">
        <v>0</v>
      </c>
      <c r="N129" s="51">
        <v>630</v>
      </c>
      <c r="O129" s="51">
        <v>186</v>
      </c>
      <c r="P129" s="51">
        <v>0</v>
      </c>
      <c r="Q129" s="51">
        <v>315</v>
      </c>
      <c r="R129" s="511"/>
      <c r="S129" s="51">
        <v>930</v>
      </c>
      <c r="T129" s="51"/>
      <c r="U129" s="51"/>
      <c r="V129" s="51"/>
      <c r="W129" s="51"/>
      <c r="X129" s="131">
        <f>IF(NFI_Expiration=1,IF($A129&lt;VLOOKUP(I$5,NFI,5,0),1,0)*Data_NFI_t[[#This Row],[Hygiene Kit]],0)</f>
        <v>0</v>
      </c>
      <c r="Y129" s="131">
        <f>IF(NFI_Expiration=1,IF($A129&lt;VLOOKUP(J$5,NFI,5,0),1,0)*Data_NFI_t[[#This Row],[NFI Core Kit]],0)</f>
        <v>0</v>
      </c>
      <c r="Z129" s="112">
        <f>IF(NFI_Expiration=1,IF($A129&lt;VLOOKUP(K$5,NFI,5,0),1,0)*Data_NFI_t[[#This Row],[Sanitary Kit]],0)</f>
        <v>0</v>
      </c>
      <c r="AA129" s="112">
        <f>IF(NFI_Expiration=1,IF($A129&lt;VLOOKUP(L$5,NFI,5,0),1,0)*Data_NFI_t[[#This Row],[Mosquito net]],0)</f>
        <v>0</v>
      </c>
      <c r="AB129" s="112">
        <f>IF(NFI_Expiration=1,IF($A129&lt;VLOOKUP(M$5,NFI,5,0),1,0)*Data_NFI_t[[#This Row],[Tarpaulin]],0)</f>
        <v>0</v>
      </c>
      <c r="AC129" s="112">
        <f>IF(NFI_Expiration=1,IF($A129&lt;VLOOKUP(N$5,NFI,5,0),1,0)*Data_NFI_t[[#This Row],[Blanket]],0)</f>
        <v>0</v>
      </c>
      <c r="AD129" s="112">
        <f>IF(NFI_Expiration=1,IF($A129&lt;VLOOKUP(O$5,NFI,5,0),1,0)*Data_NFI_t[[#This Row],[Kitchen Set]],0)</f>
        <v>0</v>
      </c>
      <c r="AE129" s="112">
        <f>IF(NFI_Expiration=1,IF($A129&lt;VLOOKUP(P$5,NFI,5,0),1,0)*Data_NFI_t[[#This Row],[Complementary Kit]],0)</f>
        <v>0</v>
      </c>
      <c r="AF129" s="112">
        <f>IF(NFI_Expiration=1,IF($A129&lt;VLOOKUP(Q$5,NFI,5,0),1,0)*Data_NFI_t[[#This Row],[Plastic Bucket]],0)</f>
        <v>0</v>
      </c>
      <c r="AG129" s="112">
        <f>IF(NFI_Expiration=1,IF($A129&lt;VLOOKUP(R$5,NFI,5,0),1,0)*Data_NFI_t[[#This Row],[Jerry Can]],0)</f>
        <v>0</v>
      </c>
      <c r="AH129" s="131">
        <f>IF(NFI_Expiration=1,IF($A129&lt;VLOOKUP(S$5,NFI,5,0),1,0)*Data_NFI_t[[#This Row],[Plastic Mat]],0)*IF(Data_NFI_t[[#This Row],[Distribution Date]]&gt;"01-06-2015",1,2.5)</f>
        <v>0</v>
      </c>
      <c r="AI129" s="901">
        <f>IF(NFI_Expiration=1,IF($A129&lt;VLOOKUP(T$5,NFI,5,0),1,0)*Data_NFI_t[[#This Row],[Adult Clothes]],0)</f>
        <v>0</v>
      </c>
      <c r="AJ129" s="131">
        <f>IF(NFI_Expiration=1,IF($A129&lt;VLOOKUP(U$5,NFI,5,0),1,0)*Data_NFI_t[[#This Row],[Children Clothes]],0)</f>
        <v>0</v>
      </c>
      <c r="AK129" s="131">
        <f>IF(NFI_Expiration=1,IF($A129&lt;VLOOKUP(V$5,NFI,5,0),1,0)*Data_NFI_t[[#This Row],[Sewing Kit]],0)</f>
        <v>0</v>
      </c>
      <c r="AL129" s="901">
        <f>IF(NFI_Expiration=1,IF($A129&lt;VLOOKUP(V$5,NFI,5,0),1,0)*Data_NFI_t[[#This Row],[Solar Lantern]],0)</f>
        <v>0</v>
      </c>
      <c r="AM129" s="131" t="str">
        <f ca="1">IFERROR(OFFSET(Camp_List[P_Code],MATCH(Data_NFI_t[[#This Row],[Camp Name]],Camp_List[Camp Name],0)-1,0,1,1),"")</f>
        <v>MMR012CMP083</v>
      </c>
      <c r="AN129" s="513" t="str">
        <f ca="1">IFERROR(OFFSET(Camp_List[Status],MATCH(Data_NFI_t[[#This Row],[Camp Name]],Camp_List[Camp Name],0)-1,0,1,1),"")</f>
        <v>Open</v>
      </c>
      <c r="AO129" s="131"/>
    </row>
    <row r="130" spans="1:41" s="90" customFormat="1" ht="19.5" customHeight="1" x14ac:dyDescent="0.25">
      <c r="A130" s="242">
        <f t="shared" si="3"/>
        <v>28.966666666666665</v>
      </c>
      <c r="B130" s="242">
        <f>YEAR(Data_NFI_t[[#This Row],[Distribution Date]])</f>
        <v>2014</v>
      </c>
      <c r="C130" s="913">
        <v>41987</v>
      </c>
      <c r="D130" s="489" t="s">
        <v>285</v>
      </c>
      <c r="E130" s="488" t="s">
        <v>285</v>
      </c>
      <c r="F130" s="489" t="s">
        <v>7</v>
      </c>
      <c r="G130" s="790" t="s">
        <v>20</v>
      </c>
      <c r="H130" s="790" t="s">
        <v>616</v>
      </c>
      <c r="I130" s="790">
        <v>170</v>
      </c>
      <c r="J130" s="51">
        <v>170</v>
      </c>
      <c r="K130" s="51">
        <v>170</v>
      </c>
      <c r="L130" s="51">
        <v>338</v>
      </c>
      <c r="M130" s="51">
        <v>0</v>
      </c>
      <c r="N130" s="51">
        <v>338</v>
      </c>
      <c r="O130" s="51">
        <v>110</v>
      </c>
      <c r="P130" s="51">
        <v>0</v>
      </c>
      <c r="Q130" s="51">
        <v>170</v>
      </c>
      <c r="R130" s="511"/>
      <c r="S130" s="51">
        <v>550</v>
      </c>
      <c r="T130" s="51"/>
      <c r="U130" s="51"/>
      <c r="V130" s="51"/>
      <c r="W130" s="51"/>
      <c r="X130" s="131">
        <f>IF(NFI_Expiration=1,IF($A130&lt;VLOOKUP(I$5,NFI,5,0),1,0)*Data_NFI_t[[#This Row],[Hygiene Kit]],0)</f>
        <v>0</v>
      </c>
      <c r="Y130" s="131">
        <f>IF(NFI_Expiration=1,IF($A130&lt;VLOOKUP(J$5,NFI,5,0),1,0)*Data_NFI_t[[#This Row],[NFI Core Kit]],0)</f>
        <v>0</v>
      </c>
      <c r="Z130" s="112">
        <f>IF(NFI_Expiration=1,IF($A130&lt;VLOOKUP(K$5,NFI,5,0),1,0)*Data_NFI_t[[#This Row],[Sanitary Kit]],0)</f>
        <v>0</v>
      </c>
      <c r="AA130" s="112">
        <f>IF(NFI_Expiration=1,IF($A130&lt;VLOOKUP(L$5,NFI,5,0),1,0)*Data_NFI_t[[#This Row],[Mosquito net]],0)</f>
        <v>0</v>
      </c>
      <c r="AB130" s="112">
        <f>IF(NFI_Expiration=1,IF($A130&lt;VLOOKUP(M$5,NFI,5,0),1,0)*Data_NFI_t[[#This Row],[Tarpaulin]],0)</f>
        <v>0</v>
      </c>
      <c r="AC130" s="112">
        <f>IF(NFI_Expiration=1,IF($A130&lt;VLOOKUP(N$5,NFI,5,0),1,0)*Data_NFI_t[[#This Row],[Blanket]],0)</f>
        <v>0</v>
      </c>
      <c r="AD130" s="112">
        <f>IF(NFI_Expiration=1,IF($A130&lt;VLOOKUP(O$5,NFI,5,0),1,0)*Data_NFI_t[[#This Row],[Kitchen Set]],0)</f>
        <v>0</v>
      </c>
      <c r="AE130" s="112">
        <f>IF(NFI_Expiration=1,IF($A130&lt;VLOOKUP(P$5,NFI,5,0),1,0)*Data_NFI_t[[#This Row],[Complementary Kit]],0)</f>
        <v>0</v>
      </c>
      <c r="AF130" s="112">
        <f>IF(NFI_Expiration=1,IF($A130&lt;VLOOKUP(Q$5,NFI,5,0),1,0)*Data_NFI_t[[#This Row],[Plastic Bucket]],0)</f>
        <v>0</v>
      </c>
      <c r="AG130" s="112">
        <f>IF(NFI_Expiration=1,IF($A130&lt;VLOOKUP(R$5,NFI,5,0),1,0)*Data_NFI_t[[#This Row],[Jerry Can]],0)</f>
        <v>0</v>
      </c>
      <c r="AH130" s="131">
        <f>IF(NFI_Expiration=1,IF($A130&lt;VLOOKUP(S$5,NFI,5,0),1,0)*Data_NFI_t[[#This Row],[Plastic Mat]],0)*IF(Data_NFI_t[[#This Row],[Distribution Date]]&gt;"01-06-2015",1,2.5)</f>
        <v>0</v>
      </c>
      <c r="AI130" s="901">
        <f>IF(NFI_Expiration=1,IF($A130&lt;VLOOKUP(T$5,NFI,5,0),1,0)*Data_NFI_t[[#This Row],[Adult Clothes]],0)</f>
        <v>0</v>
      </c>
      <c r="AJ130" s="131">
        <f>IF(NFI_Expiration=1,IF($A130&lt;VLOOKUP(U$5,NFI,5,0),1,0)*Data_NFI_t[[#This Row],[Children Clothes]],0)</f>
        <v>0</v>
      </c>
      <c r="AK130" s="131">
        <f>IF(NFI_Expiration=1,IF($A130&lt;VLOOKUP(V$5,NFI,5,0),1,0)*Data_NFI_t[[#This Row],[Sewing Kit]],0)</f>
        <v>0</v>
      </c>
      <c r="AL130" s="901">
        <f>IF(NFI_Expiration=1,IF($A130&lt;VLOOKUP(V$5,NFI,5,0),1,0)*Data_NFI_t[[#This Row],[Solar Lantern]],0)</f>
        <v>0</v>
      </c>
      <c r="AM130" s="131" t="str">
        <f ca="1">IFERROR(OFFSET(Camp_List[P_Code],MATCH(Data_NFI_t[[#This Row],[Camp Name]],Camp_List[Camp Name],0)-1,0,1,1),"")</f>
        <v>MMR012CMP109</v>
      </c>
      <c r="AN130" s="513" t="str">
        <f ca="1">IFERROR(OFFSET(Camp_List[Status],MATCH(Data_NFI_t[[#This Row],[Camp Name]],Camp_List[Camp Name],0)-1,0,1,1),"")</f>
        <v>Open</v>
      </c>
      <c r="AO130" s="131"/>
    </row>
    <row r="131" spans="1:41" s="90" customFormat="1" ht="19.5" customHeight="1" x14ac:dyDescent="0.25">
      <c r="A131" s="242">
        <f t="shared" si="3"/>
        <v>31.866666666666667</v>
      </c>
      <c r="B131" s="242">
        <f>YEAR(Data_NFI_t[[#This Row],[Distribution Date]])</f>
        <v>2014</v>
      </c>
      <c r="C131" s="913">
        <v>41900</v>
      </c>
      <c r="D131" s="489" t="s">
        <v>285</v>
      </c>
      <c r="E131" s="488" t="s">
        <v>285</v>
      </c>
      <c r="F131" s="489" t="s">
        <v>7</v>
      </c>
      <c r="G131" s="790" t="s">
        <v>16</v>
      </c>
      <c r="H131" s="790" t="s">
        <v>57</v>
      </c>
      <c r="I131" s="790">
        <v>349</v>
      </c>
      <c r="J131" s="51">
        <v>349</v>
      </c>
      <c r="K131" s="51">
        <v>349</v>
      </c>
      <c r="L131" s="51">
        <v>698</v>
      </c>
      <c r="M131" s="51">
        <v>250</v>
      </c>
      <c r="N131" s="51">
        <v>698</v>
      </c>
      <c r="O131" s="51">
        <v>250</v>
      </c>
      <c r="P131" s="51">
        <v>0</v>
      </c>
      <c r="Q131" s="51">
        <v>349</v>
      </c>
      <c r="R131" s="511"/>
      <c r="S131" s="51">
        <v>1250</v>
      </c>
      <c r="T131" s="51"/>
      <c r="U131" s="51"/>
      <c r="V131" s="51"/>
      <c r="W131" s="51"/>
      <c r="X131" s="131">
        <f>IF(NFI_Expiration=1,IF($A131&lt;VLOOKUP(I$5,NFI,5,0),1,0)*Data_NFI_t[[#This Row],[Hygiene Kit]],0)</f>
        <v>0</v>
      </c>
      <c r="Y131" s="131">
        <f>IF(NFI_Expiration=1,IF($A131&lt;VLOOKUP(J$5,NFI,5,0),1,0)*Data_NFI_t[[#This Row],[NFI Core Kit]],0)</f>
        <v>0</v>
      </c>
      <c r="Z131" s="112">
        <f>IF(NFI_Expiration=1,IF($A131&lt;VLOOKUP(K$5,NFI,5,0),1,0)*Data_NFI_t[[#This Row],[Sanitary Kit]],0)</f>
        <v>0</v>
      </c>
      <c r="AA131" s="112">
        <f>IF(NFI_Expiration=1,IF($A131&lt;VLOOKUP(L$5,NFI,5,0),1,0)*Data_NFI_t[[#This Row],[Mosquito net]],0)</f>
        <v>0</v>
      </c>
      <c r="AB131" s="112">
        <f>IF(NFI_Expiration=1,IF($A131&lt;VLOOKUP(M$5,NFI,5,0),1,0)*Data_NFI_t[[#This Row],[Tarpaulin]],0)</f>
        <v>0</v>
      </c>
      <c r="AC131" s="112">
        <f>IF(NFI_Expiration=1,IF($A131&lt;VLOOKUP(N$5,NFI,5,0),1,0)*Data_NFI_t[[#This Row],[Blanket]],0)</f>
        <v>0</v>
      </c>
      <c r="AD131" s="112">
        <f>IF(NFI_Expiration=1,IF($A131&lt;VLOOKUP(O$5,NFI,5,0),1,0)*Data_NFI_t[[#This Row],[Kitchen Set]],0)</f>
        <v>0</v>
      </c>
      <c r="AE131" s="112">
        <f>IF(NFI_Expiration=1,IF($A131&lt;VLOOKUP(P$5,NFI,5,0),1,0)*Data_NFI_t[[#This Row],[Complementary Kit]],0)</f>
        <v>0</v>
      </c>
      <c r="AF131" s="112">
        <f>IF(NFI_Expiration=1,IF($A131&lt;VLOOKUP(Q$5,NFI,5,0),1,0)*Data_NFI_t[[#This Row],[Plastic Bucket]],0)</f>
        <v>0</v>
      </c>
      <c r="AG131" s="112">
        <f>IF(NFI_Expiration=1,IF($A131&lt;VLOOKUP(R$5,NFI,5,0),1,0)*Data_NFI_t[[#This Row],[Jerry Can]],0)</f>
        <v>0</v>
      </c>
      <c r="AH131" s="131">
        <f>IF(NFI_Expiration=1,IF($A131&lt;VLOOKUP(S$5,NFI,5,0),1,0)*Data_NFI_t[[#This Row],[Plastic Mat]],0)*IF(Data_NFI_t[[#This Row],[Distribution Date]]&gt;"01-06-2015",1,2.5)</f>
        <v>0</v>
      </c>
      <c r="AI131" s="901">
        <f>IF(NFI_Expiration=1,IF($A131&lt;VLOOKUP(T$5,NFI,5,0),1,0)*Data_NFI_t[[#This Row],[Adult Clothes]],0)</f>
        <v>0</v>
      </c>
      <c r="AJ131" s="131">
        <f>IF(NFI_Expiration=1,IF($A131&lt;VLOOKUP(U$5,NFI,5,0),1,0)*Data_NFI_t[[#This Row],[Children Clothes]],0)</f>
        <v>0</v>
      </c>
      <c r="AK131" s="131">
        <f>IF(NFI_Expiration=1,IF($A131&lt;VLOOKUP(V$5,NFI,5,0),1,0)*Data_NFI_t[[#This Row],[Sewing Kit]],0)</f>
        <v>0</v>
      </c>
      <c r="AL131" s="901">
        <f>IF(NFI_Expiration=1,IF($A131&lt;VLOOKUP(V$5,NFI,5,0),1,0)*Data_NFI_t[[#This Row],[Solar Lantern]],0)</f>
        <v>0</v>
      </c>
      <c r="AM131" s="131" t="str">
        <f ca="1">IFERROR(OFFSET(Camp_List[P_Code],MATCH(Data_NFI_t[[#This Row],[Camp Name]],Camp_List[Camp Name],0)-1,0,1,1),"")</f>
        <v>MMR012CMP034</v>
      </c>
      <c r="AN131" s="513" t="str">
        <f ca="1">IFERROR(OFFSET(Camp_List[Status],MATCH(Data_NFI_t[[#This Row],[Camp Name]],Camp_List[Camp Name],0)-1,0,1,1),"")</f>
        <v>Open</v>
      </c>
      <c r="AO131" s="131"/>
    </row>
    <row r="132" spans="1:41" s="90" customFormat="1" ht="19.5" customHeight="1" x14ac:dyDescent="0.25">
      <c r="A132" s="242">
        <f t="shared" si="3"/>
        <v>31.9</v>
      </c>
      <c r="B132" s="242">
        <f>YEAR(Data_NFI_t[[#This Row],[Distribution Date]])</f>
        <v>2014</v>
      </c>
      <c r="C132" s="913">
        <v>41899</v>
      </c>
      <c r="D132" s="489" t="s">
        <v>285</v>
      </c>
      <c r="E132" s="488" t="s">
        <v>285</v>
      </c>
      <c r="F132" s="489" t="s">
        <v>7</v>
      </c>
      <c r="G132" s="790" t="s">
        <v>16</v>
      </c>
      <c r="H132" s="790" t="s">
        <v>56</v>
      </c>
      <c r="I132" s="790">
        <v>86</v>
      </c>
      <c r="J132" s="51">
        <v>86</v>
      </c>
      <c r="K132" s="51">
        <v>86</v>
      </c>
      <c r="L132" s="51">
        <v>170</v>
      </c>
      <c r="M132" s="51">
        <v>66</v>
      </c>
      <c r="N132" s="51">
        <v>170</v>
      </c>
      <c r="O132" s="51">
        <v>66</v>
      </c>
      <c r="P132" s="51">
        <v>0</v>
      </c>
      <c r="Q132" s="51">
        <v>86</v>
      </c>
      <c r="R132" s="511"/>
      <c r="S132" s="51">
        <v>330</v>
      </c>
      <c r="T132" s="51"/>
      <c r="U132" s="51"/>
      <c r="V132" s="51"/>
      <c r="W132" s="51"/>
      <c r="X132" s="131">
        <f>IF(NFI_Expiration=1,IF($A132&lt;VLOOKUP(I$5,NFI,5,0),1,0)*Data_NFI_t[[#This Row],[Hygiene Kit]],0)</f>
        <v>0</v>
      </c>
      <c r="Y132" s="131">
        <f>IF(NFI_Expiration=1,IF($A132&lt;VLOOKUP(J$5,NFI,5,0),1,0)*Data_NFI_t[[#This Row],[NFI Core Kit]],0)</f>
        <v>0</v>
      </c>
      <c r="Z132" s="112">
        <f>IF(NFI_Expiration=1,IF($A132&lt;VLOOKUP(K$5,NFI,5,0),1,0)*Data_NFI_t[[#This Row],[Sanitary Kit]],0)</f>
        <v>0</v>
      </c>
      <c r="AA132" s="112">
        <f>IF(NFI_Expiration=1,IF($A132&lt;VLOOKUP(L$5,NFI,5,0),1,0)*Data_NFI_t[[#This Row],[Mosquito net]],0)</f>
        <v>0</v>
      </c>
      <c r="AB132" s="112">
        <f>IF(NFI_Expiration=1,IF($A132&lt;VLOOKUP(M$5,NFI,5,0),1,0)*Data_NFI_t[[#This Row],[Tarpaulin]],0)</f>
        <v>0</v>
      </c>
      <c r="AC132" s="112">
        <f>IF(NFI_Expiration=1,IF($A132&lt;VLOOKUP(N$5,NFI,5,0),1,0)*Data_NFI_t[[#This Row],[Blanket]],0)</f>
        <v>0</v>
      </c>
      <c r="AD132" s="112">
        <f>IF(NFI_Expiration=1,IF($A132&lt;VLOOKUP(O$5,NFI,5,0),1,0)*Data_NFI_t[[#This Row],[Kitchen Set]],0)</f>
        <v>0</v>
      </c>
      <c r="AE132" s="112">
        <f>IF(NFI_Expiration=1,IF($A132&lt;VLOOKUP(P$5,NFI,5,0),1,0)*Data_NFI_t[[#This Row],[Complementary Kit]],0)</f>
        <v>0</v>
      </c>
      <c r="AF132" s="112">
        <f>IF(NFI_Expiration=1,IF($A132&lt;VLOOKUP(Q$5,NFI,5,0),1,0)*Data_NFI_t[[#This Row],[Plastic Bucket]],0)</f>
        <v>0</v>
      </c>
      <c r="AG132" s="112">
        <f>IF(NFI_Expiration=1,IF($A132&lt;VLOOKUP(R$5,NFI,5,0),1,0)*Data_NFI_t[[#This Row],[Jerry Can]],0)</f>
        <v>0</v>
      </c>
      <c r="AH132" s="131">
        <f>IF(NFI_Expiration=1,IF($A132&lt;VLOOKUP(S$5,NFI,5,0),1,0)*Data_NFI_t[[#This Row],[Plastic Mat]],0)*IF(Data_NFI_t[[#This Row],[Distribution Date]]&gt;"01-06-2015",1,2.5)</f>
        <v>0</v>
      </c>
      <c r="AI132" s="901">
        <f>IF(NFI_Expiration=1,IF($A132&lt;VLOOKUP(T$5,NFI,5,0),1,0)*Data_NFI_t[[#This Row],[Adult Clothes]],0)</f>
        <v>0</v>
      </c>
      <c r="AJ132" s="131">
        <f>IF(NFI_Expiration=1,IF($A132&lt;VLOOKUP(U$5,NFI,5,0),1,0)*Data_NFI_t[[#This Row],[Children Clothes]],0)</f>
        <v>0</v>
      </c>
      <c r="AK132" s="131">
        <f>IF(NFI_Expiration=1,IF($A132&lt;VLOOKUP(V$5,NFI,5,0),1,0)*Data_NFI_t[[#This Row],[Sewing Kit]],0)</f>
        <v>0</v>
      </c>
      <c r="AL132" s="901">
        <f>IF(NFI_Expiration=1,IF($A132&lt;VLOOKUP(V$5,NFI,5,0),1,0)*Data_NFI_t[[#This Row],[Solar Lantern]],0)</f>
        <v>0</v>
      </c>
      <c r="AM132" s="131" t="str">
        <f ca="1">IFERROR(OFFSET(Camp_List[P_Code],MATCH(Data_NFI_t[[#This Row],[Camp Name]],Camp_List[Camp Name],0)-1,0,1,1),"")</f>
        <v>MMR012CMP032</v>
      </c>
      <c r="AN132" s="513" t="str">
        <f ca="1">IFERROR(OFFSET(Camp_List[Status],MATCH(Data_NFI_t[[#This Row],[Camp Name]],Camp_List[Camp Name],0)-1,0,1,1),"")</f>
        <v>Returned</v>
      </c>
      <c r="AO132" s="131"/>
    </row>
    <row r="133" spans="1:41" s="90" customFormat="1" ht="19.5" customHeight="1" x14ac:dyDescent="0.25">
      <c r="A133" s="242">
        <f t="shared" si="3"/>
        <v>31.933333333333334</v>
      </c>
      <c r="B133" s="242">
        <f>YEAR(Data_NFI_t[[#This Row],[Distribution Date]])</f>
        <v>2014</v>
      </c>
      <c r="C133" s="913">
        <v>41898</v>
      </c>
      <c r="D133" s="489" t="s">
        <v>285</v>
      </c>
      <c r="E133" s="488" t="s">
        <v>285</v>
      </c>
      <c r="F133" s="489" t="s">
        <v>7</v>
      </c>
      <c r="G133" s="790" t="s">
        <v>16</v>
      </c>
      <c r="H133" s="790" t="s">
        <v>55</v>
      </c>
      <c r="I133" s="790">
        <v>102</v>
      </c>
      <c r="J133" s="51">
        <v>102</v>
      </c>
      <c r="K133" s="51">
        <v>102</v>
      </c>
      <c r="L133" s="51">
        <v>206</v>
      </c>
      <c r="M133" s="51">
        <v>66</v>
      </c>
      <c r="N133" s="51">
        <v>206</v>
      </c>
      <c r="O133" s="51">
        <v>66</v>
      </c>
      <c r="P133" s="51">
        <v>0</v>
      </c>
      <c r="Q133" s="51">
        <v>102</v>
      </c>
      <c r="R133" s="511"/>
      <c r="S133" s="51">
        <v>330</v>
      </c>
      <c r="T133" s="51"/>
      <c r="U133" s="51"/>
      <c r="V133" s="51"/>
      <c r="W133" s="51"/>
      <c r="X133" s="131">
        <f>IF(NFI_Expiration=1,IF($A133&lt;VLOOKUP(I$5,NFI,5,0),1,0)*Data_NFI_t[[#This Row],[Hygiene Kit]],0)</f>
        <v>0</v>
      </c>
      <c r="Y133" s="131">
        <f>IF(NFI_Expiration=1,IF($A133&lt;VLOOKUP(J$5,NFI,5,0),1,0)*Data_NFI_t[[#This Row],[NFI Core Kit]],0)</f>
        <v>0</v>
      </c>
      <c r="Z133" s="112">
        <f>IF(NFI_Expiration=1,IF($A133&lt;VLOOKUP(K$5,NFI,5,0),1,0)*Data_NFI_t[[#This Row],[Sanitary Kit]],0)</f>
        <v>0</v>
      </c>
      <c r="AA133" s="112">
        <f>IF(NFI_Expiration=1,IF($A133&lt;VLOOKUP(L$5,NFI,5,0),1,0)*Data_NFI_t[[#This Row],[Mosquito net]],0)</f>
        <v>0</v>
      </c>
      <c r="AB133" s="112">
        <f>IF(NFI_Expiration=1,IF($A133&lt;VLOOKUP(M$5,NFI,5,0),1,0)*Data_NFI_t[[#This Row],[Tarpaulin]],0)</f>
        <v>0</v>
      </c>
      <c r="AC133" s="112">
        <f>IF(NFI_Expiration=1,IF($A133&lt;VLOOKUP(N$5,NFI,5,0),1,0)*Data_NFI_t[[#This Row],[Blanket]],0)</f>
        <v>0</v>
      </c>
      <c r="AD133" s="112">
        <f>IF(NFI_Expiration=1,IF($A133&lt;VLOOKUP(O$5,NFI,5,0),1,0)*Data_NFI_t[[#This Row],[Kitchen Set]],0)</f>
        <v>0</v>
      </c>
      <c r="AE133" s="112">
        <f>IF(NFI_Expiration=1,IF($A133&lt;VLOOKUP(P$5,NFI,5,0),1,0)*Data_NFI_t[[#This Row],[Complementary Kit]],0)</f>
        <v>0</v>
      </c>
      <c r="AF133" s="112">
        <f>IF(NFI_Expiration=1,IF($A133&lt;VLOOKUP(Q$5,NFI,5,0),1,0)*Data_NFI_t[[#This Row],[Plastic Bucket]],0)</f>
        <v>0</v>
      </c>
      <c r="AG133" s="112">
        <f>IF(NFI_Expiration=1,IF($A133&lt;VLOOKUP(R$5,NFI,5,0),1,0)*Data_NFI_t[[#This Row],[Jerry Can]],0)</f>
        <v>0</v>
      </c>
      <c r="AH133" s="131">
        <f>IF(NFI_Expiration=1,IF($A133&lt;VLOOKUP(S$5,NFI,5,0),1,0)*Data_NFI_t[[#This Row],[Plastic Mat]],0)*IF(Data_NFI_t[[#This Row],[Distribution Date]]&gt;"01-06-2015",1,2.5)</f>
        <v>0</v>
      </c>
      <c r="AI133" s="901">
        <f>IF(NFI_Expiration=1,IF($A133&lt;VLOOKUP(T$5,NFI,5,0),1,0)*Data_NFI_t[[#This Row],[Adult Clothes]],0)</f>
        <v>0</v>
      </c>
      <c r="AJ133" s="131">
        <f>IF(NFI_Expiration=1,IF($A133&lt;VLOOKUP(U$5,NFI,5,0),1,0)*Data_NFI_t[[#This Row],[Children Clothes]],0)</f>
        <v>0</v>
      </c>
      <c r="AK133" s="131">
        <f>IF(NFI_Expiration=1,IF($A133&lt;VLOOKUP(V$5,NFI,5,0),1,0)*Data_NFI_t[[#This Row],[Sewing Kit]],0)</f>
        <v>0</v>
      </c>
      <c r="AL133" s="901">
        <f>IF(NFI_Expiration=1,IF($A133&lt;VLOOKUP(V$5,NFI,5,0),1,0)*Data_NFI_t[[#This Row],[Solar Lantern]],0)</f>
        <v>0</v>
      </c>
      <c r="AM133" s="131" t="str">
        <f ca="1">IFERROR(OFFSET(Camp_List[P_Code],MATCH(Data_NFI_t[[#This Row],[Camp Name]],Camp_List[Camp Name],0)-1,0,1,1),"")</f>
        <v>MMR012CMP031</v>
      </c>
      <c r="AN133" s="513" t="str">
        <f ca="1">IFERROR(OFFSET(Camp_List[Status],MATCH(Data_NFI_t[[#This Row],[Camp Name]],Camp_List[Camp Name],0)-1,0,1,1),"")</f>
        <v>Returned</v>
      </c>
      <c r="AO133" s="131"/>
    </row>
    <row r="134" spans="1:41" s="90" customFormat="1" ht="19.5" customHeight="1" x14ac:dyDescent="0.25">
      <c r="A134" s="242">
        <f t="shared" si="3"/>
        <v>32.56666666666667</v>
      </c>
      <c r="B134" s="242">
        <f>YEAR(Data_NFI_t[[#This Row],[Distribution Date]])</f>
        <v>2014</v>
      </c>
      <c r="C134" s="913">
        <v>41879</v>
      </c>
      <c r="D134" s="489" t="s">
        <v>288</v>
      </c>
      <c r="E134" s="488" t="s">
        <v>288</v>
      </c>
      <c r="F134" s="489" t="s">
        <v>7</v>
      </c>
      <c r="G134" s="790" t="s">
        <v>19</v>
      </c>
      <c r="H134" s="790" t="s">
        <v>630</v>
      </c>
      <c r="I134" s="790"/>
      <c r="J134" s="51"/>
      <c r="K134" s="51"/>
      <c r="L134" s="51">
        <v>2624</v>
      </c>
      <c r="M134" s="51">
        <v>1312</v>
      </c>
      <c r="N134" s="51">
        <v>2624</v>
      </c>
      <c r="O134" s="51">
        <v>1312</v>
      </c>
      <c r="P134" s="51"/>
      <c r="Q134" s="51">
        <v>1312</v>
      </c>
      <c r="R134" s="511"/>
      <c r="S134" s="51">
        <v>3936</v>
      </c>
      <c r="T134" s="51"/>
      <c r="U134" s="51"/>
      <c r="V134" s="51"/>
      <c r="W134" s="51"/>
      <c r="X134" s="131">
        <f>IF(NFI_Expiration=1,IF($A134&lt;VLOOKUP(I$5,NFI,5,0),1,0)*Data_NFI_t[[#This Row],[Hygiene Kit]],0)</f>
        <v>0</v>
      </c>
      <c r="Y134" s="131">
        <f>IF(NFI_Expiration=1,IF($A134&lt;VLOOKUP(J$5,NFI,5,0),1,0)*Data_NFI_t[[#This Row],[NFI Core Kit]],0)</f>
        <v>0</v>
      </c>
      <c r="Z134" s="112">
        <f>IF(NFI_Expiration=1,IF($A134&lt;VLOOKUP(K$5,NFI,5,0),1,0)*Data_NFI_t[[#This Row],[Sanitary Kit]],0)</f>
        <v>0</v>
      </c>
      <c r="AA134" s="112">
        <f>IF(NFI_Expiration=1,IF($A134&lt;VLOOKUP(L$5,NFI,5,0),1,0)*Data_NFI_t[[#This Row],[Mosquito net]],0)</f>
        <v>0</v>
      </c>
      <c r="AB134" s="112">
        <f>IF(NFI_Expiration=1,IF($A134&lt;VLOOKUP(M$5,NFI,5,0),1,0)*Data_NFI_t[[#This Row],[Tarpaulin]],0)</f>
        <v>0</v>
      </c>
      <c r="AC134" s="112">
        <f>IF(NFI_Expiration=1,IF($A134&lt;VLOOKUP(N$5,NFI,5,0),1,0)*Data_NFI_t[[#This Row],[Blanket]],0)</f>
        <v>0</v>
      </c>
      <c r="AD134" s="112">
        <f>IF(NFI_Expiration=1,IF($A134&lt;VLOOKUP(O$5,NFI,5,0),1,0)*Data_NFI_t[[#This Row],[Kitchen Set]],0)</f>
        <v>0</v>
      </c>
      <c r="AE134" s="112">
        <f>IF(NFI_Expiration=1,IF($A134&lt;VLOOKUP(P$5,NFI,5,0),1,0)*Data_NFI_t[[#This Row],[Complementary Kit]],0)</f>
        <v>0</v>
      </c>
      <c r="AF134" s="112">
        <f>IF(NFI_Expiration=1,IF($A134&lt;VLOOKUP(Q$5,NFI,5,0),1,0)*Data_NFI_t[[#This Row],[Plastic Bucket]],0)</f>
        <v>0</v>
      </c>
      <c r="AG134" s="112">
        <f>IF(NFI_Expiration=1,IF($A134&lt;VLOOKUP(R$5,NFI,5,0),1,0)*Data_NFI_t[[#This Row],[Jerry Can]],0)</f>
        <v>0</v>
      </c>
      <c r="AH134" s="131">
        <f>IF(NFI_Expiration=1,IF($A134&lt;VLOOKUP(S$5,NFI,5,0),1,0)*Data_NFI_t[[#This Row],[Plastic Mat]],0)*IF(Data_NFI_t[[#This Row],[Distribution Date]]&gt;"01-06-2015",1,2.5)</f>
        <v>0</v>
      </c>
      <c r="AI134" s="901">
        <f>IF(NFI_Expiration=1,IF($A134&lt;VLOOKUP(T$5,NFI,5,0),1,0)*Data_NFI_t[[#This Row],[Adult Clothes]],0)</f>
        <v>0</v>
      </c>
      <c r="AJ134" s="131">
        <f>IF(NFI_Expiration=1,IF($A134&lt;VLOOKUP(U$5,NFI,5,0),1,0)*Data_NFI_t[[#This Row],[Children Clothes]],0)</f>
        <v>0</v>
      </c>
      <c r="AK134" s="131">
        <f>IF(NFI_Expiration=1,IF($A134&lt;VLOOKUP(V$5,NFI,5,0),1,0)*Data_NFI_t[[#This Row],[Sewing Kit]],0)</f>
        <v>0</v>
      </c>
      <c r="AL134" s="901">
        <f>IF(NFI_Expiration=1,IF($A134&lt;VLOOKUP(V$5,NFI,5,0),1,0)*Data_NFI_t[[#This Row],[Solar Lantern]],0)</f>
        <v>0</v>
      </c>
      <c r="AM134" s="131" t="str">
        <f ca="1">IFERROR(OFFSET(Camp_List[P_Code],MATCH(Data_NFI_t[[#This Row],[Camp Name]],Camp_List[Camp Name],0)-1,0,1,1),"")</f>
        <v>MMR012CMP114</v>
      </c>
      <c r="AN134" s="513" t="str">
        <f ca="1">IFERROR(OFFSET(Camp_List[Status],MATCH(Data_NFI_t[[#This Row],[Camp Name]],Camp_List[Camp Name],0)-1,0,1,1),"")</f>
        <v>Open</v>
      </c>
      <c r="AO134" s="131"/>
    </row>
    <row r="135" spans="1:41" s="90" customFormat="1" ht="19.5" customHeight="1" x14ac:dyDescent="0.25">
      <c r="A135" s="242">
        <f t="shared" si="3"/>
        <v>32.633333333333333</v>
      </c>
      <c r="B135" s="242">
        <f>YEAR(Data_NFI_t[[#This Row],[Distribution Date]])</f>
        <v>2014</v>
      </c>
      <c r="C135" s="913">
        <v>41877</v>
      </c>
      <c r="D135" s="489" t="s">
        <v>288</v>
      </c>
      <c r="E135" s="488" t="s">
        <v>288</v>
      </c>
      <c r="F135" s="489" t="s">
        <v>7</v>
      </c>
      <c r="G135" s="790" t="s">
        <v>19</v>
      </c>
      <c r="H135" s="790" t="s">
        <v>629</v>
      </c>
      <c r="I135" s="790"/>
      <c r="J135" s="51"/>
      <c r="K135" s="51"/>
      <c r="L135" s="51">
        <v>2020</v>
      </c>
      <c r="M135" s="51">
        <v>1010</v>
      </c>
      <c r="N135" s="51">
        <v>2020</v>
      </c>
      <c r="O135" s="51">
        <v>1010</v>
      </c>
      <c r="P135" s="51"/>
      <c r="Q135" s="51">
        <v>1010</v>
      </c>
      <c r="R135" s="511"/>
      <c r="S135" s="51">
        <v>3030</v>
      </c>
      <c r="T135" s="51"/>
      <c r="U135" s="51"/>
      <c r="V135" s="51"/>
      <c r="W135" s="51"/>
      <c r="X135" s="131">
        <f>IF(NFI_Expiration=1,IF($A135&lt;VLOOKUP(I$5,NFI,5,0),1,0)*Data_NFI_t[[#This Row],[Hygiene Kit]],0)</f>
        <v>0</v>
      </c>
      <c r="Y135" s="131">
        <f>IF(NFI_Expiration=1,IF($A135&lt;VLOOKUP(J$5,NFI,5,0),1,0)*Data_NFI_t[[#This Row],[NFI Core Kit]],0)</f>
        <v>0</v>
      </c>
      <c r="Z135" s="112">
        <f>IF(NFI_Expiration=1,IF($A135&lt;VLOOKUP(K$5,NFI,5,0),1,0)*Data_NFI_t[[#This Row],[Sanitary Kit]],0)</f>
        <v>0</v>
      </c>
      <c r="AA135" s="112">
        <f>IF(NFI_Expiration=1,IF($A135&lt;VLOOKUP(L$5,NFI,5,0),1,0)*Data_NFI_t[[#This Row],[Mosquito net]],0)</f>
        <v>0</v>
      </c>
      <c r="AB135" s="112">
        <f>IF(NFI_Expiration=1,IF($A135&lt;VLOOKUP(M$5,NFI,5,0),1,0)*Data_NFI_t[[#This Row],[Tarpaulin]],0)</f>
        <v>0</v>
      </c>
      <c r="AC135" s="112">
        <f>IF(NFI_Expiration=1,IF($A135&lt;VLOOKUP(N$5,NFI,5,0),1,0)*Data_NFI_t[[#This Row],[Blanket]],0)</f>
        <v>0</v>
      </c>
      <c r="AD135" s="112">
        <f>IF(NFI_Expiration=1,IF($A135&lt;VLOOKUP(O$5,NFI,5,0),1,0)*Data_NFI_t[[#This Row],[Kitchen Set]],0)</f>
        <v>0</v>
      </c>
      <c r="AE135" s="112">
        <f>IF(NFI_Expiration=1,IF($A135&lt;VLOOKUP(P$5,NFI,5,0),1,0)*Data_NFI_t[[#This Row],[Complementary Kit]],0)</f>
        <v>0</v>
      </c>
      <c r="AF135" s="112">
        <f>IF(NFI_Expiration=1,IF($A135&lt;VLOOKUP(Q$5,NFI,5,0),1,0)*Data_NFI_t[[#This Row],[Plastic Bucket]],0)</f>
        <v>0</v>
      </c>
      <c r="AG135" s="112">
        <f>IF(NFI_Expiration=1,IF($A135&lt;VLOOKUP(R$5,NFI,5,0),1,0)*Data_NFI_t[[#This Row],[Jerry Can]],0)</f>
        <v>0</v>
      </c>
      <c r="AH135" s="131">
        <f>IF(NFI_Expiration=1,IF($A135&lt;VLOOKUP(S$5,NFI,5,0),1,0)*Data_NFI_t[[#This Row],[Plastic Mat]],0)*IF(Data_NFI_t[[#This Row],[Distribution Date]]&gt;"01-06-2015",1,2.5)</f>
        <v>0</v>
      </c>
      <c r="AI135" s="901">
        <f>IF(NFI_Expiration=1,IF($A135&lt;VLOOKUP(T$5,NFI,5,0),1,0)*Data_NFI_t[[#This Row],[Adult Clothes]],0)</f>
        <v>0</v>
      </c>
      <c r="AJ135" s="131">
        <f>IF(NFI_Expiration=1,IF($A135&lt;VLOOKUP(U$5,NFI,5,0),1,0)*Data_NFI_t[[#This Row],[Children Clothes]],0)</f>
        <v>0</v>
      </c>
      <c r="AK135" s="131">
        <f>IF(NFI_Expiration=1,IF($A135&lt;VLOOKUP(V$5,NFI,5,0),1,0)*Data_NFI_t[[#This Row],[Sewing Kit]],0)</f>
        <v>0</v>
      </c>
      <c r="AL135" s="901">
        <f>IF(NFI_Expiration=1,IF($A135&lt;VLOOKUP(V$5,NFI,5,0),1,0)*Data_NFI_t[[#This Row],[Solar Lantern]],0)</f>
        <v>0</v>
      </c>
      <c r="AM135" s="131" t="str">
        <f ca="1">IFERROR(OFFSET(Camp_List[P_Code],MATCH(Data_NFI_t[[#This Row],[Camp Name]],Camp_List[Camp Name],0)-1,0,1,1),"")</f>
        <v>MMR012CMP113</v>
      </c>
      <c r="AN135" s="513" t="str">
        <f ca="1">IFERROR(OFFSET(Camp_List[Status],MATCH(Data_NFI_t[[#This Row],[Camp Name]],Camp_List[Camp Name],0)-1,0,1,1),"")</f>
        <v>Open</v>
      </c>
      <c r="AO135" s="131"/>
    </row>
    <row r="136" spans="1:41" s="90" customFormat="1" ht="19.5" customHeight="1" x14ac:dyDescent="0.25">
      <c r="A136" s="242">
        <f t="shared" si="3"/>
        <v>33.033333333333331</v>
      </c>
      <c r="B136" s="242">
        <f>YEAR(Data_NFI_t[[#This Row],[Distribution Date]])</f>
        <v>2014</v>
      </c>
      <c r="C136" s="913">
        <v>41865</v>
      </c>
      <c r="D136" s="489" t="s">
        <v>623</v>
      </c>
      <c r="E136" s="488" t="s">
        <v>623</v>
      </c>
      <c r="F136" s="489" t="s">
        <v>7</v>
      </c>
      <c r="G136" s="790" t="s">
        <v>19</v>
      </c>
      <c r="H136" s="790" t="s">
        <v>78</v>
      </c>
      <c r="I136" s="790"/>
      <c r="J136" s="51"/>
      <c r="K136" s="51"/>
      <c r="L136" s="51">
        <v>2</v>
      </c>
      <c r="M136" s="51">
        <v>1</v>
      </c>
      <c r="N136" s="51">
        <v>2</v>
      </c>
      <c r="O136" s="51">
        <v>1</v>
      </c>
      <c r="P136" s="51"/>
      <c r="Q136" s="51">
        <v>1</v>
      </c>
      <c r="R136" s="511"/>
      <c r="S136" s="51">
        <v>5</v>
      </c>
      <c r="T136" s="51"/>
      <c r="U136" s="51"/>
      <c r="V136" s="51"/>
      <c r="W136" s="51"/>
      <c r="X136" s="131">
        <f>IF(NFI_Expiration=1,IF($A136&lt;VLOOKUP(I$5,NFI,5,0),1,0)*Data_NFI_t[[#This Row],[Hygiene Kit]],0)</f>
        <v>0</v>
      </c>
      <c r="Y136" s="131">
        <f>IF(NFI_Expiration=1,IF($A136&lt;VLOOKUP(J$5,NFI,5,0),1,0)*Data_NFI_t[[#This Row],[NFI Core Kit]],0)</f>
        <v>0</v>
      </c>
      <c r="Z136" s="112">
        <f>IF(NFI_Expiration=1,IF($A136&lt;VLOOKUP(K$5,NFI,5,0),1,0)*Data_NFI_t[[#This Row],[Sanitary Kit]],0)</f>
        <v>0</v>
      </c>
      <c r="AA136" s="112">
        <f>IF(NFI_Expiration=1,IF($A136&lt;VLOOKUP(L$5,NFI,5,0),1,0)*Data_NFI_t[[#This Row],[Mosquito net]],0)</f>
        <v>0</v>
      </c>
      <c r="AB136" s="112">
        <f>IF(NFI_Expiration=1,IF($A136&lt;VLOOKUP(M$5,NFI,5,0),1,0)*Data_NFI_t[[#This Row],[Tarpaulin]],0)</f>
        <v>0</v>
      </c>
      <c r="AC136" s="112">
        <f>IF(NFI_Expiration=1,IF($A136&lt;VLOOKUP(N$5,NFI,5,0),1,0)*Data_NFI_t[[#This Row],[Blanket]],0)</f>
        <v>0</v>
      </c>
      <c r="AD136" s="112">
        <f>IF(NFI_Expiration=1,IF($A136&lt;VLOOKUP(O$5,NFI,5,0),1,0)*Data_NFI_t[[#This Row],[Kitchen Set]],0)</f>
        <v>0</v>
      </c>
      <c r="AE136" s="112">
        <f>IF(NFI_Expiration=1,IF($A136&lt;VLOOKUP(P$5,NFI,5,0),1,0)*Data_NFI_t[[#This Row],[Complementary Kit]],0)</f>
        <v>0</v>
      </c>
      <c r="AF136" s="112">
        <f>IF(NFI_Expiration=1,IF($A136&lt;VLOOKUP(Q$5,NFI,5,0),1,0)*Data_NFI_t[[#This Row],[Plastic Bucket]],0)</f>
        <v>0</v>
      </c>
      <c r="AG136" s="112">
        <f>IF(NFI_Expiration=1,IF($A136&lt;VLOOKUP(R$5,NFI,5,0),1,0)*Data_NFI_t[[#This Row],[Jerry Can]],0)</f>
        <v>0</v>
      </c>
      <c r="AH136" s="131">
        <f>IF(NFI_Expiration=1,IF($A136&lt;VLOOKUP(S$5,NFI,5,0),1,0)*Data_NFI_t[[#This Row],[Plastic Mat]],0)*IF(Data_NFI_t[[#This Row],[Distribution Date]]&gt;"01-06-2015",1,2.5)</f>
        <v>0</v>
      </c>
      <c r="AI136" s="901">
        <f>IF(NFI_Expiration=1,IF($A136&lt;VLOOKUP(T$5,NFI,5,0),1,0)*Data_NFI_t[[#This Row],[Adult Clothes]],0)</f>
        <v>0</v>
      </c>
      <c r="AJ136" s="131">
        <f>IF(NFI_Expiration=1,IF($A136&lt;VLOOKUP(U$5,NFI,5,0),1,0)*Data_NFI_t[[#This Row],[Children Clothes]],0)</f>
        <v>0</v>
      </c>
      <c r="AK136" s="131">
        <f>IF(NFI_Expiration=1,IF($A136&lt;VLOOKUP(V$5,NFI,5,0),1,0)*Data_NFI_t[[#This Row],[Sewing Kit]],0)</f>
        <v>0</v>
      </c>
      <c r="AL136" s="901">
        <f>IF(NFI_Expiration=1,IF($A136&lt;VLOOKUP(V$5,NFI,5,0),1,0)*Data_NFI_t[[#This Row],[Solar Lantern]],0)</f>
        <v>0</v>
      </c>
      <c r="AM136" s="131" t="str">
        <f ca="1">IFERROR(OFFSET(Camp_List[P_Code],MATCH(Data_NFI_t[[#This Row],[Camp Name]],Camp_List[Camp Name],0)-1,0,1,1),"")</f>
        <v>MMR012CMP056</v>
      </c>
      <c r="AN136" s="513" t="str">
        <f ca="1">IFERROR(OFFSET(Camp_List[Status],MATCH(Data_NFI_t[[#This Row],[Camp Name]],Camp_List[Camp Name],0)-1,0,1,1),"")</f>
        <v>Relocated</v>
      </c>
      <c r="AO136" s="131"/>
    </row>
    <row r="137" spans="1:41" s="90" customFormat="1" ht="19.5" customHeight="1" x14ac:dyDescent="0.25">
      <c r="A137" s="242">
        <f t="shared" si="3"/>
        <v>33.033333333333331</v>
      </c>
      <c r="B137" s="242">
        <f>YEAR(Data_NFI_t[[#This Row],[Distribution Date]])</f>
        <v>2014</v>
      </c>
      <c r="C137" s="913">
        <v>41865</v>
      </c>
      <c r="D137" s="489" t="s">
        <v>623</v>
      </c>
      <c r="E137" s="488" t="s">
        <v>623</v>
      </c>
      <c r="F137" s="489" t="s">
        <v>7</v>
      </c>
      <c r="G137" s="790" t="s">
        <v>19</v>
      </c>
      <c r="H137" s="790" t="s">
        <v>245</v>
      </c>
      <c r="I137" s="790"/>
      <c r="J137" s="51"/>
      <c r="K137" s="51"/>
      <c r="L137" s="51">
        <v>2</v>
      </c>
      <c r="M137" s="51">
        <v>1</v>
      </c>
      <c r="N137" s="51">
        <v>2</v>
      </c>
      <c r="O137" s="51">
        <v>1</v>
      </c>
      <c r="P137" s="51"/>
      <c r="Q137" s="51">
        <v>1</v>
      </c>
      <c r="R137" s="511"/>
      <c r="S137" s="51">
        <v>5</v>
      </c>
      <c r="T137" s="51"/>
      <c r="U137" s="51"/>
      <c r="V137" s="51"/>
      <c r="W137" s="51"/>
      <c r="X137" s="131">
        <f>IF(NFI_Expiration=1,IF($A137&lt;VLOOKUP(I$5,NFI,5,0),1,0)*Data_NFI_t[[#This Row],[Hygiene Kit]],0)</f>
        <v>0</v>
      </c>
      <c r="Y137" s="131">
        <f>IF(NFI_Expiration=1,IF($A137&lt;VLOOKUP(J$5,NFI,5,0),1,0)*Data_NFI_t[[#This Row],[NFI Core Kit]],0)</f>
        <v>0</v>
      </c>
      <c r="Z137" s="112">
        <f>IF(NFI_Expiration=1,IF($A137&lt;VLOOKUP(K$5,NFI,5,0),1,0)*Data_NFI_t[[#This Row],[Sanitary Kit]],0)</f>
        <v>0</v>
      </c>
      <c r="AA137" s="112">
        <f>IF(NFI_Expiration=1,IF($A137&lt;VLOOKUP(L$5,NFI,5,0),1,0)*Data_NFI_t[[#This Row],[Mosquito net]],0)</f>
        <v>0</v>
      </c>
      <c r="AB137" s="112">
        <f>IF(NFI_Expiration=1,IF($A137&lt;VLOOKUP(M$5,NFI,5,0),1,0)*Data_NFI_t[[#This Row],[Tarpaulin]],0)</f>
        <v>0</v>
      </c>
      <c r="AC137" s="112">
        <f>IF(NFI_Expiration=1,IF($A137&lt;VLOOKUP(N$5,NFI,5,0),1,0)*Data_NFI_t[[#This Row],[Blanket]],0)</f>
        <v>0</v>
      </c>
      <c r="AD137" s="112">
        <f>IF(NFI_Expiration=1,IF($A137&lt;VLOOKUP(O$5,NFI,5,0),1,0)*Data_NFI_t[[#This Row],[Kitchen Set]],0)</f>
        <v>0</v>
      </c>
      <c r="AE137" s="112">
        <f>IF(NFI_Expiration=1,IF($A137&lt;VLOOKUP(P$5,NFI,5,0),1,0)*Data_NFI_t[[#This Row],[Complementary Kit]],0)</f>
        <v>0</v>
      </c>
      <c r="AF137" s="112">
        <f>IF(NFI_Expiration=1,IF($A137&lt;VLOOKUP(Q$5,NFI,5,0),1,0)*Data_NFI_t[[#This Row],[Plastic Bucket]],0)</f>
        <v>0</v>
      </c>
      <c r="AG137" s="112">
        <f>IF(NFI_Expiration=1,IF($A137&lt;VLOOKUP(R$5,NFI,5,0),1,0)*Data_NFI_t[[#This Row],[Jerry Can]],0)</f>
        <v>0</v>
      </c>
      <c r="AH137" s="131">
        <f>IF(NFI_Expiration=1,IF($A137&lt;VLOOKUP(S$5,NFI,5,0),1,0)*Data_NFI_t[[#This Row],[Plastic Mat]],0)*IF(Data_NFI_t[[#This Row],[Distribution Date]]&gt;"01-06-2015",1,2.5)</f>
        <v>0</v>
      </c>
      <c r="AI137" s="901">
        <f>IF(NFI_Expiration=1,IF($A137&lt;VLOOKUP(T$5,NFI,5,0),1,0)*Data_NFI_t[[#This Row],[Adult Clothes]],0)</f>
        <v>0</v>
      </c>
      <c r="AJ137" s="131">
        <f>IF(NFI_Expiration=1,IF($A137&lt;VLOOKUP(U$5,NFI,5,0),1,0)*Data_NFI_t[[#This Row],[Children Clothes]],0)</f>
        <v>0</v>
      </c>
      <c r="AK137" s="131">
        <f>IF(NFI_Expiration=1,IF($A137&lt;VLOOKUP(V$5,NFI,5,0),1,0)*Data_NFI_t[[#This Row],[Sewing Kit]],0)</f>
        <v>0</v>
      </c>
      <c r="AL137" s="901">
        <f>IF(NFI_Expiration=1,IF($A137&lt;VLOOKUP(V$5,NFI,5,0),1,0)*Data_NFI_t[[#This Row],[Solar Lantern]],0)</f>
        <v>0</v>
      </c>
      <c r="AM137" s="131" t="str">
        <f ca="1">IFERROR(OFFSET(Camp_List[P_Code],MATCH(Data_NFI_t[[#This Row],[Camp Name]],Camp_List[Camp Name],0)-1,0,1,1),"")</f>
        <v>MMR012CMP093</v>
      </c>
      <c r="AN137" s="513" t="str">
        <f ca="1">IFERROR(OFFSET(Camp_List[Status],MATCH(Data_NFI_t[[#This Row],[Camp Name]],Camp_List[Camp Name],0)-1,0,1,1),"")</f>
        <v>Relocated</v>
      </c>
      <c r="AO137" s="131"/>
    </row>
    <row r="138" spans="1:41" s="90" customFormat="1" ht="19.5" customHeight="1" x14ac:dyDescent="0.25">
      <c r="A138" s="242">
        <f t="shared" si="3"/>
        <v>33.466666666666669</v>
      </c>
      <c r="B138" s="242">
        <f>YEAR(Data_NFI_t[[#This Row],[Distribution Date]])</f>
        <v>2014</v>
      </c>
      <c r="C138" s="913">
        <v>41852</v>
      </c>
      <c r="D138" s="489" t="s">
        <v>877</v>
      </c>
      <c r="E138" s="488" t="s">
        <v>877</v>
      </c>
      <c r="F138" s="489" t="s">
        <v>7</v>
      </c>
      <c r="G138" s="790" t="s">
        <v>14</v>
      </c>
      <c r="H138" s="790" t="s">
        <v>40</v>
      </c>
      <c r="I138" s="790"/>
      <c r="J138" s="51"/>
      <c r="K138" s="51"/>
      <c r="L138" s="51"/>
      <c r="M138" s="51"/>
      <c r="N138" s="51"/>
      <c r="O138" s="51"/>
      <c r="P138" s="51">
        <v>1128</v>
      </c>
      <c r="Q138" s="51"/>
      <c r="R138" s="511"/>
      <c r="S138" s="51"/>
      <c r="T138" s="51"/>
      <c r="U138" s="51"/>
      <c r="V138" s="51"/>
      <c r="W138" s="51"/>
      <c r="X138" s="131">
        <f>IF(NFI_Expiration=1,IF($A138&lt;VLOOKUP(I$5,NFI,5,0),1,0)*Data_NFI_t[[#This Row],[Hygiene Kit]],0)</f>
        <v>0</v>
      </c>
      <c r="Y138" s="131">
        <f>IF(NFI_Expiration=1,IF($A138&lt;VLOOKUP(J$5,NFI,5,0),1,0)*Data_NFI_t[[#This Row],[NFI Core Kit]],0)</f>
        <v>0</v>
      </c>
      <c r="Z138" s="112">
        <f>IF(NFI_Expiration=1,IF($A138&lt;VLOOKUP(K$5,NFI,5,0),1,0)*Data_NFI_t[[#This Row],[Sanitary Kit]],0)</f>
        <v>0</v>
      </c>
      <c r="AA138" s="112">
        <f>IF(NFI_Expiration=1,IF($A138&lt;VLOOKUP(L$5,NFI,5,0),1,0)*Data_NFI_t[[#This Row],[Mosquito net]],0)</f>
        <v>0</v>
      </c>
      <c r="AB138" s="112">
        <f>IF(NFI_Expiration=1,IF($A138&lt;VLOOKUP(M$5,NFI,5,0),1,0)*Data_NFI_t[[#This Row],[Tarpaulin]],0)</f>
        <v>0</v>
      </c>
      <c r="AC138" s="112">
        <f>IF(NFI_Expiration=1,IF($A138&lt;VLOOKUP(N$5,NFI,5,0),1,0)*Data_NFI_t[[#This Row],[Blanket]],0)</f>
        <v>0</v>
      </c>
      <c r="AD138" s="112">
        <f>IF(NFI_Expiration=1,IF($A138&lt;VLOOKUP(O$5,NFI,5,0),1,0)*Data_NFI_t[[#This Row],[Kitchen Set]],0)</f>
        <v>0</v>
      </c>
      <c r="AE138" s="112">
        <f>IF(NFI_Expiration=1,IF($A138&lt;VLOOKUP(P$5,NFI,5,0),1,0)*Data_NFI_t[[#This Row],[Complementary Kit]],0)</f>
        <v>0</v>
      </c>
      <c r="AF138" s="112">
        <f>IF(NFI_Expiration=1,IF($A138&lt;VLOOKUP(Q$5,NFI,5,0),1,0)*Data_NFI_t[[#This Row],[Plastic Bucket]],0)</f>
        <v>0</v>
      </c>
      <c r="AG138" s="112">
        <f>IF(NFI_Expiration=1,IF($A138&lt;VLOOKUP(R$5,NFI,5,0),1,0)*Data_NFI_t[[#This Row],[Jerry Can]],0)</f>
        <v>0</v>
      </c>
      <c r="AH138" s="131">
        <f>IF(NFI_Expiration=1,IF($A138&lt;VLOOKUP(S$5,NFI,5,0),1,0)*Data_NFI_t[[#This Row],[Plastic Mat]],0)*IF(Data_NFI_t[[#This Row],[Distribution Date]]&gt;"01-06-2015",1,2.5)</f>
        <v>0</v>
      </c>
      <c r="AI138" s="901">
        <f>IF(NFI_Expiration=1,IF($A138&lt;VLOOKUP(T$5,NFI,5,0),1,0)*Data_NFI_t[[#This Row],[Adult Clothes]],0)</f>
        <v>0</v>
      </c>
      <c r="AJ138" s="131">
        <f>IF(NFI_Expiration=1,IF($A138&lt;VLOOKUP(U$5,NFI,5,0),1,0)*Data_NFI_t[[#This Row],[Children Clothes]],0)</f>
        <v>0</v>
      </c>
      <c r="AK138" s="131">
        <f>IF(NFI_Expiration=1,IF($A138&lt;VLOOKUP(V$5,NFI,5,0),1,0)*Data_NFI_t[[#This Row],[Sewing Kit]],0)</f>
        <v>0</v>
      </c>
      <c r="AL138" s="901">
        <f>IF(NFI_Expiration=1,IF($A138&lt;VLOOKUP(V$5,NFI,5,0),1,0)*Data_NFI_t[[#This Row],[Solar Lantern]],0)</f>
        <v>0</v>
      </c>
      <c r="AM138" s="131" t="str">
        <f ca="1">IFERROR(OFFSET(Camp_List[P_Code],MATCH(Data_NFI_t[[#This Row],[Camp Name]],Camp_List[Camp Name],0)-1,0,1,1),"")</f>
        <v>MMR012CMP016</v>
      </c>
      <c r="AN138" s="513" t="str">
        <f ca="1">IFERROR(OFFSET(Camp_List[Status],MATCH(Data_NFI_t[[#This Row],[Camp Name]],Camp_List[Camp Name],0)-1,0,1,1),"")</f>
        <v>Open</v>
      </c>
      <c r="AO138" s="131"/>
    </row>
    <row r="139" spans="1:41" s="90" customFormat="1" ht="19.5" customHeight="1" x14ac:dyDescent="0.25">
      <c r="A139" s="242">
        <f t="shared" si="3"/>
        <v>33.466666666666669</v>
      </c>
      <c r="B139" s="242">
        <f>YEAR(Data_NFI_t[[#This Row],[Distribution Date]])</f>
        <v>2014</v>
      </c>
      <c r="C139" s="913">
        <v>41852</v>
      </c>
      <c r="D139" s="489" t="s">
        <v>877</v>
      </c>
      <c r="E139" s="488" t="s">
        <v>877</v>
      </c>
      <c r="F139" s="489" t="s">
        <v>7</v>
      </c>
      <c r="G139" s="790" t="s">
        <v>14</v>
      </c>
      <c r="H139" s="790" t="s">
        <v>42</v>
      </c>
      <c r="I139" s="790"/>
      <c r="J139" s="51"/>
      <c r="K139" s="51"/>
      <c r="L139" s="51"/>
      <c r="M139" s="51"/>
      <c r="N139" s="51"/>
      <c r="O139" s="51"/>
      <c r="P139" s="51">
        <v>959</v>
      </c>
      <c r="Q139" s="51"/>
      <c r="R139" s="511"/>
      <c r="S139" s="51"/>
      <c r="T139" s="51"/>
      <c r="U139" s="51"/>
      <c r="V139" s="51"/>
      <c r="W139" s="51"/>
      <c r="X139" s="131">
        <f>IF(NFI_Expiration=1,IF($A139&lt;VLOOKUP(I$5,NFI,5,0),1,0)*Data_NFI_t[[#This Row],[Hygiene Kit]],0)</f>
        <v>0</v>
      </c>
      <c r="Y139" s="131">
        <f>IF(NFI_Expiration=1,IF($A139&lt;VLOOKUP(J$5,NFI,5,0),1,0)*Data_NFI_t[[#This Row],[NFI Core Kit]],0)</f>
        <v>0</v>
      </c>
      <c r="Z139" s="112">
        <f>IF(NFI_Expiration=1,IF($A139&lt;VLOOKUP(K$5,NFI,5,0),1,0)*Data_NFI_t[[#This Row],[Sanitary Kit]],0)</f>
        <v>0</v>
      </c>
      <c r="AA139" s="112">
        <f>IF(NFI_Expiration=1,IF($A139&lt;VLOOKUP(L$5,NFI,5,0),1,0)*Data_NFI_t[[#This Row],[Mosquito net]],0)</f>
        <v>0</v>
      </c>
      <c r="AB139" s="112">
        <f>IF(NFI_Expiration=1,IF($A139&lt;VLOOKUP(M$5,NFI,5,0),1,0)*Data_NFI_t[[#This Row],[Tarpaulin]],0)</f>
        <v>0</v>
      </c>
      <c r="AC139" s="112">
        <f>IF(NFI_Expiration=1,IF($A139&lt;VLOOKUP(N$5,NFI,5,0),1,0)*Data_NFI_t[[#This Row],[Blanket]],0)</f>
        <v>0</v>
      </c>
      <c r="AD139" s="112">
        <f>IF(NFI_Expiration=1,IF($A139&lt;VLOOKUP(O$5,NFI,5,0),1,0)*Data_NFI_t[[#This Row],[Kitchen Set]],0)</f>
        <v>0</v>
      </c>
      <c r="AE139" s="112">
        <f>IF(NFI_Expiration=1,IF($A139&lt;VLOOKUP(P$5,NFI,5,0),1,0)*Data_NFI_t[[#This Row],[Complementary Kit]],0)</f>
        <v>0</v>
      </c>
      <c r="AF139" s="112">
        <f>IF(NFI_Expiration=1,IF($A139&lt;VLOOKUP(Q$5,NFI,5,0),1,0)*Data_NFI_t[[#This Row],[Plastic Bucket]],0)</f>
        <v>0</v>
      </c>
      <c r="AG139" s="112">
        <f>IF(NFI_Expiration=1,IF($A139&lt;VLOOKUP(R$5,NFI,5,0),1,0)*Data_NFI_t[[#This Row],[Jerry Can]],0)</f>
        <v>0</v>
      </c>
      <c r="AH139" s="131">
        <f>IF(NFI_Expiration=1,IF($A139&lt;VLOOKUP(S$5,NFI,5,0),1,0)*Data_NFI_t[[#This Row],[Plastic Mat]],0)*IF(Data_NFI_t[[#This Row],[Distribution Date]]&gt;"01-06-2015",1,2.5)</f>
        <v>0</v>
      </c>
      <c r="AI139" s="901">
        <f>IF(NFI_Expiration=1,IF($A139&lt;VLOOKUP(T$5,NFI,5,0),1,0)*Data_NFI_t[[#This Row],[Adult Clothes]],0)</f>
        <v>0</v>
      </c>
      <c r="AJ139" s="131">
        <f>IF(NFI_Expiration=1,IF($A139&lt;VLOOKUP(U$5,NFI,5,0),1,0)*Data_NFI_t[[#This Row],[Children Clothes]],0)</f>
        <v>0</v>
      </c>
      <c r="AK139" s="131">
        <f>IF(NFI_Expiration=1,IF($A139&lt;VLOOKUP(V$5,NFI,5,0),1,0)*Data_NFI_t[[#This Row],[Sewing Kit]],0)</f>
        <v>0</v>
      </c>
      <c r="AL139" s="901">
        <f>IF(NFI_Expiration=1,IF($A139&lt;VLOOKUP(V$5,NFI,5,0),1,0)*Data_NFI_t[[#This Row],[Solar Lantern]],0)</f>
        <v>0</v>
      </c>
      <c r="AM139" s="131" t="str">
        <f ca="1">IFERROR(OFFSET(Camp_List[P_Code],MATCH(Data_NFI_t[[#This Row],[Camp Name]],Camp_List[Camp Name],0)-1,0,1,1),"")</f>
        <v>MMR012CMP018</v>
      </c>
      <c r="AN139" s="513" t="str">
        <f ca="1">IFERROR(OFFSET(Camp_List[Status],MATCH(Data_NFI_t[[#This Row],[Camp Name]],Camp_List[Camp Name],0)-1,0,1,1),"")</f>
        <v>Open</v>
      </c>
      <c r="AO139" s="131"/>
    </row>
    <row r="140" spans="1:41" s="90" customFormat="1" ht="19.5" customHeight="1" x14ac:dyDescent="0.25">
      <c r="A140" s="242">
        <f t="shared" si="3"/>
        <v>33.466666666666669</v>
      </c>
      <c r="B140" s="242">
        <f>YEAR(Data_NFI_t[[#This Row],[Distribution Date]])</f>
        <v>2014</v>
      </c>
      <c r="C140" s="913">
        <v>41852</v>
      </c>
      <c r="D140" s="489" t="s">
        <v>877</v>
      </c>
      <c r="E140" s="488" t="s">
        <v>877</v>
      </c>
      <c r="F140" s="489" t="s">
        <v>7</v>
      </c>
      <c r="G140" s="790" t="s">
        <v>14</v>
      </c>
      <c r="H140" s="790" t="s">
        <v>41</v>
      </c>
      <c r="I140" s="790"/>
      <c r="J140" s="51"/>
      <c r="K140" s="51"/>
      <c r="L140" s="51"/>
      <c r="M140" s="51"/>
      <c r="N140" s="51"/>
      <c r="O140" s="51"/>
      <c r="P140" s="51">
        <v>1130</v>
      </c>
      <c r="Q140" s="51"/>
      <c r="R140" s="511"/>
      <c r="S140" s="51"/>
      <c r="T140" s="51"/>
      <c r="U140" s="51"/>
      <c r="V140" s="51"/>
      <c r="W140" s="51"/>
      <c r="X140" s="131">
        <f>IF(NFI_Expiration=1,IF($A140&lt;VLOOKUP(I$5,NFI,5,0),1,0)*Data_NFI_t[[#This Row],[Hygiene Kit]],0)</f>
        <v>0</v>
      </c>
      <c r="Y140" s="131">
        <f>IF(NFI_Expiration=1,IF($A140&lt;VLOOKUP(J$5,NFI,5,0),1,0)*Data_NFI_t[[#This Row],[NFI Core Kit]],0)</f>
        <v>0</v>
      </c>
      <c r="Z140" s="112">
        <f>IF(NFI_Expiration=1,IF($A140&lt;VLOOKUP(K$5,NFI,5,0),1,0)*Data_NFI_t[[#This Row],[Sanitary Kit]],0)</f>
        <v>0</v>
      </c>
      <c r="AA140" s="112">
        <f>IF(NFI_Expiration=1,IF($A140&lt;VLOOKUP(L$5,NFI,5,0),1,0)*Data_NFI_t[[#This Row],[Mosquito net]],0)</f>
        <v>0</v>
      </c>
      <c r="AB140" s="112">
        <f>IF(NFI_Expiration=1,IF($A140&lt;VLOOKUP(M$5,NFI,5,0),1,0)*Data_NFI_t[[#This Row],[Tarpaulin]],0)</f>
        <v>0</v>
      </c>
      <c r="AC140" s="112">
        <f>IF(NFI_Expiration=1,IF($A140&lt;VLOOKUP(N$5,NFI,5,0),1,0)*Data_NFI_t[[#This Row],[Blanket]],0)</f>
        <v>0</v>
      </c>
      <c r="AD140" s="112">
        <f>IF(NFI_Expiration=1,IF($A140&lt;VLOOKUP(O$5,NFI,5,0),1,0)*Data_NFI_t[[#This Row],[Kitchen Set]],0)</f>
        <v>0</v>
      </c>
      <c r="AE140" s="112">
        <f>IF(NFI_Expiration=1,IF($A140&lt;VLOOKUP(P$5,NFI,5,0),1,0)*Data_NFI_t[[#This Row],[Complementary Kit]],0)</f>
        <v>0</v>
      </c>
      <c r="AF140" s="112">
        <f>IF(NFI_Expiration=1,IF($A140&lt;VLOOKUP(Q$5,NFI,5,0),1,0)*Data_NFI_t[[#This Row],[Plastic Bucket]],0)</f>
        <v>0</v>
      </c>
      <c r="AG140" s="112">
        <f>IF(NFI_Expiration=1,IF($A140&lt;VLOOKUP(R$5,NFI,5,0),1,0)*Data_NFI_t[[#This Row],[Jerry Can]],0)</f>
        <v>0</v>
      </c>
      <c r="AH140" s="131">
        <f>IF(NFI_Expiration=1,IF($A140&lt;VLOOKUP(S$5,NFI,5,0),1,0)*Data_NFI_t[[#This Row],[Plastic Mat]],0)*IF(Data_NFI_t[[#This Row],[Distribution Date]]&gt;"01-06-2015",1,2.5)</f>
        <v>0</v>
      </c>
      <c r="AI140" s="901">
        <f>IF(NFI_Expiration=1,IF($A140&lt;VLOOKUP(T$5,NFI,5,0),1,0)*Data_NFI_t[[#This Row],[Adult Clothes]],0)</f>
        <v>0</v>
      </c>
      <c r="AJ140" s="131">
        <f>IF(NFI_Expiration=1,IF($A140&lt;VLOOKUP(U$5,NFI,5,0),1,0)*Data_NFI_t[[#This Row],[Children Clothes]],0)</f>
        <v>0</v>
      </c>
      <c r="AK140" s="131">
        <f>IF(NFI_Expiration=1,IF($A140&lt;VLOOKUP(V$5,NFI,5,0),1,0)*Data_NFI_t[[#This Row],[Sewing Kit]],0)</f>
        <v>0</v>
      </c>
      <c r="AL140" s="901">
        <f>IF(NFI_Expiration=1,IF($A140&lt;VLOOKUP(V$5,NFI,5,0),1,0)*Data_NFI_t[[#This Row],[Solar Lantern]],0)</f>
        <v>0</v>
      </c>
      <c r="AM140" s="131" t="str">
        <f ca="1">IFERROR(OFFSET(Camp_List[P_Code],MATCH(Data_NFI_t[[#This Row],[Camp Name]],Camp_List[Camp Name],0)-1,0,1,1),"")</f>
        <v/>
      </c>
      <c r="AN140" s="513" t="str">
        <f ca="1">IFERROR(OFFSET(Camp_List[Status],MATCH(Data_NFI_t[[#This Row],[Camp Name]],Camp_List[Camp Name],0)-1,0,1,1),"")</f>
        <v/>
      </c>
      <c r="AO140" s="131"/>
    </row>
    <row r="141" spans="1:41" s="90" customFormat="1" ht="19.5" customHeight="1" x14ac:dyDescent="0.25">
      <c r="A141" s="242">
        <f t="shared" si="3"/>
        <v>33.466666666666669</v>
      </c>
      <c r="B141" s="242">
        <f>YEAR(Data_NFI_t[[#This Row],[Distribution Date]])</f>
        <v>2014</v>
      </c>
      <c r="C141" s="913">
        <v>41852</v>
      </c>
      <c r="D141" s="489" t="s">
        <v>877</v>
      </c>
      <c r="E141" s="488" t="s">
        <v>877</v>
      </c>
      <c r="F141" s="489" t="s">
        <v>7</v>
      </c>
      <c r="G141" s="790" t="s">
        <v>14</v>
      </c>
      <c r="H141" s="790" t="s">
        <v>43</v>
      </c>
      <c r="I141" s="790"/>
      <c r="J141" s="51"/>
      <c r="K141" s="51"/>
      <c r="L141" s="51"/>
      <c r="M141" s="51"/>
      <c r="N141" s="51"/>
      <c r="O141" s="51"/>
      <c r="P141" s="51">
        <v>681</v>
      </c>
      <c r="Q141" s="51"/>
      <c r="R141" s="511"/>
      <c r="S141" s="51"/>
      <c r="T141" s="51"/>
      <c r="U141" s="51"/>
      <c r="V141" s="51"/>
      <c r="W141" s="51"/>
      <c r="X141" s="131">
        <f>IF(NFI_Expiration=1,IF($A141&lt;VLOOKUP(I$5,NFI,5,0),1,0)*Data_NFI_t[[#This Row],[Hygiene Kit]],0)</f>
        <v>0</v>
      </c>
      <c r="Y141" s="131">
        <f>IF(NFI_Expiration=1,IF($A141&lt;VLOOKUP(J$5,NFI,5,0),1,0)*Data_NFI_t[[#This Row],[NFI Core Kit]],0)</f>
        <v>0</v>
      </c>
      <c r="Z141" s="112">
        <f>IF(NFI_Expiration=1,IF($A141&lt;VLOOKUP(K$5,NFI,5,0),1,0)*Data_NFI_t[[#This Row],[Sanitary Kit]],0)</f>
        <v>0</v>
      </c>
      <c r="AA141" s="112">
        <f>IF(NFI_Expiration=1,IF($A141&lt;VLOOKUP(L$5,NFI,5,0),1,0)*Data_NFI_t[[#This Row],[Mosquito net]],0)</f>
        <v>0</v>
      </c>
      <c r="AB141" s="112">
        <f>IF(NFI_Expiration=1,IF($A141&lt;VLOOKUP(M$5,NFI,5,0),1,0)*Data_NFI_t[[#This Row],[Tarpaulin]],0)</f>
        <v>0</v>
      </c>
      <c r="AC141" s="112">
        <f>IF(NFI_Expiration=1,IF($A141&lt;VLOOKUP(N$5,NFI,5,0),1,0)*Data_NFI_t[[#This Row],[Blanket]],0)</f>
        <v>0</v>
      </c>
      <c r="AD141" s="112">
        <f>IF(NFI_Expiration=1,IF($A141&lt;VLOOKUP(O$5,NFI,5,0),1,0)*Data_NFI_t[[#This Row],[Kitchen Set]],0)</f>
        <v>0</v>
      </c>
      <c r="AE141" s="112">
        <f>IF(NFI_Expiration=1,IF($A141&lt;VLOOKUP(P$5,NFI,5,0),1,0)*Data_NFI_t[[#This Row],[Complementary Kit]],0)</f>
        <v>0</v>
      </c>
      <c r="AF141" s="112">
        <f>IF(NFI_Expiration=1,IF($A141&lt;VLOOKUP(Q$5,NFI,5,0),1,0)*Data_NFI_t[[#This Row],[Plastic Bucket]],0)</f>
        <v>0</v>
      </c>
      <c r="AG141" s="112">
        <f>IF(NFI_Expiration=1,IF($A141&lt;VLOOKUP(R$5,NFI,5,0),1,0)*Data_NFI_t[[#This Row],[Jerry Can]],0)</f>
        <v>0</v>
      </c>
      <c r="AH141" s="131">
        <f>IF(NFI_Expiration=1,IF($A141&lt;VLOOKUP(S$5,NFI,5,0),1,0)*Data_NFI_t[[#This Row],[Plastic Mat]],0)*IF(Data_NFI_t[[#This Row],[Distribution Date]]&gt;"01-06-2015",1,2.5)</f>
        <v>0</v>
      </c>
      <c r="AI141" s="901">
        <f>IF(NFI_Expiration=1,IF($A141&lt;VLOOKUP(T$5,NFI,5,0),1,0)*Data_NFI_t[[#This Row],[Adult Clothes]],0)</f>
        <v>0</v>
      </c>
      <c r="AJ141" s="131">
        <f>IF(NFI_Expiration=1,IF($A141&lt;VLOOKUP(U$5,NFI,5,0),1,0)*Data_NFI_t[[#This Row],[Children Clothes]],0)</f>
        <v>0</v>
      </c>
      <c r="AK141" s="131">
        <f>IF(NFI_Expiration=1,IF($A141&lt;VLOOKUP(V$5,NFI,5,0),1,0)*Data_NFI_t[[#This Row],[Sewing Kit]],0)</f>
        <v>0</v>
      </c>
      <c r="AL141" s="901">
        <f>IF(NFI_Expiration=1,IF($A141&lt;VLOOKUP(V$5,NFI,5,0),1,0)*Data_NFI_t[[#This Row],[Solar Lantern]],0)</f>
        <v>0</v>
      </c>
      <c r="AM141" s="131" t="str">
        <f ca="1">IFERROR(OFFSET(Camp_List[P_Code],MATCH(Data_NFI_t[[#This Row],[Camp Name]],Camp_List[Camp Name],0)-1,0,1,1),"")</f>
        <v>MMR012CMP019</v>
      </c>
      <c r="AN141" s="513" t="str">
        <f ca="1">IFERROR(OFFSET(Camp_List[Status],MATCH(Data_NFI_t[[#This Row],[Camp Name]],Camp_List[Camp Name],0)-1,0,1,1),"")</f>
        <v>Open</v>
      </c>
      <c r="AO141" s="131"/>
    </row>
    <row r="142" spans="1:41" s="90" customFormat="1" ht="19.5" customHeight="1" x14ac:dyDescent="0.25">
      <c r="A142" s="242">
        <f t="shared" si="3"/>
        <v>33.466666666666669</v>
      </c>
      <c r="B142" s="242">
        <f>YEAR(Data_NFI_t[[#This Row],[Distribution Date]])</f>
        <v>2014</v>
      </c>
      <c r="C142" s="913">
        <v>41852</v>
      </c>
      <c r="D142" s="489" t="s">
        <v>877</v>
      </c>
      <c r="E142" s="488" t="s">
        <v>877</v>
      </c>
      <c r="F142" s="489" t="s">
        <v>7</v>
      </c>
      <c r="G142" s="790" t="s">
        <v>14</v>
      </c>
      <c r="H142" s="790" t="s">
        <v>39</v>
      </c>
      <c r="I142" s="790"/>
      <c r="J142" s="51"/>
      <c r="K142" s="51"/>
      <c r="L142" s="51"/>
      <c r="M142" s="51"/>
      <c r="N142" s="51"/>
      <c r="O142" s="51"/>
      <c r="P142" s="51">
        <v>24</v>
      </c>
      <c r="Q142" s="51"/>
      <c r="R142" s="511"/>
      <c r="S142" s="51"/>
      <c r="T142" s="51"/>
      <c r="U142" s="51"/>
      <c r="V142" s="51"/>
      <c r="W142" s="51"/>
      <c r="X142" s="131">
        <f>IF(NFI_Expiration=1,IF($A142&lt;VLOOKUP(I$5,NFI,5,0),1,0)*Data_NFI_t[[#This Row],[Hygiene Kit]],0)</f>
        <v>0</v>
      </c>
      <c r="Y142" s="131">
        <f>IF(NFI_Expiration=1,IF($A142&lt;VLOOKUP(J$5,NFI,5,0),1,0)*Data_NFI_t[[#This Row],[NFI Core Kit]],0)</f>
        <v>0</v>
      </c>
      <c r="Z142" s="112">
        <f>IF(NFI_Expiration=1,IF($A142&lt;VLOOKUP(K$5,NFI,5,0),1,0)*Data_NFI_t[[#This Row],[Sanitary Kit]],0)</f>
        <v>0</v>
      </c>
      <c r="AA142" s="112">
        <f>IF(NFI_Expiration=1,IF($A142&lt;VLOOKUP(L$5,NFI,5,0),1,0)*Data_NFI_t[[#This Row],[Mosquito net]],0)</f>
        <v>0</v>
      </c>
      <c r="AB142" s="112">
        <f>IF(NFI_Expiration=1,IF($A142&lt;VLOOKUP(M$5,NFI,5,0),1,0)*Data_NFI_t[[#This Row],[Tarpaulin]],0)</f>
        <v>0</v>
      </c>
      <c r="AC142" s="112">
        <f>IF(NFI_Expiration=1,IF($A142&lt;VLOOKUP(N$5,NFI,5,0),1,0)*Data_NFI_t[[#This Row],[Blanket]],0)</f>
        <v>0</v>
      </c>
      <c r="AD142" s="112">
        <f>IF(NFI_Expiration=1,IF($A142&lt;VLOOKUP(O$5,NFI,5,0),1,0)*Data_NFI_t[[#This Row],[Kitchen Set]],0)</f>
        <v>0</v>
      </c>
      <c r="AE142" s="112">
        <f>IF(NFI_Expiration=1,IF($A142&lt;VLOOKUP(P$5,NFI,5,0),1,0)*Data_NFI_t[[#This Row],[Complementary Kit]],0)</f>
        <v>0</v>
      </c>
      <c r="AF142" s="112">
        <f>IF(NFI_Expiration=1,IF($A142&lt;VLOOKUP(Q$5,NFI,5,0),1,0)*Data_NFI_t[[#This Row],[Plastic Bucket]],0)</f>
        <v>0</v>
      </c>
      <c r="AG142" s="112">
        <f>IF(NFI_Expiration=1,IF($A142&lt;VLOOKUP(R$5,NFI,5,0),1,0)*Data_NFI_t[[#This Row],[Jerry Can]],0)</f>
        <v>0</v>
      </c>
      <c r="AH142" s="131">
        <f>IF(NFI_Expiration=1,IF($A142&lt;VLOOKUP(S$5,NFI,5,0),1,0)*Data_NFI_t[[#This Row],[Plastic Mat]],0)*IF(Data_NFI_t[[#This Row],[Distribution Date]]&gt;"01-06-2015",1,2.5)</f>
        <v>0</v>
      </c>
      <c r="AI142" s="901">
        <f>IF(NFI_Expiration=1,IF($A142&lt;VLOOKUP(T$5,NFI,5,0),1,0)*Data_NFI_t[[#This Row],[Adult Clothes]],0)</f>
        <v>0</v>
      </c>
      <c r="AJ142" s="131">
        <f>IF(NFI_Expiration=1,IF($A142&lt;VLOOKUP(U$5,NFI,5,0),1,0)*Data_NFI_t[[#This Row],[Children Clothes]],0)</f>
        <v>0</v>
      </c>
      <c r="AK142" s="131">
        <f>IF(NFI_Expiration=1,IF($A142&lt;VLOOKUP(V$5,NFI,5,0),1,0)*Data_NFI_t[[#This Row],[Sewing Kit]],0)</f>
        <v>0</v>
      </c>
      <c r="AL142" s="901">
        <f>IF(NFI_Expiration=1,IF($A142&lt;VLOOKUP(V$5,NFI,5,0),1,0)*Data_NFI_t[[#This Row],[Solar Lantern]],0)</f>
        <v>0</v>
      </c>
      <c r="AM142" s="131" t="str">
        <f ca="1">IFERROR(OFFSET(Camp_List[P_Code],MATCH(Data_NFI_t[[#This Row],[Camp Name]],Camp_List[Camp Name],0)-1,0,1,1),"")</f>
        <v>MMR012CMP015</v>
      </c>
      <c r="AN142" s="513" t="str">
        <f ca="1">IFERROR(OFFSET(Camp_List[Status],MATCH(Data_NFI_t[[#This Row],[Camp Name]],Camp_List[Camp Name],0)-1,0,1,1),"")</f>
        <v>Relocated</v>
      </c>
      <c r="AO142" s="131"/>
    </row>
    <row r="143" spans="1:41" s="90" customFormat="1" ht="19.5" customHeight="1" x14ac:dyDescent="0.25">
      <c r="A143" s="242">
        <f t="shared" si="3"/>
        <v>33.466666666666669</v>
      </c>
      <c r="B143" s="242">
        <f>YEAR(Data_NFI_t[[#This Row],[Distribution Date]])</f>
        <v>2014</v>
      </c>
      <c r="C143" s="913">
        <v>41852</v>
      </c>
      <c r="D143" s="489" t="s">
        <v>877</v>
      </c>
      <c r="E143" s="488" t="s">
        <v>877</v>
      </c>
      <c r="F143" s="489" t="s">
        <v>7</v>
      </c>
      <c r="G143" s="790" t="s">
        <v>20</v>
      </c>
      <c r="H143" s="790" t="s">
        <v>97</v>
      </c>
      <c r="I143" s="790"/>
      <c r="J143" s="51"/>
      <c r="K143" s="51"/>
      <c r="L143" s="51"/>
      <c r="M143" s="51"/>
      <c r="N143" s="51"/>
      <c r="O143" s="51"/>
      <c r="P143" s="51">
        <v>183</v>
      </c>
      <c r="Q143" s="51"/>
      <c r="R143" s="511"/>
      <c r="S143" s="51"/>
      <c r="T143" s="51"/>
      <c r="U143" s="51"/>
      <c r="V143" s="51"/>
      <c r="W143" s="51"/>
      <c r="X143" s="131">
        <f>IF(NFI_Expiration=1,IF($A143&lt;VLOOKUP(I$5,NFI,5,0),1,0)*Data_NFI_t[[#This Row],[Hygiene Kit]],0)</f>
        <v>0</v>
      </c>
      <c r="Y143" s="131">
        <f>IF(NFI_Expiration=1,IF($A143&lt;VLOOKUP(J$5,NFI,5,0),1,0)*Data_NFI_t[[#This Row],[NFI Core Kit]],0)</f>
        <v>0</v>
      </c>
      <c r="Z143" s="112">
        <f>IF(NFI_Expiration=1,IF($A143&lt;VLOOKUP(K$5,NFI,5,0),1,0)*Data_NFI_t[[#This Row],[Sanitary Kit]],0)</f>
        <v>0</v>
      </c>
      <c r="AA143" s="112">
        <f>IF(NFI_Expiration=1,IF($A143&lt;VLOOKUP(L$5,NFI,5,0),1,0)*Data_NFI_t[[#This Row],[Mosquito net]],0)</f>
        <v>0</v>
      </c>
      <c r="AB143" s="112">
        <f>IF(NFI_Expiration=1,IF($A143&lt;VLOOKUP(M$5,NFI,5,0),1,0)*Data_NFI_t[[#This Row],[Tarpaulin]],0)</f>
        <v>0</v>
      </c>
      <c r="AC143" s="112">
        <f>IF(NFI_Expiration=1,IF($A143&lt;VLOOKUP(N$5,NFI,5,0),1,0)*Data_NFI_t[[#This Row],[Blanket]],0)</f>
        <v>0</v>
      </c>
      <c r="AD143" s="112">
        <f>IF(NFI_Expiration=1,IF($A143&lt;VLOOKUP(O$5,NFI,5,0),1,0)*Data_NFI_t[[#This Row],[Kitchen Set]],0)</f>
        <v>0</v>
      </c>
      <c r="AE143" s="112">
        <f>IF(NFI_Expiration=1,IF($A143&lt;VLOOKUP(P$5,NFI,5,0),1,0)*Data_NFI_t[[#This Row],[Complementary Kit]],0)</f>
        <v>0</v>
      </c>
      <c r="AF143" s="112">
        <f>IF(NFI_Expiration=1,IF($A143&lt;VLOOKUP(Q$5,NFI,5,0),1,0)*Data_NFI_t[[#This Row],[Plastic Bucket]],0)</f>
        <v>0</v>
      </c>
      <c r="AG143" s="112">
        <f>IF(NFI_Expiration=1,IF($A143&lt;VLOOKUP(R$5,NFI,5,0),1,0)*Data_NFI_t[[#This Row],[Jerry Can]],0)</f>
        <v>0</v>
      </c>
      <c r="AH143" s="131">
        <f>IF(NFI_Expiration=1,IF($A143&lt;VLOOKUP(S$5,NFI,5,0),1,0)*Data_NFI_t[[#This Row],[Plastic Mat]],0)*IF(Data_NFI_t[[#This Row],[Distribution Date]]&gt;"01-06-2015",1,2.5)</f>
        <v>0</v>
      </c>
      <c r="AI143" s="901">
        <f>IF(NFI_Expiration=1,IF($A143&lt;VLOOKUP(T$5,NFI,5,0),1,0)*Data_NFI_t[[#This Row],[Adult Clothes]],0)</f>
        <v>0</v>
      </c>
      <c r="AJ143" s="131">
        <f>IF(NFI_Expiration=1,IF($A143&lt;VLOOKUP(U$5,NFI,5,0),1,0)*Data_NFI_t[[#This Row],[Children Clothes]],0)</f>
        <v>0</v>
      </c>
      <c r="AK143" s="131">
        <f>IF(NFI_Expiration=1,IF($A143&lt;VLOOKUP(V$5,NFI,5,0),1,0)*Data_NFI_t[[#This Row],[Sewing Kit]],0)</f>
        <v>0</v>
      </c>
      <c r="AL143" s="901">
        <f>IF(NFI_Expiration=1,IF($A143&lt;VLOOKUP(V$5,NFI,5,0),1,0)*Data_NFI_t[[#This Row],[Solar Lantern]],0)</f>
        <v>0</v>
      </c>
      <c r="AM143" s="131" t="str">
        <f ca="1">IFERROR(OFFSET(Camp_List[P_Code],MATCH(Data_NFI_t[[#This Row],[Camp Name]],Camp_List[Camp Name],0)-1,0,1,1),"")</f>
        <v>MMR012CMP076</v>
      </c>
      <c r="AN143" s="513" t="str">
        <f ca="1">IFERROR(OFFSET(Camp_List[Status],MATCH(Data_NFI_t[[#This Row],[Camp Name]],Camp_List[Camp Name],0)-1,0,1,1),"")</f>
        <v>Close</v>
      </c>
      <c r="AO143" s="131"/>
    </row>
    <row r="144" spans="1:41" s="90" customFormat="1" ht="19.5" customHeight="1" x14ac:dyDescent="0.25">
      <c r="A144" s="242">
        <f t="shared" si="3"/>
        <v>33.466666666666669</v>
      </c>
      <c r="B144" s="242">
        <f>YEAR(Data_NFI_t[[#This Row],[Distribution Date]])</f>
        <v>2014</v>
      </c>
      <c r="C144" s="913">
        <v>41852</v>
      </c>
      <c r="D144" s="489" t="s">
        <v>877</v>
      </c>
      <c r="E144" s="488" t="s">
        <v>877</v>
      </c>
      <c r="F144" s="489" t="s">
        <v>7</v>
      </c>
      <c r="G144" s="790" t="s">
        <v>20</v>
      </c>
      <c r="H144" s="790" t="s">
        <v>99</v>
      </c>
      <c r="I144" s="790"/>
      <c r="J144" s="51"/>
      <c r="K144" s="51"/>
      <c r="L144" s="51"/>
      <c r="M144" s="51"/>
      <c r="N144" s="51"/>
      <c r="O144" s="51"/>
      <c r="P144" s="51">
        <v>162</v>
      </c>
      <c r="Q144" s="51"/>
      <c r="R144" s="511"/>
      <c r="S144" s="51"/>
      <c r="T144" s="51"/>
      <c r="U144" s="51"/>
      <c r="V144" s="51"/>
      <c r="W144" s="51"/>
      <c r="X144" s="131">
        <f>IF(NFI_Expiration=1,IF($A144&lt;VLOOKUP(I$5,NFI,5,0),1,0)*Data_NFI_t[[#This Row],[Hygiene Kit]],0)</f>
        <v>0</v>
      </c>
      <c r="Y144" s="131">
        <f>IF(NFI_Expiration=1,IF($A144&lt;VLOOKUP(J$5,NFI,5,0),1,0)*Data_NFI_t[[#This Row],[NFI Core Kit]],0)</f>
        <v>0</v>
      </c>
      <c r="Z144" s="112">
        <f>IF(NFI_Expiration=1,IF($A144&lt;VLOOKUP(K$5,NFI,5,0),1,0)*Data_NFI_t[[#This Row],[Sanitary Kit]],0)</f>
        <v>0</v>
      </c>
      <c r="AA144" s="112">
        <f>IF(NFI_Expiration=1,IF($A144&lt;VLOOKUP(L$5,NFI,5,0),1,0)*Data_NFI_t[[#This Row],[Mosquito net]],0)</f>
        <v>0</v>
      </c>
      <c r="AB144" s="112">
        <f>IF(NFI_Expiration=1,IF($A144&lt;VLOOKUP(M$5,NFI,5,0),1,0)*Data_NFI_t[[#This Row],[Tarpaulin]],0)</f>
        <v>0</v>
      </c>
      <c r="AC144" s="112">
        <f>IF(NFI_Expiration=1,IF($A144&lt;VLOOKUP(N$5,NFI,5,0),1,0)*Data_NFI_t[[#This Row],[Blanket]],0)</f>
        <v>0</v>
      </c>
      <c r="AD144" s="112">
        <f>IF(NFI_Expiration=1,IF($A144&lt;VLOOKUP(O$5,NFI,5,0),1,0)*Data_NFI_t[[#This Row],[Kitchen Set]],0)</f>
        <v>0</v>
      </c>
      <c r="AE144" s="112">
        <f>IF(NFI_Expiration=1,IF($A144&lt;VLOOKUP(P$5,NFI,5,0),1,0)*Data_NFI_t[[#This Row],[Complementary Kit]],0)</f>
        <v>0</v>
      </c>
      <c r="AF144" s="112">
        <f>IF(NFI_Expiration=1,IF($A144&lt;VLOOKUP(Q$5,NFI,5,0),1,0)*Data_NFI_t[[#This Row],[Plastic Bucket]],0)</f>
        <v>0</v>
      </c>
      <c r="AG144" s="112">
        <f>IF(NFI_Expiration=1,IF($A144&lt;VLOOKUP(R$5,NFI,5,0),1,0)*Data_NFI_t[[#This Row],[Jerry Can]],0)</f>
        <v>0</v>
      </c>
      <c r="AH144" s="131">
        <f>IF(NFI_Expiration=1,IF($A144&lt;VLOOKUP(S$5,NFI,5,0),1,0)*Data_NFI_t[[#This Row],[Plastic Mat]],0)*IF(Data_NFI_t[[#This Row],[Distribution Date]]&gt;"01-06-2015",1,2.5)</f>
        <v>0</v>
      </c>
      <c r="AI144" s="901">
        <f>IF(NFI_Expiration=1,IF($A144&lt;VLOOKUP(T$5,NFI,5,0),1,0)*Data_NFI_t[[#This Row],[Adult Clothes]],0)</f>
        <v>0</v>
      </c>
      <c r="AJ144" s="131">
        <f>IF(NFI_Expiration=1,IF($A144&lt;VLOOKUP(U$5,NFI,5,0),1,0)*Data_NFI_t[[#This Row],[Children Clothes]],0)</f>
        <v>0</v>
      </c>
      <c r="AK144" s="131">
        <f>IF(NFI_Expiration=1,IF($A144&lt;VLOOKUP(V$5,NFI,5,0),1,0)*Data_NFI_t[[#This Row],[Sewing Kit]],0)</f>
        <v>0</v>
      </c>
      <c r="AL144" s="901">
        <f>IF(NFI_Expiration=1,IF($A144&lt;VLOOKUP(V$5,NFI,5,0),1,0)*Data_NFI_t[[#This Row],[Solar Lantern]],0)</f>
        <v>0</v>
      </c>
      <c r="AM144" s="131" t="str">
        <f ca="1">IFERROR(OFFSET(Camp_List[P_Code],MATCH(Data_NFI_t[[#This Row],[Camp Name]],Camp_List[Camp Name],0)-1,0,1,1),"")</f>
        <v>MMR012CMP078</v>
      </c>
      <c r="AN144" s="513" t="str">
        <f ca="1">IFERROR(OFFSET(Camp_List[Status],MATCH(Data_NFI_t[[#This Row],[Camp Name]],Camp_List[Camp Name],0)-1,0,1,1),"")</f>
        <v>Close</v>
      </c>
      <c r="AO144" s="131"/>
    </row>
    <row r="145" spans="1:41" s="90" customFormat="1" ht="19.5" customHeight="1" x14ac:dyDescent="0.25">
      <c r="A145" s="242">
        <f t="shared" si="3"/>
        <v>33.466666666666669</v>
      </c>
      <c r="B145" s="242">
        <f>YEAR(Data_NFI_t[[#This Row],[Distribution Date]])</f>
        <v>2014</v>
      </c>
      <c r="C145" s="913">
        <v>41852</v>
      </c>
      <c r="D145" s="489" t="s">
        <v>877</v>
      </c>
      <c r="E145" s="488" t="s">
        <v>877</v>
      </c>
      <c r="F145" s="489" t="s">
        <v>7</v>
      </c>
      <c r="G145" s="790" t="s">
        <v>20</v>
      </c>
      <c r="H145" s="790" t="s">
        <v>98</v>
      </c>
      <c r="I145" s="790"/>
      <c r="J145" s="51"/>
      <c r="K145" s="51"/>
      <c r="L145" s="51"/>
      <c r="M145" s="51"/>
      <c r="N145" s="51"/>
      <c r="O145" s="51"/>
      <c r="P145" s="51">
        <v>192</v>
      </c>
      <c r="Q145" s="51"/>
      <c r="R145" s="511"/>
      <c r="S145" s="51"/>
      <c r="T145" s="51"/>
      <c r="U145" s="51"/>
      <c r="V145" s="51"/>
      <c r="W145" s="51"/>
      <c r="X145" s="131">
        <f>IF(NFI_Expiration=1,IF($A145&lt;VLOOKUP(I$5,NFI,5,0),1,0)*Data_NFI_t[[#This Row],[Hygiene Kit]],0)</f>
        <v>0</v>
      </c>
      <c r="Y145" s="131">
        <f>IF(NFI_Expiration=1,IF($A145&lt;VLOOKUP(J$5,NFI,5,0),1,0)*Data_NFI_t[[#This Row],[NFI Core Kit]],0)</f>
        <v>0</v>
      </c>
      <c r="Z145" s="112">
        <f>IF(NFI_Expiration=1,IF($A145&lt;VLOOKUP(K$5,NFI,5,0),1,0)*Data_NFI_t[[#This Row],[Sanitary Kit]],0)</f>
        <v>0</v>
      </c>
      <c r="AA145" s="112">
        <f>IF(NFI_Expiration=1,IF($A145&lt;VLOOKUP(L$5,NFI,5,0),1,0)*Data_NFI_t[[#This Row],[Mosquito net]],0)</f>
        <v>0</v>
      </c>
      <c r="AB145" s="112">
        <f>IF(NFI_Expiration=1,IF($A145&lt;VLOOKUP(M$5,NFI,5,0),1,0)*Data_NFI_t[[#This Row],[Tarpaulin]],0)</f>
        <v>0</v>
      </c>
      <c r="AC145" s="112">
        <f>IF(NFI_Expiration=1,IF($A145&lt;VLOOKUP(N$5,NFI,5,0),1,0)*Data_NFI_t[[#This Row],[Blanket]],0)</f>
        <v>0</v>
      </c>
      <c r="AD145" s="112">
        <f>IF(NFI_Expiration=1,IF($A145&lt;VLOOKUP(O$5,NFI,5,0),1,0)*Data_NFI_t[[#This Row],[Kitchen Set]],0)</f>
        <v>0</v>
      </c>
      <c r="AE145" s="112">
        <f>IF(NFI_Expiration=1,IF($A145&lt;VLOOKUP(P$5,NFI,5,0),1,0)*Data_NFI_t[[#This Row],[Complementary Kit]],0)</f>
        <v>0</v>
      </c>
      <c r="AF145" s="112">
        <f>IF(NFI_Expiration=1,IF($A145&lt;VLOOKUP(Q$5,NFI,5,0),1,0)*Data_NFI_t[[#This Row],[Plastic Bucket]],0)</f>
        <v>0</v>
      </c>
      <c r="AG145" s="112">
        <f>IF(NFI_Expiration=1,IF($A145&lt;VLOOKUP(R$5,NFI,5,0),1,0)*Data_NFI_t[[#This Row],[Jerry Can]],0)</f>
        <v>0</v>
      </c>
      <c r="AH145" s="131">
        <f>IF(NFI_Expiration=1,IF($A145&lt;VLOOKUP(S$5,NFI,5,0),1,0)*Data_NFI_t[[#This Row],[Plastic Mat]],0)*IF(Data_NFI_t[[#This Row],[Distribution Date]]&gt;"01-06-2015",1,2.5)</f>
        <v>0</v>
      </c>
      <c r="AI145" s="901">
        <f>IF(NFI_Expiration=1,IF($A145&lt;VLOOKUP(T$5,NFI,5,0),1,0)*Data_NFI_t[[#This Row],[Adult Clothes]],0)</f>
        <v>0</v>
      </c>
      <c r="AJ145" s="131">
        <f>IF(NFI_Expiration=1,IF($A145&lt;VLOOKUP(U$5,NFI,5,0),1,0)*Data_NFI_t[[#This Row],[Children Clothes]],0)</f>
        <v>0</v>
      </c>
      <c r="AK145" s="131">
        <f>IF(NFI_Expiration=1,IF($A145&lt;VLOOKUP(V$5,NFI,5,0),1,0)*Data_NFI_t[[#This Row],[Sewing Kit]],0)</f>
        <v>0</v>
      </c>
      <c r="AL145" s="901">
        <f>IF(NFI_Expiration=1,IF($A145&lt;VLOOKUP(V$5,NFI,5,0),1,0)*Data_NFI_t[[#This Row],[Solar Lantern]],0)</f>
        <v>0</v>
      </c>
      <c r="AM145" s="131" t="str">
        <f ca="1">IFERROR(OFFSET(Camp_List[P_Code],MATCH(Data_NFI_t[[#This Row],[Camp Name]],Camp_List[Camp Name],0)-1,0,1,1),"")</f>
        <v>MMR012CMP077</v>
      </c>
      <c r="AN145" s="513" t="str">
        <f ca="1">IFERROR(OFFSET(Camp_List[Status],MATCH(Data_NFI_t[[#This Row],[Camp Name]],Camp_List[Camp Name],0)-1,0,1,1),"")</f>
        <v>Close</v>
      </c>
      <c r="AO145" s="131"/>
    </row>
    <row r="146" spans="1:41" s="90" customFormat="1" ht="19.5" customHeight="1" x14ac:dyDescent="0.25">
      <c r="A146" s="242">
        <f t="shared" si="3"/>
        <v>33.466666666666669</v>
      </c>
      <c r="B146" s="242">
        <f>YEAR(Data_NFI_t[[#This Row],[Distribution Date]])</f>
        <v>2014</v>
      </c>
      <c r="C146" s="913">
        <v>41852</v>
      </c>
      <c r="D146" s="489" t="s">
        <v>877</v>
      </c>
      <c r="E146" s="488" t="s">
        <v>877</v>
      </c>
      <c r="F146" s="489" t="s">
        <v>7</v>
      </c>
      <c r="G146" s="790" t="s">
        <v>20</v>
      </c>
      <c r="H146" s="790" t="s">
        <v>101</v>
      </c>
      <c r="I146" s="790"/>
      <c r="J146" s="51"/>
      <c r="K146" s="51"/>
      <c r="L146" s="51"/>
      <c r="M146" s="51"/>
      <c r="N146" s="51"/>
      <c r="O146" s="51"/>
      <c r="P146" s="51">
        <v>102</v>
      </c>
      <c r="Q146" s="51"/>
      <c r="R146" s="511"/>
      <c r="S146" s="51"/>
      <c r="T146" s="51"/>
      <c r="U146" s="51"/>
      <c r="V146" s="51"/>
      <c r="W146" s="51"/>
      <c r="X146" s="131">
        <f>IF(NFI_Expiration=1,IF($A146&lt;VLOOKUP(I$5,NFI,5,0),1,0)*Data_NFI_t[[#This Row],[Hygiene Kit]],0)</f>
        <v>0</v>
      </c>
      <c r="Y146" s="131">
        <f>IF(NFI_Expiration=1,IF($A146&lt;VLOOKUP(J$5,NFI,5,0),1,0)*Data_NFI_t[[#This Row],[NFI Core Kit]],0)</f>
        <v>0</v>
      </c>
      <c r="Z146" s="112">
        <f>IF(NFI_Expiration=1,IF($A146&lt;VLOOKUP(K$5,NFI,5,0),1,0)*Data_NFI_t[[#This Row],[Sanitary Kit]],0)</f>
        <v>0</v>
      </c>
      <c r="AA146" s="112">
        <f>IF(NFI_Expiration=1,IF($A146&lt;VLOOKUP(L$5,NFI,5,0),1,0)*Data_NFI_t[[#This Row],[Mosquito net]],0)</f>
        <v>0</v>
      </c>
      <c r="AB146" s="112">
        <f>IF(NFI_Expiration=1,IF($A146&lt;VLOOKUP(M$5,NFI,5,0),1,0)*Data_NFI_t[[#This Row],[Tarpaulin]],0)</f>
        <v>0</v>
      </c>
      <c r="AC146" s="112">
        <f>IF(NFI_Expiration=1,IF($A146&lt;VLOOKUP(N$5,NFI,5,0),1,0)*Data_NFI_t[[#This Row],[Blanket]],0)</f>
        <v>0</v>
      </c>
      <c r="AD146" s="112">
        <f>IF(NFI_Expiration=1,IF($A146&lt;VLOOKUP(O$5,NFI,5,0),1,0)*Data_NFI_t[[#This Row],[Kitchen Set]],0)</f>
        <v>0</v>
      </c>
      <c r="AE146" s="112">
        <f>IF(NFI_Expiration=1,IF($A146&lt;VLOOKUP(P$5,NFI,5,0),1,0)*Data_NFI_t[[#This Row],[Complementary Kit]],0)</f>
        <v>0</v>
      </c>
      <c r="AF146" s="112">
        <f>IF(NFI_Expiration=1,IF($A146&lt;VLOOKUP(Q$5,NFI,5,0),1,0)*Data_NFI_t[[#This Row],[Plastic Bucket]],0)</f>
        <v>0</v>
      </c>
      <c r="AG146" s="112">
        <f>IF(NFI_Expiration=1,IF($A146&lt;VLOOKUP(R$5,NFI,5,0),1,0)*Data_NFI_t[[#This Row],[Jerry Can]],0)</f>
        <v>0</v>
      </c>
      <c r="AH146" s="131">
        <f>IF(NFI_Expiration=1,IF($A146&lt;VLOOKUP(S$5,NFI,5,0),1,0)*Data_NFI_t[[#This Row],[Plastic Mat]],0)*IF(Data_NFI_t[[#This Row],[Distribution Date]]&gt;"01-06-2015",1,2.5)</f>
        <v>0</v>
      </c>
      <c r="AI146" s="901">
        <f>IF(NFI_Expiration=1,IF($A146&lt;VLOOKUP(T$5,NFI,5,0),1,0)*Data_NFI_t[[#This Row],[Adult Clothes]],0)</f>
        <v>0</v>
      </c>
      <c r="AJ146" s="131">
        <f>IF(NFI_Expiration=1,IF($A146&lt;VLOOKUP(U$5,NFI,5,0),1,0)*Data_NFI_t[[#This Row],[Children Clothes]],0)</f>
        <v>0</v>
      </c>
      <c r="AK146" s="131">
        <f>IF(NFI_Expiration=1,IF($A146&lt;VLOOKUP(V$5,NFI,5,0),1,0)*Data_NFI_t[[#This Row],[Sewing Kit]],0)</f>
        <v>0</v>
      </c>
      <c r="AL146" s="901">
        <f>IF(NFI_Expiration=1,IF($A146&lt;VLOOKUP(V$5,NFI,5,0),1,0)*Data_NFI_t[[#This Row],[Solar Lantern]],0)</f>
        <v>0</v>
      </c>
      <c r="AM146" s="131" t="str">
        <f ca="1">IFERROR(OFFSET(Camp_List[P_Code],MATCH(Data_NFI_t[[#This Row],[Camp Name]],Camp_List[Camp Name],0)-1,0,1,1),"")</f>
        <v>MMR012CMP080</v>
      </c>
      <c r="AN146" s="513" t="str">
        <f ca="1">IFERROR(OFFSET(Camp_List[Status],MATCH(Data_NFI_t[[#This Row],[Camp Name]],Camp_List[Camp Name],0)-1,0,1,1),"")</f>
        <v>Close</v>
      </c>
      <c r="AO146" s="131"/>
    </row>
    <row r="147" spans="1:41" s="90" customFormat="1" ht="19.5" customHeight="1" x14ac:dyDescent="0.25">
      <c r="A147" s="242">
        <f t="shared" si="3"/>
        <v>33.466666666666669</v>
      </c>
      <c r="B147" s="242">
        <f>YEAR(Data_NFI_t[[#This Row],[Distribution Date]])</f>
        <v>2014</v>
      </c>
      <c r="C147" s="913">
        <v>41852</v>
      </c>
      <c r="D147" s="489" t="s">
        <v>877</v>
      </c>
      <c r="E147" s="488" t="s">
        <v>877</v>
      </c>
      <c r="F147" s="489" t="s">
        <v>7</v>
      </c>
      <c r="G147" s="790" t="s">
        <v>20</v>
      </c>
      <c r="H147" s="790" t="s">
        <v>100</v>
      </c>
      <c r="I147" s="790"/>
      <c r="J147" s="51"/>
      <c r="K147" s="51"/>
      <c r="L147" s="51"/>
      <c r="M147" s="51"/>
      <c r="N147" s="51"/>
      <c r="O147" s="51"/>
      <c r="P147" s="51">
        <v>103</v>
      </c>
      <c r="Q147" s="51"/>
      <c r="R147" s="511"/>
      <c r="S147" s="51"/>
      <c r="T147" s="51"/>
      <c r="U147" s="51"/>
      <c r="V147" s="51"/>
      <c r="W147" s="51"/>
      <c r="X147" s="131">
        <f>IF(NFI_Expiration=1,IF($A147&lt;VLOOKUP(I$5,NFI,5,0),1,0)*Data_NFI_t[[#This Row],[Hygiene Kit]],0)</f>
        <v>0</v>
      </c>
      <c r="Y147" s="131">
        <f>IF(NFI_Expiration=1,IF($A147&lt;VLOOKUP(J$5,NFI,5,0),1,0)*Data_NFI_t[[#This Row],[NFI Core Kit]],0)</f>
        <v>0</v>
      </c>
      <c r="Z147" s="112">
        <f>IF(NFI_Expiration=1,IF($A147&lt;VLOOKUP(K$5,NFI,5,0),1,0)*Data_NFI_t[[#This Row],[Sanitary Kit]],0)</f>
        <v>0</v>
      </c>
      <c r="AA147" s="112">
        <f>IF(NFI_Expiration=1,IF($A147&lt;VLOOKUP(L$5,NFI,5,0),1,0)*Data_NFI_t[[#This Row],[Mosquito net]],0)</f>
        <v>0</v>
      </c>
      <c r="AB147" s="112">
        <f>IF(NFI_Expiration=1,IF($A147&lt;VLOOKUP(M$5,NFI,5,0),1,0)*Data_NFI_t[[#This Row],[Tarpaulin]],0)</f>
        <v>0</v>
      </c>
      <c r="AC147" s="112">
        <f>IF(NFI_Expiration=1,IF($A147&lt;VLOOKUP(N$5,NFI,5,0),1,0)*Data_NFI_t[[#This Row],[Blanket]],0)</f>
        <v>0</v>
      </c>
      <c r="AD147" s="112">
        <f>IF(NFI_Expiration=1,IF($A147&lt;VLOOKUP(O$5,NFI,5,0),1,0)*Data_NFI_t[[#This Row],[Kitchen Set]],0)</f>
        <v>0</v>
      </c>
      <c r="AE147" s="112">
        <f>IF(NFI_Expiration=1,IF($A147&lt;VLOOKUP(P$5,NFI,5,0),1,0)*Data_NFI_t[[#This Row],[Complementary Kit]],0)</f>
        <v>0</v>
      </c>
      <c r="AF147" s="112">
        <f>IF(NFI_Expiration=1,IF($A147&lt;VLOOKUP(Q$5,NFI,5,0),1,0)*Data_NFI_t[[#This Row],[Plastic Bucket]],0)</f>
        <v>0</v>
      </c>
      <c r="AG147" s="112">
        <f>IF(NFI_Expiration=1,IF($A147&lt;VLOOKUP(R$5,NFI,5,0),1,0)*Data_NFI_t[[#This Row],[Jerry Can]],0)</f>
        <v>0</v>
      </c>
      <c r="AH147" s="131">
        <f>IF(NFI_Expiration=1,IF($A147&lt;VLOOKUP(S$5,NFI,5,0),1,0)*Data_NFI_t[[#This Row],[Plastic Mat]],0)*IF(Data_NFI_t[[#This Row],[Distribution Date]]&gt;"01-06-2015",1,2.5)</f>
        <v>0</v>
      </c>
      <c r="AI147" s="901">
        <f>IF(NFI_Expiration=1,IF($A147&lt;VLOOKUP(T$5,NFI,5,0),1,0)*Data_NFI_t[[#This Row],[Adult Clothes]],0)</f>
        <v>0</v>
      </c>
      <c r="AJ147" s="131">
        <f>IF(NFI_Expiration=1,IF($A147&lt;VLOOKUP(U$5,NFI,5,0),1,0)*Data_NFI_t[[#This Row],[Children Clothes]],0)</f>
        <v>0</v>
      </c>
      <c r="AK147" s="131">
        <f>IF(NFI_Expiration=1,IF($A147&lt;VLOOKUP(V$5,NFI,5,0),1,0)*Data_NFI_t[[#This Row],[Sewing Kit]],0)</f>
        <v>0</v>
      </c>
      <c r="AL147" s="901">
        <f>IF(NFI_Expiration=1,IF($A147&lt;VLOOKUP(V$5,NFI,5,0),1,0)*Data_NFI_t[[#This Row],[Solar Lantern]],0)</f>
        <v>0</v>
      </c>
      <c r="AM147" s="131" t="str">
        <f ca="1">IFERROR(OFFSET(Camp_List[P_Code],MATCH(Data_NFI_t[[#This Row],[Camp Name]],Camp_List[Camp Name],0)-1,0,1,1),"")</f>
        <v>MMR012CMP079</v>
      </c>
      <c r="AN147" s="513" t="str">
        <f ca="1">IFERROR(OFFSET(Camp_List[Status],MATCH(Data_NFI_t[[#This Row],[Camp Name]],Camp_List[Camp Name],0)-1,0,1,1),"")</f>
        <v>Close</v>
      </c>
      <c r="AO147" s="131"/>
    </row>
    <row r="148" spans="1:41" s="90" customFormat="1" ht="19.5" customHeight="1" x14ac:dyDescent="0.25">
      <c r="A148" s="242">
        <f t="shared" si="3"/>
        <v>33.466666666666669</v>
      </c>
      <c r="B148" s="242">
        <f>YEAR(Data_NFI_t[[#This Row],[Distribution Date]])</f>
        <v>2014</v>
      </c>
      <c r="C148" s="913">
        <v>41852</v>
      </c>
      <c r="D148" s="489" t="s">
        <v>877</v>
      </c>
      <c r="E148" s="488" t="s">
        <v>877</v>
      </c>
      <c r="F148" s="489" t="s">
        <v>7</v>
      </c>
      <c r="G148" s="790" t="s">
        <v>20</v>
      </c>
      <c r="H148" s="790" t="s">
        <v>102</v>
      </c>
      <c r="I148" s="790"/>
      <c r="J148" s="51"/>
      <c r="K148" s="51"/>
      <c r="L148" s="51"/>
      <c r="M148" s="51"/>
      <c r="N148" s="51"/>
      <c r="O148" s="51"/>
      <c r="P148" s="51">
        <v>175</v>
      </c>
      <c r="Q148" s="51"/>
      <c r="R148" s="511"/>
      <c r="S148" s="51"/>
      <c r="T148" s="51"/>
      <c r="U148" s="51"/>
      <c r="V148" s="51"/>
      <c r="W148" s="51"/>
      <c r="X148" s="131">
        <f>IF(NFI_Expiration=1,IF($A148&lt;VLOOKUP(I$5,NFI,5,0),1,0)*Data_NFI_t[[#This Row],[Hygiene Kit]],0)</f>
        <v>0</v>
      </c>
      <c r="Y148" s="131">
        <f>IF(NFI_Expiration=1,IF($A148&lt;VLOOKUP(J$5,NFI,5,0),1,0)*Data_NFI_t[[#This Row],[NFI Core Kit]],0)</f>
        <v>0</v>
      </c>
      <c r="Z148" s="112">
        <f>IF(NFI_Expiration=1,IF($A148&lt;VLOOKUP(K$5,NFI,5,0),1,0)*Data_NFI_t[[#This Row],[Sanitary Kit]],0)</f>
        <v>0</v>
      </c>
      <c r="AA148" s="112">
        <f>IF(NFI_Expiration=1,IF($A148&lt;VLOOKUP(L$5,NFI,5,0),1,0)*Data_NFI_t[[#This Row],[Mosquito net]],0)</f>
        <v>0</v>
      </c>
      <c r="AB148" s="112">
        <f>IF(NFI_Expiration=1,IF($A148&lt;VLOOKUP(M$5,NFI,5,0),1,0)*Data_NFI_t[[#This Row],[Tarpaulin]],0)</f>
        <v>0</v>
      </c>
      <c r="AC148" s="112">
        <f>IF(NFI_Expiration=1,IF($A148&lt;VLOOKUP(N$5,NFI,5,0),1,0)*Data_NFI_t[[#This Row],[Blanket]],0)</f>
        <v>0</v>
      </c>
      <c r="AD148" s="112">
        <f>IF(NFI_Expiration=1,IF($A148&lt;VLOOKUP(O$5,NFI,5,0),1,0)*Data_NFI_t[[#This Row],[Kitchen Set]],0)</f>
        <v>0</v>
      </c>
      <c r="AE148" s="112">
        <f>IF(NFI_Expiration=1,IF($A148&lt;VLOOKUP(P$5,NFI,5,0),1,0)*Data_NFI_t[[#This Row],[Complementary Kit]],0)</f>
        <v>0</v>
      </c>
      <c r="AF148" s="112">
        <f>IF(NFI_Expiration=1,IF($A148&lt;VLOOKUP(Q$5,NFI,5,0),1,0)*Data_NFI_t[[#This Row],[Plastic Bucket]],0)</f>
        <v>0</v>
      </c>
      <c r="AG148" s="112">
        <f>IF(NFI_Expiration=1,IF($A148&lt;VLOOKUP(R$5,NFI,5,0),1,0)*Data_NFI_t[[#This Row],[Jerry Can]],0)</f>
        <v>0</v>
      </c>
      <c r="AH148" s="131">
        <f>IF(NFI_Expiration=1,IF($A148&lt;VLOOKUP(S$5,NFI,5,0),1,0)*Data_NFI_t[[#This Row],[Plastic Mat]],0)*IF(Data_NFI_t[[#This Row],[Distribution Date]]&gt;"01-06-2015",1,2.5)</f>
        <v>0</v>
      </c>
      <c r="AI148" s="901">
        <f>IF(NFI_Expiration=1,IF($A148&lt;VLOOKUP(T$5,NFI,5,0),1,0)*Data_NFI_t[[#This Row],[Adult Clothes]],0)</f>
        <v>0</v>
      </c>
      <c r="AJ148" s="131">
        <f>IF(NFI_Expiration=1,IF($A148&lt;VLOOKUP(U$5,NFI,5,0),1,0)*Data_NFI_t[[#This Row],[Children Clothes]],0)</f>
        <v>0</v>
      </c>
      <c r="AK148" s="131">
        <f>IF(NFI_Expiration=1,IF($A148&lt;VLOOKUP(V$5,NFI,5,0),1,0)*Data_NFI_t[[#This Row],[Sewing Kit]],0)</f>
        <v>0</v>
      </c>
      <c r="AL148" s="901">
        <f>IF(NFI_Expiration=1,IF($A148&lt;VLOOKUP(V$5,NFI,5,0),1,0)*Data_NFI_t[[#This Row],[Solar Lantern]],0)</f>
        <v>0</v>
      </c>
      <c r="AM148" s="131" t="str">
        <f ca="1">IFERROR(OFFSET(Camp_List[P_Code],MATCH(Data_NFI_t[[#This Row],[Camp Name]],Camp_List[Camp Name],0)-1,0,1,1),"")</f>
        <v>MMR012CMP081</v>
      </c>
      <c r="AN148" s="513" t="str">
        <f ca="1">IFERROR(OFFSET(Camp_List[Status],MATCH(Data_NFI_t[[#This Row],[Camp Name]],Camp_List[Camp Name],0)-1,0,1,1),"")</f>
        <v>Close</v>
      </c>
      <c r="AO148" s="131"/>
    </row>
    <row r="149" spans="1:41" s="90" customFormat="1" ht="19.5" customHeight="1" x14ac:dyDescent="0.25">
      <c r="A149" s="242">
        <f t="shared" si="3"/>
        <v>33.833333333333336</v>
      </c>
      <c r="B149" s="242">
        <f>YEAR(Data_NFI_t[[#This Row],[Distribution Date]])</f>
        <v>2014</v>
      </c>
      <c r="C149" s="913">
        <v>41841</v>
      </c>
      <c r="D149" s="489" t="s">
        <v>288</v>
      </c>
      <c r="E149" s="488" t="s">
        <v>288</v>
      </c>
      <c r="F149" s="489" t="s">
        <v>7</v>
      </c>
      <c r="G149" s="790" t="s">
        <v>19</v>
      </c>
      <c r="H149" s="790" t="s">
        <v>63</v>
      </c>
      <c r="I149" s="790"/>
      <c r="J149" s="51"/>
      <c r="K149" s="51"/>
      <c r="L149" s="51"/>
      <c r="M149" s="51">
        <v>304</v>
      </c>
      <c r="N149" s="51">
        <v>608</v>
      </c>
      <c r="O149" s="51"/>
      <c r="P149" s="51"/>
      <c r="Q149" s="51">
        <v>304</v>
      </c>
      <c r="R149" s="511"/>
      <c r="S149" s="51"/>
      <c r="T149" s="51"/>
      <c r="U149" s="51"/>
      <c r="V149" s="51"/>
      <c r="W149" s="51"/>
      <c r="X149" s="131">
        <f>IF(NFI_Expiration=1,IF($A149&lt;VLOOKUP(I$5,NFI,5,0),1,0)*Data_NFI_t[[#This Row],[Hygiene Kit]],0)</f>
        <v>0</v>
      </c>
      <c r="Y149" s="131">
        <f>IF(NFI_Expiration=1,IF($A149&lt;VLOOKUP(J$5,NFI,5,0),1,0)*Data_NFI_t[[#This Row],[NFI Core Kit]],0)</f>
        <v>0</v>
      </c>
      <c r="Z149" s="112">
        <f>IF(NFI_Expiration=1,IF($A149&lt;VLOOKUP(K$5,NFI,5,0),1,0)*Data_NFI_t[[#This Row],[Sanitary Kit]],0)</f>
        <v>0</v>
      </c>
      <c r="AA149" s="112">
        <f>IF(NFI_Expiration=1,IF($A149&lt;VLOOKUP(L$5,NFI,5,0),1,0)*Data_NFI_t[[#This Row],[Mosquito net]],0)</f>
        <v>0</v>
      </c>
      <c r="AB149" s="112">
        <f>IF(NFI_Expiration=1,IF($A149&lt;VLOOKUP(M$5,NFI,5,0),1,0)*Data_NFI_t[[#This Row],[Tarpaulin]],0)</f>
        <v>0</v>
      </c>
      <c r="AC149" s="112">
        <f>IF(NFI_Expiration=1,IF($A149&lt;VLOOKUP(N$5,NFI,5,0),1,0)*Data_NFI_t[[#This Row],[Blanket]],0)</f>
        <v>0</v>
      </c>
      <c r="AD149" s="112">
        <f>IF(NFI_Expiration=1,IF($A149&lt;VLOOKUP(O$5,NFI,5,0),1,0)*Data_NFI_t[[#This Row],[Kitchen Set]],0)</f>
        <v>0</v>
      </c>
      <c r="AE149" s="112">
        <f>IF(NFI_Expiration=1,IF($A149&lt;VLOOKUP(P$5,NFI,5,0),1,0)*Data_NFI_t[[#This Row],[Complementary Kit]],0)</f>
        <v>0</v>
      </c>
      <c r="AF149" s="112">
        <f>IF(NFI_Expiration=1,IF($A149&lt;VLOOKUP(Q$5,NFI,5,0),1,0)*Data_NFI_t[[#This Row],[Plastic Bucket]],0)</f>
        <v>0</v>
      </c>
      <c r="AG149" s="112">
        <f>IF(NFI_Expiration=1,IF($A149&lt;VLOOKUP(R$5,NFI,5,0),1,0)*Data_NFI_t[[#This Row],[Jerry Can]],0)</f>
        <v>0</v>
      </c>
      <c r="AH149" s="131">
        <f>IF(NFI_Expiration=1,IF($A149&lt;VLOOKUP(S$5,NFI,5,0),1,0)*Data_NFI_t[[#This Row],[Plastic Mat]],0)*IF(Data_NFI_t[[#This Row],[Distribution Date]]&gt;"01-06-2015",1,2.5)</f>
        <v>0</v>
      </c>
      <c r="AI149" s="901">
        <f>IF(NFI_Expiration=1,IF($A149&lt;VLOOKUP(T$5,NFI,5,0),1,0)*Data_NFI_t[[#This Row],[Adult Clothes]],0)</f>
        <v>0</v>
      </c>
      <c r="AJ149" s="131">
        <f>IF(NFI_Expiration=1,IF($A149&lt;VLOOKUP(U$5,NFI,5,0),1,0)*Data_NFI_t[[#This Row],[Children Clothes]],0)</f>
        <v>0</v>
      </c>
      <c r="AK149" s="131">
        <f>IF(NFI_Expiration=1,IF($A149&lt;VLOOKUP(V$5,NFI,5,0),1,0)*Data_NFI_t[[#This Row],[Sewing Kit]],0)</f>
        <v>0</v>
      </c>
      <c r="AL149" s="901">
        <f>IF(NFI_Expiration=1,IF($A149&lt;VLOOKUP(V$5,NFI,5,0),1,0)*Data_NFI_t[[#This Row],[Solar Lantern]],0)</f>
        <v>0</v>
      </c>
      <c r="AM149" s="131" t="str">
        <f ca="1">IFERROR(OFFSET(Camp_List[P_Code],MATCH(Data_NFI_t[[#This Row],[Camp Name]],Camp_List[Camp Name],0)-1,0,1,1),"")</f>
        <v>MMR012CMP041</v>
      </c>
      <c r="AN149" s="513" t="str">
        <f ca="1">IFERROR(OFFSET(Camp_List[Status],MATCH(Data_NFI_t[[#This Row],[Camp Name]],Camp_List[Camp Name],0)-1,0,1,1),"")</f>
        <v>Open</v>
      </c>
      <c r="AO149" s="131"/>
    </row>
    <row r="150" spans="1:41" s="90" customFormat="1" ht="19.5" customHeight="1" x14ac:dyDescent="0.25">
      <c r="A150" s="242">
        <f t="shared" si="3"/>
        <v>33.833333333333336</v>
      </c>
      <c r="B150" s="242">
        <f>YEAR(Data_NFI_t[[#This Row],[Distribution Date]])</f>
        <v>2014</v>
      </c>
      <c r="C150" s="913">
        <v>41841</v>
      </c>
      <c r="D150" s="489" t="s">
        <v>623</v>
      </c>
      <c r="E150" s="488" t="s">
        <v>623</v>
      </c>
      <c r="F150" s="489" t="s">
        <v>7</v>
      </c>
      <c r="G150" s="790" t="s">
        <v>19</v>
      </c>
      <c r="H150" s="790" t="s">
        <v>78</v>
      </c>
      <c r="I150" s="790"/>
      <c r="J150" s="51">
        <v>70</v>
      </c>
      <c r="K150" s="51"/>
      <c r="L150" s="51"/>
      <c r="M150" s="51"/>
      <c r="N150" s="51"/>
      <c r="O150" s="51"/>
      <c r="P150" s="51"/>
      <c r="Q150" s="51"/>
      <c r="R150" s="511"/>
      <c r="S150" s="51"/>
      <c r="T150" s="51"/>
      <c r="U150" s="51"/>
      <c r="V150" s="51"/>
      <c r="W150" s="51"/>
      <c r="X150" s="131">
        <f>IF(NFI_Expiration=1,IF($A150&lt;VLOOKUP(I$5,NFI,5,0),1,0)*Data_NFI_t[[#This Row],[Hygiene Kit]],0)</f>
        <v>0</v>
      </c>
      <c r="Y150" s="131">
        <f>IF(NFI_Expiration=1,IF($A150&lt;VLOOKUP(J$5,NFI,5,0),1,0)*Data_NFI_t[[#This Row],[NFI Core Kit]],0)</f>
        <v>0</v>
      </c>
      <c r="Z150" s="112">
        <f>IF(NFI_Expiration=1,IF($A150&lt;VLOOKUP(K$5,NFI,5,0),1,0)*Data_NFI_t[[#This Row],[Sanitary Kit]],0)</f>
        <v>0</v>
      </c>
      <c r="AA150" s="112">
        <f>IF(NFI_Expiration=1,IF($A150&lt;VLOOKUP(L$5,NFI,5,0),1,0)*Data_NFI_t[[#This Row],[Mosquito net]],0)</f>
        <v>0</v>
      </c>
      <c r="AB150" s="112">
        <f>IF(NFI_Expiration=1,IF($A150&lt;VLOOKUP(M$5,NFI,5,0),1,0)*Data_NFI_t[[#This Row],[Tarpaulin]],0)</f>
        <v>0</v>
      </c>
      <c r="AC150" s="112">
        <f>IF(NFI_Expiration=1,IF($A150&lt;VLOOKUP(N$5,NFI,5,0),1,0)*Data_NFI_t[[#This Row],[Blanket]],0)</f>
        <v>0</v>
      </c>
      <c r="AD150" s="112">
        <f>IF(NFI_Expiration=1,IF($A150&lt;VLOOKUP(O$5,NFI,5,0),1,0)*Data_NFI_t[[#This Row],[Kitchen Set]],0)</f>
        <v>0</v>
      </c>
      <c r="AE150" s="112">
        <f>IF(NFI_Expiration=1,IF($A150&lt;VLOOKUP(P$5,NFI,5,0),1,0)*Data_NFI_t[[#This Row],[Complementary Kit]],0)</f>
        <v>0</v>
      </c>
      <c r="AF150" s="112">
        <f>IF(NFI_Expiration=1,IF($A150&lt;VLOOKUP(Q$5,NFI,5,0),1,0)*Data_NFI_t[[#This Row],[Plastic Bucket]],0)</f>
        <v>0</v>
      </c>
      <c r="AG150" s="112">
        <f>IF(NFI_Expiration=1,IF($A150&lt;VLOOKUP(R$5,NFI,5,0),1,0)*Data_NFI_t[[#This Row],[Jerry Can]],0)</f>
        <v>0</v>
      </c>
      <c r="AH150" s="131">
        <f>IF(NFI_Expiration=1,IF($A150&lt;VLOOKUP(S$5,NFI,5,0),1,0)*Data_NFI_t[[#This Row],[Plastic Mat]],0)*IF(Data_NFI_t[[#This Row],[Distribution Date]]&gt;"01-06-2015",1,2.5)</f>
        <v>0</v>
      </c>
      <c r="AI150" s="901">
        <f>IF(NFI_Expiration=1,IF($A150&lt;VLOOKUP(T$5,NFI,5,0),1,0)*Data_NFI_t[[#This Row],[Adult Clothes]],0)</f>
        <v>0</v>
      </c>
      <c r="AJ150" s="131">
        <f>IF(NFI_Expiration=1,IF($A150&lt;VLOOKUP(U$5,NFI,5,0),1,0)*Data_NFI_t[[#This Row],[Children Clothes]],0)</f>
        <v>0</v>
      </c>
      <c r="AK150" s="131">
        <f>IF(NFI_Expiration=1,IF($A150&lt;VLOOKUP(V$5,NFI,5,0),1,0)*Data_NFI_t[[#This Row],[Sewing Kit]],0)</f>
        <v>0</v>
      </c>
      <c r="AL150" s="901">
        <f>IF(NFI_Expiration=1,IF($A150&lt;VLOOKUP(V$5,NFI,5,0),1,0)*Data_NFI_t[[#This Row],[Solar Lantern]],0)</f>
        <v>0</v>
      </c>
      <c r="AM150" s="131" t="str">
        <f ca="1">IFERROR(OFFSET(Camp_List[P_Code],MATCH(Data_NFI_t[[#This Row],[Camp Name]],Camp_List[Camp Name],0)-1,0,1,1),"")</f>
        <v>MMR012CMP056</v>
      </c>
      <c r="AN150" s="513" t="str">
        <f ca="1">IFERROR(OFFSET(Camp_List[Status],MATCH(Data_NFI_t[[#This Row],[Camp Name]],Camp_List[Camp Name],0)-1,0,1,1),"")</f>
        <v>Relocated</v>
      </c>
      <c r="AO150" s="131"/>
    </row>
    <row r="151" spans="1:41" s="90" customFormat="1" ht="19.5" customHeight="1" x14ac:dyDescent="0.25">
      <c r="A151" s="242">
        <f t="shared" ref="A151:A214" si="4">IF(ISBLANK(C151),"",(Report_Date-C151)/30)</f>
        <v>33.833333333333336</v>
      </c>
      <c r="B151" s="242">
        <f>YEAR(Data_NFI_t[[#This Row],[Distribution Date]])</f>
        <v>2014</v>
      </c>
      <c r="C151" s="913">
        <v>41841</v>
      </c>
      <c r="D151" s="489" t="s">
        <v>623</v>
      </c>
      <c r="E151" s="488" t="s">
        <v>623</v>
      </c>
      <c r="F151" s="489" t="s">
        <v>7</v>
      </c>
      <c r="G151" s="790" t="s">
        <v>19</v>
      </c>
      <c r="H151" s="790" t="s">
        <v>245</v>
      </c>
      <c r="I151" s="790"/>
      <c r="J151" s="51">
        <v>151</v>
      </c>
      <c r="K151" s="51"/>
      <c r="L151" s="51"/>
      <c r="M151" s="51"/>
      <c r="N151" s="51"/>
      <c r="O151" s="51"/>
      <c r="P151" s="51"/>
      <c r="Q151" s="51"/>
      <c r="R151" s="511"/>
      <c r="S151" s="51"/>
      <c r="T151" s="51"/>
      <c r="U151" s="51"/>
      <c r="V151" s="51"/>
      <c r="W151" s="51"/>
      <c r="X151" s="131">
        <f>IF(NFI_Expiration=1,IF($A151&lt;VLOOKUP(I$5,NFI,5,0),1,0)*Data_NFI_t[[#This Row],[Hygiene Kit]],0)</f>
        <v>0</v>
      </c>
      <c r="Y151" s="131">
        <f>IF(NFI_Expiration=1,IF($A151&lt;VLOOKUP(J$5,NFI,5,0),1,0)*Data_NFI_t[[#This Row],[NFI Core Kit]],0)</f>
        <v>0</v>
      </c>
      <c r="Z151" s="112">
        <f>IF(NFI_Expiration=1,IF($A151&lt;VLOOKUP(K$5,NFI,5,0),1,0)*Data_NFI_t[[#This Row],[Sanitary Kit]],0)</f>
        <v>0</v>
      </c>
      <c r="AA151" s="112">
        <f>IF(NFI_Expiration=1,IF($A151&lt;VLOOKUP(L$5,NFI,5,0),1,0)*Data_NFI_t[[#This Row],[Mosquito net]],0)</f>
        <v>0</v>
      </c>
      <c r="AB151" s="112">
        <f>IF(NFI_Expiration=1,IF($A151&lt;VLOOKUP(M$5,NFI,5,0),1,0)*Data_NFI_t[[#This Row],[Tarpaulin]],0)</f>
        <v>0</v>
      </c>
      <c r="AC151" s="112">
        <f>IF(NFI_Expiration=1,IF($A151&lt;VLOOKUP(N$5,NFI,5,0),1,0)*Data_NFI_t[[#This Row],[Blanket]],0)</f>
        <v>0</v>
      </c>
      <c r="AD151" s="112">
        <f>IF(NFI_Expiration=1,IF($A151&lt;VLOOKUP(O$5,NFI,5,0),1,0)*Data_NFI_t[[#This Row],[Kitchen Set]],0)</f>
        <v>0</v>
      </c>
      <c r="AE151" s="112">
        <f>IF(NFI_Expiration=1,IF($A151&lt;VLOOKUP(P$5,NFI,5,0),1,0)*Data_NFI_t[[#This Row],[Complementary Kit]],0)</f>
        <v>0</v>
      </c>
      <c r="AF151" s="112">
        <f>IF(NFI_Expiration=1,IF($A151&lt;VLOOKUP(Q$5,NFI,5,0),1,0)*Data_NFI_t[[#This Row],[Plastic Bucket]],0)</f>
        <v>0</v>
      </c>
      <c r="AG151" s="112">
        <f>IF(NFI_Expiration=1,IF($A151&lt;VLOOKUP(R$5,NFI,5,0),1,0)*Data_NFI_t[[#This Row],[Jerry Can]],0)</f>
        <v>0</v>
      </c>
      <c r="AH151" s="131">
        <f>IF(NFI_Expiration=1,IF($A151&lt;VLOOKUP(S$5,NFI,5,0),1,0)*Data_NFI_t[[#This Row],[Plastic Mat]],0)*IF(Data_NFI_t[[#This Row],[Distribution Date]]&gt;"01-06-2015",1,2.5)</f>
        <v>0</v>
      </c>
      <c r="AI151" s="901">
        <f>IF(NFI_Expiration=1,IF($A151&lt;VLOOKUP(T$5,NFI,5,0),1,0)*Data_NFI_t[[#This Row],[Adult Clothes]],0)</f>
        <v>0</v>
      </c>
      <c r="AJ151" s="131">
        <f>IF(NFI_Expiration=1,IF($A151&lt;VLOOKUP(U$5,NFI,5,0),1,0)*Data_NFI_t[[#This Row],[Children Clothes]],0)</f>
        <v>0</v>
      </c>
      <c r="AK151" s="131">
        <f>IF(NFI_Expiration=1,IF($A151&lt;VLOOKUP(V$5,NFI,5,0),1,0)*Data_NFI_t[[#This Row],[Sewing Kit]],0)</f>
        <v>0</v>
      </c>
      <c r="AL151" s="901">
        <f>IF(NFI_Expiration=1,IF($A151&lt;VLOOKUP(V$5,NFI,5,0),1,0)*Data_NFI_t[[#This Row],[Solar Lantern]],0)</f>
        <v>0</v>
      </c>
      <c r="AM151" s="131" t="str">
        <f ca="1">IFERROR(OFFSET(Camp_List[P_Code],MATCH(Data_NFI_t[[#This Row],[Camp Name]],Camp_List[Camp Name],0)-1,0,1,1),"")</f>
        <v>MMR012CMP093</v>
      </c>
      <c r="AN151" s="513" t="str">
        <f ca="1">IFERROR(OFFSET(Camp_List[Status],MATCH(Data_NFI_t[[#This Row],[Camp Name]],Camp_List[Camp Name],0)-1,0,1,1),"")</f>
        <v>Relocated</v>
      </c>
      <c r="AO151" s="131"/>
    </row>
    <row r="152" spans="1:41" s="90" customFormat="1" ht="19.5" customHeight="1" x14ac:dyDescent="0.25">
      <c r="A152" s="242">
        <f t="shared" si="4"/>
        <v>35.06666666666667</v>
      </c>
      <c r="B152" s="242">
        <f>YEAR(Data_NFI_t[[#This Row],[Distribution Date]])</f>
        <v>2014</v>
      </c>
      <c r="C152" s="913">
        <v>41804</v>
      </c>
      <c r="D152" s="489" t="s">
        <v>623</v>
      </c>
      <c r="E152" s="488" t="s">
        <v>623</v>
      </c>
      <c r="F152" s="489" t="s">
        <v>7</v>
      </c>
      <c r="G152" s="790" t="s">
        <v>19</v>
      </c>
      <c r="H152" s="790" t="s">
        <v>64</v>
      </c>
      <c r="I152" s="790"/>
      <c r="J152" s="51"/>
      <c r="K152" s="51"/>
      <c r="L152" s="51">
        <v>2</v>
      </c>
      <c r="M152" s="51">
        <v>1</v>
      </c>
      <c r="N152" s="51">
        <v>2</v>
      </c>
      <c r="O152" s="51">
        <v>1</v>
      </c>
      <c r="P152" s="51"/>
      <c r="Q152" s="51">
        <v>1</v>
      </c>
      <c r="R152" s="511"/>
      <c r="S152" s="51">
        <v>5</v>
      </c>
      <c r="T152" s="51"/>
      <c r="U152" s="51"/>
      <c r="V152" s="51"/>
      <c r="W152" s="51"/>
      <c r="X152" s="131">
        <f>IF(NFI_Expiration=1,IF($A152&lt;VLOOKUP(I$5,NFI,5,0),1,0)*Data_NFI_t[[#This Row],[Hygiene Kit]],0)</f>
        <v>0</v>
      </c>
      <c r="Y152" s="131">
        <f>IF(NFI_Expiration=1,IF($A152&lt;VLOOKUP(J$5,NFI,5,0),1,0)*Data_NFI_t[[#This Row],[NFI Core Kit]],0)</f>
        <v>0</v>
      </c>
      <c r="Z152" s="112">
        <f>IF(NFI_Expiration=1,IF($A152&lt;VLOOKUP(K$5,NFI,5,0),1,0)*Data_NFI_t[[#This Row],[Sanitary Kit]],0)</f>
        <v>0</v>
      </c>
      <c r="AA152" s="112">
        <f>IF(NFI_Expiration=1,IF($A152&lt;VLOOKUP(L$5,NFI,5,0),1,0)*Data_NFI_t[[#This Row],[Mosquito net]],0)</f>
        <v>0</v>
      </c>
      <c r="AB152" s="112">
        <f>IF(NFI_Expiration=1,IF($A152&lt;VLOOKUP(M$5,NFI,5,0),1,0)*Data_NFI_t[[#This Row],[Tarpaulin]],0)</f>
        <v>0</v>
      </c>
      <c r="AC152" s="112">
        <f>IF(NFI_Expiration=1,IF($A152&lt;VLOOKUP(N$5,NFI,5,0),1,0)*Data_NFI_t[[#This Row],[Blanket]],0)</f>
        <v>0</v>
      </c>
      <c r="AD152" s="112">
        <f>IF(NFI_Expiration=1,IF($A152&lt;VLOOKUP(O$5,NFI,5,0),1,0)*Data_NFI_t[[#This Row],[Kitchen Set]],0)</f>
        <v>0</v>
      </c>
      <c r="AE152" s="112">
        <f>IF(NFI_Expiration=1,IF($A152&lt;VLOOKUP(P$5,NFI,5,0),1,0)*Data_NFI_t[[#This Row],[Complementary Kit]],0)</f>
        <v>0</v>
      </c>
      <c r="AF152" s="112">
        <f>IF(NFI_Expiration=1,IF($A152&lt;VLOOKUP(Q$5,NFI,5,0),1,0)*Data_NFI_t[[#This Row],[Plastic Bucket]],0)</f>
        <v>0</v>
      </c>
      <c r="AG152" s="112">
        <f>IF(NFI_Expiration=1,IF($A152&lt;VLOOKUP(R$5,NFI,5,0),1,0)*Data_NFI_t[[#This Row],[Jerry Can]],0)</f>
        <v>0</v>
      </c>
      <c r="AH152" s="131">
        <f>IF(NFI_Expiration=1,IF($A152&lt;VLOOKUP(S$5,NFI,5,0),1,0)*Data_NFI_t[[#This Row],[Plastic Mat]],0)*IF(Data_NFI_t[[#This Row],[Distribution Date]]&gt;"01-06-2015",1,2.5)</f>
        <v>0</v>
      </c>
      <c r="AI152" s="901">
        <f>IF(NFI_Expiration=1,IF($A152&lt;VLOOKUP(T$5,NFI,5,0),1,0)*Data_NFI_t[[#This Row],[Adult Clothes]],0)</f>
        <v>0</v>
      </c>
      <c r="AJ152" s="131">
        <f>IF(NFI_Expiration=1,IF($A152&lt;VLOOKUP(U$5,NFI,5,0),1,0)*Data_NFI_t[[#This Row],[Children Clothes]],0)</f>
        <v>0</v>
      </c>
      <c r="AK152" s="131">
        <f>IF(NFI_Expiration=1,IF($A152&lt;VLOOKUP(V$5,NFI,5,0),1,0)*Data_NFI_t[[#This Row],[Sewing Kit]],0)</f>
        <v>0</v>
      </c>
      <c r="AL152" s="901">
        <f>IF(NFI_Expiration=1,IF($A152&lt;VLOOKUP(V$5,NFI,5,0),1,0)*Data_NFI_t[[#This Row],[Solar Lantern]],0)</f>
        <v>0</v>
      </c>
      <c r="AM152" s="131" t="str">
        <f ca="1">IFERROR(OFFSET(Camp_List[P_Code],MATCH(Data_NFI_t[[#This Row],[Camp Name]],Camp_List[Camp Name],0)-1,0,1,1),"")</f>
        <v>MMR012CMP042</v>
      </c>
      <c r="AN152" s="513" t="str">
        <f ca="1">IFERROR(OFFSET(Camp_List[Status],MATCH(Data_NFI_t[[#This Row],[Camp Name]],Camp_List[Camp Name],0)-1,0,1,1),"")</f>
        <v>Open</v>
      </c>
      <c r="AO152" s="131"/>
    </row>
    <row r="153" spans="1:41" s="90" customFormat="1" ht="19.5" customHeight="1" x14ac:dyDescent="0.25">
      <c r="A153" s="242">
        <f t="shared" si="4"/>
        <v>35.266666666666666</v>
      </c>
      <c r="B153" s="242">
        <f>YEAR(Data_NFI_t[[#This Row],[Distribution Date]])</f>
        <v>2014</v>
      </c>
      <c r="C153" s="913">
        <v>41798</v>
      </c>
      <c r="D153" s="489" t="s">
        <v>285</v>
      </c>
      <c r="E153" s="488" t="s">
        <v>285</v>
      </c>
      <c r="F153" s="489" t="s">
        <v>7</v>
      </c>
      <c r="G153" s="790" t="s">
        <v>19</v>
      </c>
      <c r="H153" s="790" t="s">
        <v>548</v>
      </c>
      <c r="I153" s="790"/>
      <c r="J153" s="51">
        <v>2404</v>
      </c>
      <c r="K153" s="51"/>
      <c r="L153" s="51">
        <v>4808</v>
      </c>
      <c r="M153" s="51">
        <v>2404</v>
      </c>
      <c r="N153" s="51">
        <v>4808</v>
      </c>
      <c r="O153" s="51">
        <v>2404</v>
      </c>
      <c r="P153" s="51"/>
      <c r="Q153" s="51">
        <v>2404</v>
      </c>
      <c r="R153" s="511"/>
      <c r="S153" s="51">
        <v>12020</v>
      </c>
      <c r="T153" s="51"/>
      <c r="U153" s="51"/>
      <c r="V153" s="51"/>
      <c r="W153" s="51"/>
      <c r="X153" s="131">
        <f>IF(NFI_Expiration=1,IF($A153&lt;VLOOKUP(I$5,NFI,5,0),1,0)*Data_NFI_t[[#This Row],[Hygiene Kit]],0)</f>
        <v>0</v>
      </c>
      <c r="Y153" s="131">
        <f>IF(NFI_Expiration=1,IF($A153&lt;VLOOKUP(J$5,NFI,5,0),1,0)*Data_NFI_t[[#This Row],[NFI Core Kit]],0)</f>
        <v>0</v>
      </c>
      <c r="Z153" s="112">
        <f>IF(NFI_Expiration=1,IF($A153&lt;VLOOKUP(K$5,NFI,5,0),1,0)*Data_NFI_t[[#This Row],[Sanitary Kit]],0)</f>
        <v>0</v>
      </c>
      <c r="AA153" s="112">
        <f>IF(NFI_Expiration=1,IF($A153&lt;VLOOKUP(L$5,NFI,5,0),1,0)*Data_NFI_t[[#This Row],[Mosquito net]],0)</f>
        <v>0</v>
      </c>
      <c r="AB153" s="112">
        <f>IF(NFI_Expiration=1,IF($A153&lt;VLOOKUP(M$5,NFI,5,0),1,0)*Data_NFI_t[[#This Row],[Tarpaulin]],0)</f>
        <v>0</v>
      </c>
      <c r="AC153" s="112">
        <f>IF(NFI_Expiration=1,IF($A153&lt;VLOOKUP(N$5,NFI,5,0),1,0)*Data_NFI_t[[#This Row],[Blanket]],0)</f>
        <v>0</v>
      </c>
      <c r="AD153" s="112">
        <f>IF(NFI_Expiration=1,IF($A153&lt;VLOOKUP(O$5,NFI,5,0),1,0)*Data_NFI_t[[#This Row],[Kitchen Set]],0)</f>
        <v>0</v>
      </c>
      <c r="AE153" s="112">
        <f>IF(NFI_Expiration=1,IF($A153&lt;VLOOKUP(P$5,NFI,5,0),1,0)*Data_NFI_t[[#This Row],[Complementary Kit]],0)</f>
        <v>0</v>
      </c>
      <c r="AF153" s="112">
        <f>IF(NFI_Expiration=1,IF($A153&lt;VLOOKUP(Q$5,NFI,5,0),1,0)*Data_NFI_t[[#This Row],[Plastic Bucket]],0)</f>
        <v>0</v>
      </c>
      <c r="AG153" s="112">
        <f>IF(NFI_Expiration=1,IF($A153&lt;VLOOKUP(R$5,NFI,5,0),1,0)*Data_NFI_t[[#This Row],[Jerry Can]],0)</f>
        <v>0</v>
      </c>
      <c r="AH153" s="131">
        <f>IF(NFI_Expiration=1,IF($A153&lt;VLOOKUP(S$5,NFI,5,0),1,0)*Data_NFI_t[[#This Row],[Plastic Mat]],0)*IF(Data_NFI_t[[#This Row],[Distribution Date]]&gt;"01-06-2015",1,2.5)</f>
        <v>0</v>
      </c>
      <c r="AI153" s="901">
        <f>IF(NFI_Expiration=1,IF($A153&lt;VLOOKUP(T$5,NFI,5,0),1,0)*Data_NFI_t[[#This Row],[Adult Clothes]],0)</f>
        <v>0</v>
      </c>
      <c r="AJ153" s="131">
        <f>IF(NFI_Expiration=1,IF($A153&lt;VLOOKUP(U$5,NFI,5,0),1,0)*Data_NFI_t[[#This Row],[Children Clothes]],0)</f>
        <v>0</v>
      </c>
      <c r="AK153" s="131">
        <f>IF(NFI_Expiration=1,IF($A153&lt;VLOOKUP(V$5,NFI,5,0),1,0)*Data_NFI_t[[#This Row],[Sewing Kit]],0)</f>
        <v>0</v>
      </c>
      <c r="AL153" s="901">
        <f>IF(NFI_Expiration=1,IF($A153&lt;VLOOKUP(V$5,NFI,5,0),1,0)*Data_NFI_t[[#This Row],[Solar Lantern]],0)</f>
        <v>0</v>
      </c>
      <c r="AM153" s="131" t="str">
        <f ca="1">IFERROR(OFFSET(Camp_List[P_Code],MATCH(Data_NFI_t[[#This Row],[Camp Name]],Camp_List[Camp Name],0)-1,0,1,1),"")</f>
        <v>MMR012CMP101</v>
      </c>
      <c r="AN153" s="513" t="str">
        <f ca="1">IFERROR(OFFSET(Camp_List[Status],MATCH(Data_NFI_t[[#This Row],[Camp Name]],Camp_List[Camp Name],0)-1,0,1,1),"")</f>
        <v>Close</v>
      </c>
      <c r="AO153" s="131"/>
    </row>
    <row r="154" spans="1:41" s="90" customFormat="1" ht="19.5" customHeight="1" x14ac:dyDescent="0.25">
      <c r="A154" s="242">
        <f t="shared" si="4"/>
        <v>37.533333333333331</v>
      </c>
      <c r="B154" s="242">
        <f>YEAR(Data_NFI_t[[#This Row],[Distribution Date]])</f>
        <v>2014</v>
      </c>
      <c r="C154" s="913">
        <v>41730</v>
      </c>
      <c r="D154" s="489" t="s">
        <v>288</v>
      </c>
      <c r="E154" s="488" t="s">
        <v>288</v>
      </c>
      <c r="F154" s="489" t="s">
        <v>7</v>
      </c>
      <c r="G154" s="790" t="s">
        <v>19</v>
      </c>
      <c r="H154" s="790" t="s">
        <v>67</v>
      </c>
      <c r="I154" s="790"/>
      <c r="J154" s="51"/>
      <c r="K154" s="51"/>
      <c r="L154" s="51"/>
      <c r="M154" s="51">
        <v>2573</v>
      </c>
      <c r="N154" s="51"/>
      <c r="O154" s="51"/>
      <c r="P154" s="51"/>
      <c r="Q154" s="51"/>
      <c r="R154" s="511"/>
      <c r="S154" s="51"/>
      <c r="T154" s="51"/>
      <c r="U154" s="51"/>
      <c r="V154" s="51"/>
      <c r="W154" s="51"/>
      <c r="X154" s="131">
        <f>IF(NFI_Expiration=1,IF($A154&lt;VLOOKUP(I$5,NFI,5,0),1,0)*Data_NFI_t[[#This Row],[Hygiene Kit]],0)</f>
        <v>0</v>
      </c>
      <c r="Y154" s="131">
        <f>IF(NFI_Expiration=1,IF($A154&lt;VLOOKUP(J$5,NFI,5,0),1,0)*Data_NFI_t[[#This Row],[NFI Core Kit]],0)</f>
        <v>0</v>
      </c>
      <c r="Z154" s="112">
        <f>IF(NFI_Expiration=1,IF($A154&lt;VLOOKUP(K$5,NFI,5,0),1,0)*Data_NFI_t[[#This Row],[Sanitary Kit]],0)</f>
        <v>0</v>
      </c>
      <c r="AA154" s="112">
        <f>IF(NFI_Expiration=1,IF($A154&lt;VLOOKUP(L$5,NFI,5,0),1,0)*Data_NFI_t[[#This Row],[Mosquito net]],0)</f>
        <v>0</v>
      </c>
      <c r="AB154" s="112">
        <f>IF(NFI_Expiration=1,IF($A154&lt;VLOOKUP(M$5,NFI,5,0),1,0)*Data_NFI_t[[#This Row],[Tarpaulin]],0)</f>
        <v>0</v>
      </c>
      <c r="AC154" s="112">
        <f>IF(NFI_Expiration=1,IF($A154&lt;VLOOKUP(N$5,NFI,5,0),1,0)*Data_NFI_t[[#This Row],[Blanket]],0)</f>
        <v>0</v>
      </c>
      <c r="AD154" s="112">
        <f>IF(NFI_Expiration=1,IF($A154&lt;VLOOKUP(O$5,NFI,5,0),1,0)*Data_NFI_t[[#This Row],[Kitchen Set]],0)</f>
        <v>0</v>
      </c>
      <c r="AE154" s="112">
        <f>IF(NFI_Expiration=1,IF($A154&lt;VLOOKUP(P$5,NFI,5,0),1,0)*Data_NFI_t[[#This Row],[Complementary Kit]],0)</f>
        <v>0</v>
      </c>
      <c r="AF154" s="112">
        <f>IF(NFI_Expiration=1,IF($A154&lt;VLOOKUP(Q$5,NFI,5,0),1,0)*Data_NFI_t[[#This Row],[Plastic Bucket]],0)</f>
        <v>0</v>
      </c>
      <c r="AG154" s="112">
        <f>IF(NFI_Expiration=1,IF($A154&lt;VLOOKUP(R$5,NFI,5,0),1,0)*Data_NFI_t[[#This Row],[Jerry Can]],0)</f>
        <v>0</v>
      </c>
      <c r="AH154" s="131">
        <f>IF(NFI_Expiration=1,IF($A154&lt;VLOOKUP(S$5,NFI,5,0),1,0)*Data_NFI_t[[#This Row],[Plastic Mat]],0)*IF(Data_NFI_t[[#This Row],[Distribution Date]]&gt;"01-06-2015",1,2.5)</f>
        <v>0</v>
      </c>
      <c r="AI154" s="901">
        <f>IF(NFI_Expiration=1,IF($A154&lt;VLOOKUP(T$5,NFI,5,0),1,0)*Data_NFI_t[[#This Row],[Adult Clothes]],0)</f>
        <v>0</v>
      </c>
      <c r="AJ154" s="131">
        <f>IF(NFI_Expiration=1,IF($A154&lt;VLOOKUP(U$5,NFI,5,0),1,0)*Data_NFI_t[[#This Row],[Children Clothes]],0)</f>
        <v>0</v>
      </c>
      <c r="AK154" s="131">
        <f>IF(NFI_Expiration=1,IF($A154&lt;VLOOKUP(V$5,NFI,5,0),1,0)*Data_NFI_t[[#This Row],[Sewing Kit]],0)</f>
        <v>0</v>
      </c>
      <c r="AL154" s="901">
        <f>IF(NFI_Expiration=1,IF($A154&lt;VLOOKUP(V$5,NFI,5,0),1,0)*Data_NFI_t[[#This Row],[Solar Lantern]],0)</f>
        <v>0</v>
      </c>
      <c r="AM154" s="131" t="str">
        <f ca="1">IFERROR(OFFSET(Camp_List[P_Code],MATCH(Data_NFI_t[[#This Row],[Camp Name]],Camp_List[Camp Name],0)-1,0,1,1),"")</f>
        <v>MMR012CMP045</v>
      </c>
      <c r="AN154" s="513" t="str">
        <f ca="1">IFERROR(OFFSET(Camp_List[Status],MATCH(Data_NFI_t[[#This Row],[Camp Name]],Camp_List[Camp Name],0)-1,0,1,1),"")</f>
        <v>Open</v>
      </c>
      <c r="AO154" s="131"/>
    </row>
    <row r="155" spans="1:41" s="90" customFormat="1" ht="19.5" customHeight="1" x14ac:dyDescent="0.25">
      <c r="A155" s="242">
        <f t="shared" si="4"/>
        <v>38.56666666666667</v>
      </c>
      <c r="B155" s="242">
        <f>YEAR(Data_NFI_t[[#This Row],[Distribution Date]])</f>
        <v>2014</v>
      </c>
      <c r="C155" s="913">
        <v>41699</v>
      </c>
      <c r="D155" s="489" t="s">
        <v>288</v>
      </c>
      <c r="E155" s="488" t="s">
        <v>288</v>
      </c>
      <c r="F155" s="489" t="s">
        <v>7</v>
      </c>
      <c r="G155" s="790" t="s">
        <v>19</v>
      </c>
      <c r="H155" s="790" t="s">
        <v>629</v>
      </c>
      <c r="I155" s="790"/>
      <c r="J155" s="51"/>
      <c r="K155" s="51"/>
      <c r="L155" s="51"/>
      <c r="M155" s="51">
        <v>1000</v>
      </c>
      <c r="N155" s="51"/>
      <c r="O155" s="51"/>
      <c r="P155" s="51"/>
      <c r="Q155" s="51"/>
      <c r="R155" s="511"/>
      <c r="S155" s="51"/>
      <c r="T155" s="51"/>
      <c r="U155" s="51"/>
      <c r="V155" s="51"/>
      <c r="W155" s="51"/>
      <c r="X155" s="131">
        <f>IF(NFI_Expiration=1,IF($A155&lt;VLOOKUP(I$5,NFI,5,0),1,0)*Data_NFI_t[[#This Row],[Hygiene Kit]],0)</f>
        <v>0</v>
      </c>
      <c r="Y155" s="131">
        <f>IF(NFI_Expiration=1,IF($A155&lt;VLOOKUP(J$5,NFI,5,0),1,0)*Data_NFI_t[[#This Row],[NFI Core Kit]],0)</f>
        <v>0</v>
      </c>
      <c r="Z155" s="112">
        <f>IF(NFI_Expiration=1,IF($A155&lt;VLOOKUP(K$5,NFI,5,0),1,0)*Data_NFI_t[[#This Row],[Sanitary Kit]],0)</f>
        <v>0</v>
      </c>
      <c r="AA155" s="112">
        <f>IF(NFI_Expiration=1,IF($A155&lt;VLOOKUP(L$5,NFI,5,0),1,0)*Data_NFI_t[[#This Row],[Mosquito net]],0)</f>
        <v>0</v>
      </c>
      <c r="AB155" s="112">
        <f>IF(NFI_Expiration=1,IF($A155&lt;VLOOKUP(M$5,NFI,5,0),1,0)*Data_NFI_t[[#This Row],[Tarpaulin]],0)</f>
        <v>0</v>
      </c>
      <c r="AC155" s="112">
        <f>IF(NFI_Expiration=1,IF($A155&lt;VLOOKUP(N$5,NFI,5,0),1,0)*Data_NFI_t[[#This Row],[Blanket]],0)</f>
        <v>0</v>
      </c>
      <c r="AD155" s="112">
        <f>IF(NFI_Expiration=1,IF($A155&lt;VLOOKUP(O$5,NFI,5,0),1,0)*Data_NFI_t[[#This Row],[Kitchen Set]],0)</f>
        <v>0</v>
      </c>
      <c r="AE155" s="112">
        <f>IF(NFI_Expiration=1,IF($A155&lt;VLOOKUP(P$5,NFI,5,0),1,0)*Data_NFI_t[[#This Row],[Complementary Kit]],0)</f>
        <v>0</v>
      </c>
      <c r="AF155" s="112">
        <f>IF(NFI_Expiration=1,IF($A155&lt;VLOOKUP(Q$5,NFI,5,0),1,0)*Data_NFI_t[[#This Row],[Plastic Bucket]],0)</f>
        <v>0</v>
      </c>
      <c r="AG155" s="112">
        <f>IF(NFI_Expiration=1,IF($A155&lt;VLOOKUP(R$5,NFI,5,0),1,0)*Data_NFI_t[[#This Row],[Jerry Can]],0)</f>
        <v>0</v>
      </c>
      <c r="AH155" s="131">
        <f>IF(NFI_Expiration=1,IF($A155&lt;VLOOKUP(S$5,NFI,5,0),1,0)*Data_NFI_t[[#This Row],[Plastic Mat]],0)*IF(Data_NFI_t[[#This Row],[Distribution Date]]&gt;"01-06-2015",1,2.5)</f>
        <v>0</v>
      </c>
      <c r="AI155" s="901">
        <f>IF(NFI_Expiration=1,IF($A155&lt;VLOOKUP(T$5,NFI,5,0),1,0)*Data_NFI_t[[#This Row],[Adult Clothes]],0)</f>
        <v>0</v>
      </c>
      <c r="AJ155" s="131">
        <f>IF(NFI_Expiration=1,IF($A155&lt;VLOOKUP(U$5,NFI,5,0),1,0)*Data_NFI_t[[#This Row],[Children Clothes]],0)</f>
        <v>0</v>
      </c>
      <c r="AK155" s="131">
        <f>IF(NFI_Expiration=1,IF($A155&lt;VLOOKUP(V$5,NFI,5,0),1,0)*Data_NFI_t[[#This Row],[Sewing Kit]],0)</f>
        <v>0</v>
      </c>
      <c r="AL155" s="901">
        <f>IF(NFI_Expiration=1,IF($A155&lt;VLOOKUP(V$5,NFI,5,0),1,0)*Data_NFI_t[[#This Row],[Solar Lantern]],0)</f>
        <v>0</v>
      </c>
      <c r="AM155" s="131" t="str">
        <f ca="1">IFERROR(OFFSET(Camp_List[P_Code],MATCH(Data_NFI_t[[#This Row],[Camp Name]],Camp_List[Camp Name],0)-1,0,1,1),"")</f>
        <v>MMR012CMP113</v>
      </c>
      <c r="AN155" s="513" t="str">
        <f ca="1">IFERROR(OFFSET(Camp_List[Status],MATCH(Data_NFI_t[[#This Row],[Camp Name]],Camp_List[Camp Name],0)-1,0,1,1),"")</f>
        <v>Open</v>
      </c>
      <c r="AO155" s="131"/>
    </row>
    <row r="156" spans="1:41" s="90" customFormat="1" ht="19.5" customHeight="1" x14ac:dyDescent="0.25">
      <c r="A156" s="242">
        <f t="shared" si="4"/>
        <v>38.56666666666667</v>
      </c>
      <c r="B156" s="242">
        <f>YEAR(Data_NFI_t[[#This Row],[Distribution Date]])</f>
        <v>2014</v>
      </c>
      <c r="C156" s="913">
        <v>41699</v>
      </c>
      <c r="D156" s="489" t="s">
        <v>288</v>
      </c>
      <c r="E156" s="488" t="s">
        <v>288</v>
      </c>
      <c r="F156" s="489" t="s">
        <v>7</v>
      </c>
      <c r="G156" s="790" t="s">
        <v>19</v>
      </c>
      <c r="H156" s="790" t="s">
        <v>630</v>
      </c>
      <c r="I156" s="790"/>
      <c r="J156" s="51"/>
      <c r="K156" s="51"/>
      <c r="L156" s="51"/>
      <c r="M156" s="51">
        <v>1320</v>
      </c>
      <c r="N156" s="51"/>
      <c r="O156" s="51"/>
      <c r="P156" s="51"/>
      <c r="Q156" s="51"/>
      <c r="R156" s="511"/>
      <c r="S156" s="51"/>
      <c r="T156" s="51"/>
      <c r="U156" s="51"/>
      <c r="V156" s="51"/>
      <c r="W156" s="51"/>
      <c r="X156" s="131">
        <f>IF(NFI_Expiration=1,IF($A156&lt;VLOOKUP(I$5,NFI,5,0),1,0)*Data_NFI_t[[#This Row],[Hygiene Kit]],0)</f>
        <v>0</v>
      </c>
      <c r="Y156" s="131">
        <f>IF(NFI_Expiration=1,IF($A156&lt;VLOOKUP(J$5,NFI,5,0),1,0)*Data_NFI_t[[#This Row],[NFI Core Kit]],0)</f>
        <v>0</v>
      </c>
      <c r="Z156" s="112">
        <f>IF(NFI_Expiration=1,IF($A156&lt;VLOOKUP(K$5,NFI,5,0),1,0)*Data_NFI_t[[#This Row],[Sanitary Kit]],0)</f>
        <v>0</v>
      </c>
      <c r="AA156" s="112">
        <f>IF(NFI_Expiration=1,IF($A156&lt;VLOOKUP(L$5,NFI,5,0),1,0)*Data_NFI_t[[#This Row],[Mosquito net]],0)</f>
        <v>0</v>
      </c>
      <c r="AB156" s="112">
        <f>IF(NFI_Expiration=1,IF($A156&lt;VLOOKUP(M$5,NFI,5,0),1,0)*Data_NFI_t[[#This Row],[Tarpaulin]],0)</f>
        <v>0</v>
      </c>
      <c r="AC156" s="112">
        <f>IF(NFI_Expiration=1,IF($A156&lt;VLOOKUP(N$5,NFI,5,0),1,0)*Data_NFI_t[[#This Row],[Blanket]],0)</f>
        <v>0</v>
      </c>
      <c r="AD156" s="112">
        <f>IF(NFI_Expiration=1,IF($A156&lt;VLOOKUP(O$5,NFI,5,0),1,0)*Data_NFI_t[[#This Row],[Kitchen Set]],0)</f>
        <v>0</v>
      </c>
      <c r="AE156" s="112">
        <f>IF(NFI_Expiration=1,IF($A156&lt;VLOOKUP(P$5,NFI,5,0),1,0)*Data_NFI_t[[#This Row],[Complementary Kit]],0)</f>
        <v>0</v>
      </c>
      <c r="AF156" s="112">
        <f>IF(NFI_Expiration=1,IF($A156&lt;VLOOKUP(Q$5,NFI,5,0),1,0)*Data_NFI_t[[#This Row],[Plastic Bucket]],0)</f>
        <v>0</v>
      </c>
      <c r="AG156" s="112">
        <f>IF(NFI_Expiration=1,IF($A156&lt;VLOOKUP(R$5,NFI,5,0),1,0)*Data_NFI_t[[#This Row],[Jerry Can]],0)</f>
        <v>0</v>
      </c>
      <c r="AH156" s="131">
        <f>IF(NFI_Expiration=1,IF($A156&lt;VLOOKUP(S$5,NFI,5,0),1,0)*Data_NFI_t[[#This Row],[Plastic Mat]],0)*IF(Data_NFI_t[[#This Row],[Distribution Date]]&gt;"01-06-2015",1,2.5)</f>
        <v>0</v>
      </c>
      <c r="AI156" s="901">
        <f>IF(NFI_Expiration=1,IF($A156&lt;VLOOKUP(T$5,NFI,5,0),1,0)*Data_NFI_t[[#This Row],[Adult Clothes]],0)</f>
        <v>0</v>
      </c>
      <c r="AJ156" s="131">
        <f>IF(NFI_Expiration=1,IF($A156&lt;VLOOKUP(U$5,NFI,5,0),1,0)*Data_NFI_t[[#This Row],[Children Clothes]],0)</f>
        <v>0</v>
      </c>
      <c r="AK156" s="131">
        <f>IF(NFI_Expiration=1,IF($A156&lt;VLOOKUP(V$5,NFI,5,0),1,0)*Data_NFI_t[[#This Row],[Sewing Kit]],0)</f>
        <v>0</v>
      </c>
      <c r="AL156" s="901">
        <f>IF(NFI_Expiration=1,IF($A156&lt;VLOOKUP(V$5,NFI,5,0),1,0)*Data_NFI_t[[#This Row],[Solar Lantern]],0)</f>
        <v>0</v>
      </c>
      <c r="AM156" s="131" t="str">
        <f ca="1">IFERROR(OFFSET(Camp_List[P_Code],MATCH(Data_NFI_t[[#This Row],[Camp Name]],Camp_List[Camp Name],0)-1,0,1,1),"")</f>
        <v>MMR012CMP114</v>
      </c>
      <c r="AN156" s="513" t="str">
        <f ca="1">IFERROR(OFFSET(Camp_List[Status],MATCH(Data_NFI_t[[#This Row],[Camp Name]],Camp_List[Camp Name],0)-1,0,1,1),"")</f>
        <v>Open</v>
      </c>
      <c r="AO156" s="131"/>
    </row>
    <row r="157" spans="1:41" s="90" customFormat="1" ht="19.5" customHeight="1" x14ac:dyDescent="0.25">
      <c r="A157" s="242">
        <f t="shared" si="4"/>
        <v>38.56666666666667</v>
      </c>
      <c r="B157" s="242">
        <f>YEAR(Data_NFI_t[[#This Row],[Distribution Date]])</f>
        <v>2014</v>
      </c>
      <c r="C157" s="913">
        <v>41699</v>
      </c>
      <c r="D157" s="489" t="s">
        <v>288</v>
      </c>
      <c r="E157" s="488" t="s">
        <v>288</v>
      </c>
      <c r="F157" s="489" t="s">
        <v>7</v>
      </c>
      <c r="G157" s="790" t="s">
        <v>19</v>
      </c>
      <c r="H157" s="790" t="s">
        <v>542</v>
      </c>
      <c r="I157" s="790"/>
      <c r="J157" s="51"/>
      <c r="K157" s="51"/>
      <c r="L157" s="51"/>
      <c r="M157" s="51">
        <v>1400</v>
      </c>
      <c r="N157" s="51"/>
      <c r="O157" s="51"/>
      <c r="P157" s="51"/>
      <c r="Q157" s="51"/>
      <c r="R157" s="511"/>
      <c r="S157" s="51"/>
      <c r="T157" s="51"/>
      <c r="U157" s="51"/>
      <c r="V157" s="51"/>
      <c r="W157" s="51"/>
      <c r="X157" s="131">
        <f>IF(NFI_Expiration=1,IF($A157&lt;VLOOKUP(I$5,NFI,5,0),1,0)*Data_NFI_t[[#This Row],[Hygiene Kit]],0)</f>
        <v>0</v>
      </c>
      <c r="Y157" s="131">
        <f>IF(NFI_Expiration=1,IF($A157&lt;VLOOKUP(J$5,NFI,5,0),1,0)*Data_NFI_t[[#This Row],[NFI Core Kit]],0)</f>
        <v>0</v>
      </c>
      <c r="Z157" s="112">
        <f>IF(NFI_Expiration=1,IF($A157&lt;VLOOKUP(K$5,NFI,5,0),1,0)*Data_NFI_t[[#This Row],[Sanitary Kit]],0)</f>
        <v>0</v>
      </c>
      <c r="AA157" s="112">
        <f>IF(NFI_Expiration=1,IF($A157&lt;VLOOKUP(L$5,NFI,5,0),1,0)*Data_NFI_t[[#This Row],[Mosquito net]],0)</f>
        <v>0</v>
      </c>
      <c r="AB157" s="112">
        <f>IF(NFI_Expiration=1,IF($A157&lt;VLOOKUP(M$5,NFI,5,0),1,0)*Data_NFI_t[[#This Row],[Tarpaulin]],0)</f>
        <v>0</v>
      </c>
      <c r="AC157" s="112">
        <f>IF(NFI_Expiration=1,IF($A157&lt;VLOOKUP(N$5,NFI,5,0),1,0)*Data_NFI_t[[#This Row],[Blanket]],0)</f>
        <v>0</v>
      </c>
      <c r="AD157" s="112">
        <f>IF(NFI_Expiration=1,IF($A157&lt;VLOOKUP(O$5,NFI,5,0),1,0)*Data_NFI_t[[#This Row],[Kitchen Set]],0)</f>
        <v>0</v>
      </c>
      <c r="AE157" s="112">
        <f>IF(NFI_Expiration=1,IF($A157&lt;VLOOKUP(P$5,NFI,5,0),1,0)*Data_NFI_t[[#This Row],[Complementary Kit]],0)</f>
        <v>0</v>
      </c>
      <c r="AF157" s="112">
        <f>IF(NFI_Expiration=1,IF($A157&lt;VLOOKUP(Q$5,NFI,5,0),1,0)*Data_NFI_t[[#This Row],[Plastic Bucket]],0)</f>
        <v>0</v>
      </c>
      <c r="AG157" s="112">
        <f>IF(NFI_Expiration=1,IF($A157&lt;VLOOKUP(R$5,NFI,5,0),1,0)*Data_NFI_t[[#This Row],[Jerry Can]],0)</f>
        <v>0</v>
      </c>
      <c r="AH157" s="131">
        <f>IF(NFI_Expiration=1,IF($A157&lt;VLOOKUP(S$5,NFI,5,0),1,0)*Data_NFI_t[[#This Row],[Plastic Mat]],0)*IF(Data_NFI_t[[#This Row],[Distribution Date]]&gt;"01-06-2015",1,2.5)</f>
        <v>0</v>
      </c>
      <c r="AI157" s="901">
        <f>IF(NFI_Expiration=1,IF($A157&lt;VLOOKUP(T$5,NFI,5,0),1,0)*Data_NFI_t[[#This Row],[Adult Clothes]],0)</f>
        <v>0</v>
      </c>
      <c r="AJ157" s="131">
        <f>IF(NFI_Expiration=1,IF($A157&lt;VLOOKUP(U$5,NFI,5,0),1,0)*Data_NFI_t[[#This Row],[Children Clothes]],0)</f>
        <v>0</v>
      </c>
      <c r="AK157" s="131">
        <f>IF(NFI_Expiration=1,IF($A157&lt;VLOOKUP(V$5,NFI,5,0),1,0)*Data_NFI_t[[#This Row],[Sewing Kit]],0)</f>
        <v>0</v>
      </c>
      <c r="AL157" s="901">
        <f>IF(NFI_Expiration=1,IF($A157&lt;VLOOKUP(V$5,NFI,5,0),1,0)*Data_NFI_t[[#This Row],[Solar Lantern]],0)</f>
        <v>0</v>
      </c>
      <c r="AM157" s="131" t="str">
        <f ca="1">IFERROR(OFFSET(Camp_List[P_Code],MATCH(Data_NFI_t[[#This Row],[Camp Name]],Camp_List[Camp Name],0)-1,0,1,1),"")</f>
        <v>MMR012CMP097</v>
      </c>
      <c r="AN157" s="513" t="str">
        <f ca="1">IFERROR(OFFSET(Camp_List[Status],MATCH(Data_NFI_t[[#This Row],[Camp Name]],Camp_List[Camp Name],0)-1,0,1,1),"")</f>
        <v>Open</v>
      </c>
      <c r="AO157" s="131"/>
    </row>
    <row r="158" spans="1:41" s="90" customFormat="1" ht="19.5" customHeight="1" x14ac:dyDescent="0.25">
      <c r="A158" s="242">
        <f t="shared" si="4"/>
        <v>38.56666666666667</v>
      </c>
      <c r="B158" s="242">
        <f>YEAR(Data_NFI_t[[#This Row],[Distribution Date]])</f>
        <v>2014</v>
      </c>
      <c r="C158" s="913">
        <v>41699</v>
      </c>
      <c r="D158" s="489" t="s">
        <v>288</v>
      </c>
      <c r="E158" s="488" t="s">
        <v>288</v>
      </c>
      <c r="F158" s="489" t="s">
        <v>7</v>
      </c>
      <c r="G158" s="790" t="s">
        <v>19</v>
      </c>
      <c r="H158" s="790" t="s">
        <v>634</v>
      </c>
      <c r="I158" s="790"/>
      <c r="J158" s="51"/>
      <c r="K158" s="51"/>
      <c r="L158" s="51"/>
      <c r="M158" s="51">
        <v>2549</v>
      </c>
      <c r="N158" s="51"/>
      <c r="O158" s="51"/>
      <c r="P158" s="51"/>
      <c r="Q158" s="51"/>
      <c r="R158" s="511"/>
      <c r="S158" s="51"/>
      <c r="T158" s="51"/>
      <c r="U158" s="51"/>
      <c r="V158" s="51"/>
      <c r="W158" s="51"/>
      <c r="X158" s="131">
        <f>IF(NFI_Expiration=1,IF($A158&lt;VLOOKUP(I$5,NFI,5,0),1,0)*Data_NFI_t[[#This Row],[Hygiene Kit]],0)</f>
        <v>0</v>
      </c>
      <c r="Y158" s="131">
        <f>IF(NFI_Expiration=1,IF($A158&lt;VLOOKUP(J$5,NFI,5,0),1,0)*Data_NFI_t[[#This Row],[NFI Core Kit]],0)</f>
        <v>0</v>
      </c>
      <c r="Z158" s="112">
        <f>IF(NFI_Expiration=1,IF($A158&lt;VLOOKUP(K$5,NFI,5,0),1,0)*Data_NFI_t[[#This Row],[Sanitary Kit]],0)</f>
        <v>0</v>
      </c>
      <c r="AA158" s="112">
        <f>IF(NFI_Expiration=1,IF($A158&lt;VLOOKUP(L$5,NFI,5,0),1,0)*Data_NFI_t[[#This Row],[Mosquito net]],0)</f>
        <v>0</v>
      </c>
      <c r="AB158" s="112">
        <f>IF(NFI_Expiration=1,IF($A158&lt;VLOOKUP(M$5,NFI,5,0),1,0)*Data_NFI_t[[#This Row],[Tarpaulin]],0)</f>
        <v>0</v>
      </c>
      <c r="AC158" s="112">
        <f>IF(NFI_Expiration=1,IF($A158&lt;VLOOKUP(N$5,NFI,5,0),1,0)*Data_NFI_t[[#This Row],[Blanket]],0)</f>
        <v>0</v>
      </c>
      <c r="AD158" s="112">
        <f>IF(NFI_Expiration=1,IF($A158&lt;VLOOKUP(O$5,NFI,5,0),1,0)*Data_NFI_t[[#This Row],[Kitchen Set]],0)</f>
        <v>0</v>
      </c>
      <c r="AE158" s="112">
        <f>IF(NFI_Expiration=1,IF($A158&lt;VLOOKUP(P$5,NFI,5,0),1,0)*Data_NFI_t[[#This Row],[Complementary Kit]],0)</f>
        <v>0</v>
      </c>
      <c r="AF158" s="112">
        <f>IF(NFI_Expiration=1,IF($A158&lt;VLOOKUP(Q$5,NFI,5,0),1,0)*Data_NFI_t[[#This Row],[Plastic Bucket]],0)</f>
        <v>0</v>
      </c>
      <c r="AG158" s="112">
        <f>IF(NFI_Expiration=1,IF($A158&lt;VLOOKUP(R$5,NFI,5,0),1,0)*Data_NFI_t[[#This Row],[Jerry Can]],0)</f>
        <v>0</v>
      </c>
      <c r="AH158" s="131">
        <f>IF(NFI_Expiration=1,IF($A158&lt;VLOOKUP(S$5,NFI,5,0),1,0)*Data_NFI_t[[#This Row],[Plastic Mat]],0)*IF(Data_NFI_t[[#This Row],[Distribution Date]]&gt;"01-06-2015",1,2.5)</f>
        <v>0</v>
      </c>
      <c r="AI158" s="901">
        <f>IF(NFI_Expiration=1,IF($A158&lt;VLOOKUP(T$5,NFI,5,0),1,0)*Data_NFI_t[[#This Row],[Adult Clothes]],0)</f>
        <v>0</v>
      </c>
      <c r="AJ158" s="131">
        <f>IF(NFI_Expiration=1,IF($A158&lt;VLOOKUP(U$5,NFI,5,0),1,0)*Data_NFI_t[[#This Row],[Children Clothes]],0)</f>
        <v>0</v>
      </c>
      <c r="AK158" s="131">
        <f>IF(NFI_Expiration=1,IF($A158&lt;VLOOKUP(V$5,NFI,5,0),1,0)*Data_NFI_t[[#This Row],[Sewing Kit]],0)</f>
        <v>0</v>
      </c>
      <c r="AL158" s="901">
        <f>IF(NFI_Expiration=1,IF($A158&lt;VLOOKUP(V$5,NFI,5,0),1,0)*Data_NFI_t[[#This Row],[Solar Lantern]],0)</f>
        <v>0</v>
      </c>
      <c r="AM158" s="131" t="str">
        <f ca="1">IFERROR(OFFSET(Camp_List[P_Code],MATCH(Data_NFI_t[[#This Row],[Camp Name]],Camp_List[Camp Name],0)-1,0,1,1),"")</f>
        <v>MMR012CMP115</v>
      </c>
      <c r="AN158" s="513" t="str">
        <f ca="1">IFERROR(OFFSET(Camp_List[Status],MATCH(Data_NFI_t[[#This Row],[Camp Name]],Camp_List[Camp Name],0)-1,0,1,1),"")</f>
        <v>Open</v>
      </c>
      <c r="AO158" s="131"/>
    </row>
    <row r="159" spans="1:41" s="90" customFormat="1" ht="19.5" customHeight="1" x14ac:dyDescent="0.25">
      <c r="A159" s="242">
        <f t="shared" si="4"/>
        <v>39.533333333333331</v>
      </c>
      <c r="B159" s="242">
        <f>YEAR(Data_NFI_t[[#This Row],[Distribution Date]])</f>
        <v>2014</v>
      </c>
      <c r="C159" s="913">
        <v>41670</v>
      </c>
      <c r="D159" s="489" t="s">
        <v>285</v>
      </c>
      <c r="E159" s="488" t="s">
        <v>285</v>
      </c>
      <c r="F159" s="489" t="s">
        <v>7</v>
      </c>
      <c r="G159" s="790" t="s">
        <v>15</v>
      </c>
      <c r="H159" s="790" t="s">
        <v>48</v>
      </c>
      <c r="I159" s="790"/>
      <c r="J159" s="51"/>
      <c r="K159" s="51"/>
      <c r="L159" s="51">
        <v>2</v>
      </c>
      <c r="M159" s="51"/>
      <c r="N159" s="51">
        <v>2</v>
      </c>
      <c r="O159" s="51">
        <v>1</v>
      </c>
      <c r="P159" s="51">
        <v>4</v>
      </c>
      <c r="Q159" s="51">
        <v>1</v>
      </c>
      <c r="R159" s="511"/>
      <c r="S159" s="51">
        <v>2</v>
      </c>
      <c r="T159" s="51"/>
      <c r="U159" s="51"/>
      <c r="V159" s="51"/>
      <c r="W159" s="51"/>
      <c r="X159" s="131">
        <f>IF(NFI_Expiration=1,IF($A159&lt;VLOOKUP(I$5,NFI,5,0),1,0)*Data_NFI_t[[#This Row],[Hygiene Kit]],0)</f>
        <v>0</v>
      </c>
      <c r="Y159" s="131">
        <f>IF(NFI_Expiration=1,IF($A159&lt;VLOOKUP(J$5,NFI,5,0),1,0)*Data_NFI_t[[#This Row],[NFI Core Kit]],0)</f>
        <v>0</v>
      </c>
      <c r="Z159" s="112">
        <f>IF(NFI_Expiration=1,IF($A159&lt;VLOOKUP(K$5,NFI,5,0),1,0)*Data_NFI_t[[#This Row],[Sanitary Kit]],0)</f>
        <v>0</v>
      </c>
      <c r="AA159" s="112">
        <f>IF(NFI_Expiration=1,IF($A159&lt;VLOOKUP(L$5,NFI,5,0),1,0)*Data_NFI_t[[#This Row],[Mosquito net]],0)</f>
        <v>0</v>
      </c>
      <c r="AB159" s="112">
        <f>IF(NFI_Expiration=1,IF($A159&lt;VLOOKUP(M$5,NFI,5,0),1,0)*Data_NFI_t[[#This Row],[Tarpaulin]],0)</f>
        <v>0</v>
      </c>
      <c r="AC159" s="112">
        <f>IF(NFI_Expiration=1,IF($A159&lt;VLOOKUP(N$5,NFI,5,0),1,0)*Data_NFI_t[[#This Row],[Blanket]],0)</f>
        <v>0</v>
      </c>
      <c r="AD159" s="112">
        <f>IF(NFI_Expiration=1,IF($A159&lt;VLOOKUP(O$5,NFI,5,0),1,0)*Data_NFI_t[[#This Row],[Kitchen Set]],0)</f>
        <v>0</v>
      </c>
      <c r="AE159" s="112">
        <f>IF(NFI_Expiration=1,IF($A159&lt;VLOOKUP(P$5,NFI,5,0),1,0)*Data_NFI_t[[#This Row],[Complementary Kit]],0)</f>
        <v>0</v>
      </c>
      <c r="AF159" s="112">
        <f>IF(NFI_Expiration=1,IF($A159&lt;VLOOKUP(Q$5,NFI,5,0),1,0)*Data_NFI_t[[#This Row],[Plastic Bucket]],0)</f>
        <v>0</v>
      </c>
      <c r="AG159" s="112">
        <f>IF(NFI_Expiration=1,IF($A159&lt;VLOOKUP(R$5,NFI,5,0),1,0)*Data_NFI_t[[#This Row],[Jerry Can]],0)</f>
        <v>0</v>
      </c>
      <c r="AH159" s="131">
        <f>IF(NFI_Expiration=1,IF($A159&lt;VLOOKUP(S$5,NFI,5,0),1,0)*Data_NFI_t[[#This Row],[Plastic Mat]],0)*IF(Data_NFI_t[[#This Row],[Distribution Date]]&gt;"01-06-2015",1,2.5)</f>
        <v>0</v>
      </c>
      <c r="AI159" s="901">
        <f>IF(NFI_Expiration=1,IF($A159&lt;VLOOKUP(T$5,NFI,5,0),1,0)*Data_NFI_t[[#This Row],[Adult Clothes]],0)</f>
        <v>0</v>
      </c>
      <c r="AJ159" s="131">
        <f>IF(NFI_Expiration=1,IF($A159&lt;VLOOKUP(U$5,NFI,5,0),1,0)*Data_NFI_t[[#This Row],[Children Clothes]],0)</f>
        <v>0</v>
      </c>
      <c r="AK159" s="131">
        <f>IF(NFI_Expiration=1,IF($A159&lt;VLOOKUP(V$5,NFI,5,0),1,0)*Data_NFI_t[[#This Row],[Sewing Kit]],0)</f>
        <v>0</v>
      </c>
      <c r="AL159" s="901">
        <f>IF(NFI_Expiration=1,IF($A159&lt;VLOOKUP(V$5,NFI,5,0),1,0)*Data_NFI_t[[#This Row],[Solar Lantern]],0)</f>
        <v>0</v>
      </c>
      <c r="AM159" s="131" t="str">
        <f ca="1">IFERROR(OFFSET(Camp_List[P_Code],MATCH(Data_NFI_t[[#This Row],[Camp Name]],Camp_List[Camp Name],0)-1,0,1,1),"")</f>
        <v>MMR012CMP024</v>
      </c>
      <c r="AN159" s="513" t="str">
        <f ca="1">IFERROR(OFFSET(Camp_List[Status],MATCH(Data_NFI_t[[#This Row],[Camp Name]],Camp_List[Camp Name],0)-1,0,1,1),"")</f>
        <v>Returned</v>
      </c>
      <c r="AO159" s="131"/>
    </row>
    <row r="160" spans="1:41" s="90" customFormat="1" ht="19.5" customHeight="1" x14ac:dyDescent="0.25">
      <c r="A160" s="242">
        <f t="shared" si="4"/>
        <v>40.033333333333331</v>
      </c>
      <c r="B160" s="242">
        <f>YEAR(Data_NFI_t[[#This Row],[Distribution Date]])</f>
        <v>2014</v>
      </c>
      <c r="C160" s="913">
        <v>41655</v>
      </c>
      <c r="D160" s="489" t="s">
        <v>285</v>
      </c>
      <c r="E160" s="488" t="s">
        <v>285</v>
      </c>
      <c r="F160" s="489" t="s">
        <v>7</v>
      </c>
      <c r="G160" s="790" t="s">
        <v>14</v>
      </c>
      <c r="H160" s="790" t="s">
        <v>43</v>
      </c>
      <c r="I160" s="790"/>
      <c r="J160" s="51"/>
      <c r="K160" s="51"/>
      <c r="L160" s="51"/>
      <c r="M160" s="51"/>
      <c r="N160" s="51">
        <v>20</v>
      </c>
      <c r="O160" s="51">
        <v>700</v>
      </c>
      <c r="P160" s="51"/>
      <c r="Q160" s="51"/>
      <c r="R160" s="511"/>
      <c r="S160" s="51">
        <v>120</v>
      </c>
      <c r="T160" s="51"/>
      <c r="U160" s="51"/>
      <c r="V160" s="51"/>
      <c r="W160" s="51"/>
      <c r="X160" s="131">
        <f>IF(NFI_Expiration=1,IF($A160&lt;VLOOKUP(I$5,NFI,5,0),1,0)*Data_NFI_t[[#This Row],[Hygiene Kit]],0)</f>
        <v>0</v>
      </c>
      <c r="Y160" s="131">
        <f>IF(NFI_Expiration=1,IF($A160&lt;VLOOKUP(J$5,NFI,5,0),1,0)*Data_NFI_t[[#This Row],[NFI Core Kit]],0)</f>
        <v>0</v>
      </c>
      <c r="Z160" s="112">
        <f>IF(NFI_Expiration=1,IF($A160&lt;VLOOKUP(K$5,NFI,5,0),1,0)*Data_NFI_t[[#This Row],[Sanitary Kit]],0)</f>
        <v>0</v>
      </c>
      <c r="AA160" s="112">
        <f>IF(NFI_Expiration=1,IF($A160&lt;VLOOKUP(L$5,NFI,5,0),1,0)*Data_NFI_t[[#This Row],[Mosquito net]],0)</f>
        <v>0</v>
      </c>
      <c r="AB160" s="112">
        <f>IF(NFI_Expiration=1,IF($A160&lt;VLOOKUP(M$5,NFI,5,0),1,0)*Data_NFI_t[[#This Row],[Tarpaulin]],0)</f>
        <v>0</v>
      </c>
      <c r="AC160" s="112">
        <f>IF(NFI_Expiration=1,IF($A160&lt;VLOOKUP(N$5,NFI,5,0),1,0)*Data_NFI_t[[#This Row],[Blanket]],0)</f>
        <v>0</v>
      </c>
      <c r="AD160" s="112">
        <f>IF(NFI_Expiration=1,IF($A160&lt;VLOOKUP(O$5,NFI,5,0),1,0)*Data_NFI_t[[#This Row],[Kitchen Set]],0)</f>
        <v>0</v>
      </c>
      <c r="AE160" s="112">
        <f>IF(NFI_Expiration=1,IF($A160&lt;VLOOKUP(P$5,NFI,5,0),1,0)*Data_NFI_t[[#This Row],[Complementary Kit]],0)</f>
        <v>0</v>
      </c>
      <c r="AF160" s="112">
        <f>IF(NFI_Expiration=1,IF($A160&lt;VLOOKUP(Q$5,NFI,5,0),1,0)*Data_NFI_t[[#This Row],[Plastic Bucket]],0)</f>
        <v>0</v>
      </c>
      <c r="AG160" s="112">
        <f>IF(NFI_Expiration=1,IF($A160&lt;VLOOKUP(R$5,NFI,5,0),1,0)*Data_NFI_t[[#This Row],[Jerry Can]],0)</f>
        <v>0</v>
      </c>
      <c r="AH160" s="131">
        <f>IF(NFI_Expiration=1,IF($A160&lt;VLOOKUP(S$5,NFI,5,0),1,0)*Data_NFI_t[[#This Row],[Plastic Mat]],0)*IF(Data_NFI_t[[#This Row],[Distribution Date]]&gt;"01-06-2015",1,2.5)</f>
        <v>0</v>
      </c>
      <c r="AI160" s="901">
        <f>IF(NFI_Expiration=1,IF($A160&lt;VLOOKUP(T$5,NFI,5,0),1,0)*Data_NFI_t[[#This Row],[Adult Clothes]],0)</f>
        <v>0</v>
      </c>
      <c r="AJ160" s="131">
        <f>IF(NFI_Expiration=1,IF($A160&lt;VLOOKUP(U$5,NFI,5,0),1,0)*Data_NFI_t[[#This Row],[Children Clothes]],0)</f>
        <v>0</v>
      </c>
      <c r="AK160" s="131">
        <f>IF(NFI_Expiration=1,IF($A160&lt;VLOOKUP(V$5,NFI,5,0),1,0)*Data_NFI_t[[#This Row],[Sewing Kit]],0)</f>
        <v>0</v>
      </c>
      <c r="AL160" s="901">
        <f>IF(NFI_Expiration=1,IF($A160&lt;VLOOKUP(V$5,NFI,5,0),1,0)*Data_NFI_t[[#This Row],[Solar Lantern]],0)</f>
        <v>0</v>
      </c>
      <c r="AM160" s="131" t="str">
        <f ca="1">IFERROR(OFFSET(Camp_List[P_Code],MATCH(Data_NFI_t[[#This Row],[Camp Name]],Camp_List[Camp Name],0)-1,0,1,1),"")</f>
        <v>MMR012CMP019</v>
      </c>
      <c r="AN160" s="513" t="str">
        <f ca="1">IFERROR(OFFSET(Camp_List[Status],MATCH(Data_NFI_t[[#This Row],[Camp Name]],Camp_List[Camp Name],0)-1,0,1,1),"")</f>
        <v>Open</v>
      </c>
      <c r="AO160" s="131"/>
    </row>
    <row r="161" spans="1:41" s="90" customFormat="1" ht="19.5" customHeight="1" x14ac:dyDescent="0.25">
      <c r="A161" s="242">
        <f t="shared" si="4"/>
        <v>40.033333333333331</v>
      </c>
      <c r="B161" s="242">
        <f>YEAR(Data_NFI_t[[#This Row],[Distribution Date]])</f>
        <v>2014</v>
      </c>
      <c r="C161" s="913">
        <v>41655</v>
      </c>
      <c r="D161" s="489" t="s">
        <v>285</v>
      </c>
      <c r="E161" s="488" t="s">
        <v>285</v>
      </c>
      <c r="F161" s="489" t="s">
        <v>7</v>
      </c>
      <c r="G161" s="790" t="s">
        <v>14</v>
      </c>
      <c r="H161" s="790" t="s">
        <v>43</v>
      </c>
      <c r="I161" s="790"/>
      <c r="J161" s="51"/>
      <c r="K161" s="51"/>
      <c r="L161" s="51">
        <v>807</v>
      </c>
      <c r="M161" s="51"/>
      <c r="N161" s="51"/>
      <c r="O161" s="51"/>
      <c r="P161" s="51">
        <v>807</v>
      </c>
      <c r="Q161" s="51"/>
      <c r="R161" s="511"/>
      <c r="S161" s="51"/>
      <c r="T161" s="51"/>
      <c r="U161" s="51"/>
      <c r="V161" s="51"/>
      <c r="W161" s="51"/>
      <c r="X161" s="131">
        <f>IF(NFI_Expiration=1,IF($A161&lt;VLOOKUP(I$5,NFI,5,0),1,0)*Data_NFI_t[[#This Row],[Hygiene Kit]],0)</f>
        <v>0</v>
      </c>
      <c r="Y161" s="131">
        <f>IF(NFI_Expiration=1,IF($A161&lt;VLOOKUP(J$5,NFI,5,0),1,0)*Data_NFI_t[[#This Row],[NFI Core Kit]],0)</f>
        <v>0</v>
      </c>
      <c r="Z161" s="112">
        <f>IF(NFI_Expiration=1,IF($A161&lt;VLOOKUP(K$5,NFI,5,0),1,0)*Data_NFI_t[[#This Row],[Sanitary Kit]],0)</f>
        <v>0</v>
      </c>
      <c r="AA161" s="112">
        <f>IF(NFI_Expiration=1,IF($A161&lt;VLOOKUP(L$5,NFI,5,0),1,0)*Data_NFI_t[[#This Row],[Mosquito net]],0)</f>
        <v>0</v>
      </c>
      <c r="AB161" s="112">
        <f>IF(NFI_Expiration=1,IF($A161&lt;VLOOKUP(M$5,NFI,5,0),1,0)*Data_NFI_t[[#This Row],[Tarpaulin]],0)</f>
        <v>0</v>
      </c>
      <c r="AC161" s="112">
        <f>IF(NFI_Expiration=1,IF($A161&lt;VLOOKUP(N$5,NFI,5,0),1,0)*Data_NFI_t[[#This Row],[Blanket]],0)</f>
        <v>0</v>
      </c>
      <c r="AD161" s="112">
        <f>IF(NFI_Expiration=1,IF($A161&lt;VLOOKUP(O$5,NFI,5,0),1,0)*Data_NFI_t[[#This Row],[Kitchen Set]],0)</f>
        <v>0</v>
      </c>
      <c r="AE161" s="112">
        <f>IF(NFI_Expiration=1,IF($A161&lt;VLOOKUP(P$5,NFI,5,0),1,0)*Data_NFI_t[[#This Row],[Complementary Kit]],0)</f>
        <v>0</v>
      </c>
      <c r="AF161" s="112">
        <f>IF(NFI_Expiration=1,IF($A161&lt;VLOOKUP(Q$5,NFI,5,0),1,0)*Data_NFI_t[[#This Row],[Plastic Bucket]],0)</f>
        <v>0</v>
      </c>
      <c r="AG161" s="112">
        <f>IF(NFI_Expiration=1,IF($A161&lt;VLOOKUP(R$5,NFI,5,0),1,0)*Data_NFI_t[[#This Row],[Jerry Can]],0)</f>
        <v>0</v>
      </c>
      <c r="AH161" s="131">
        <f>IF(NFI_Expiration=1,IF($A161&lt;VLOOKUP(S$5,NFI,5,0),1,0)*Data_NFI_t[[#This Row],[Plastic Mat]],0)*IF(Data_NFI_t[[#This Row],[Distribution Date]]&gt;"01-06-2015",1,2.5)</f>
        <v>0</v>
      </c>
      <c r="AI161" s="901">
        <f>IF(NFI_Expiration=1,IF($A161&lt;VLOOKUP(T$5,NFI,5,0),1,0)*Data_NFI_t[[#This Row],[Adult Clothes]],0)</f>
        <v>0</v>
      </c>
      <c r="AJ161" s="131">
        <f>IF(NFI_Expiration=1,IF($A161&lt;VLOOKUP(U$5,NFI,5,0),1,0)*Data_NFI_t[[#This Row],[Children Clothes]],0)</f>
        <v>0</v>
      </c>
      <c r="AK161" s="131">
        <f>IF(NFI_Expiration=1,IF($A161&lt;VLOOKUP(V$5,NFI,5,0),1,0)*Data_NFI_t[[#This Row],[Sewing Kit]],0)</f>
        <v>0</v>
      </c>
      <c r="AL161" s="901">
        <f>IF(NFI_Expiration=1,IF($A161&lt;VLOOKUP(V$5,NFI,5,0),1,0)*Data_NFI_t[[#This Row],[Solar Lantern]],0)</f>
        <v>0</v>
      </c>
      <c r="AM161" s="131" t="str">
        <f ca="1">IFERROR(OFFSET(Camp_List[P_Code],MATCH(Data_NFI_t[[#This Row],[Camp Name]],Camp_List[Camp Name],0)-1,0,1,1),"")</f>
        <v>MMR012CMP019</v>
      </c>
      <c r="AN161" s="513" t="str">
        <f ca="1">IFERROR(OFFSET(Camp_List[Status],MATCH(Data_NFI_t[[#This Row],[Camp Name]],Camp_List[Camp Name],0)-1,0,1,1),"")</f>
        <v>Open</v>
      </c>
      <c r="AO161" s="131"/>
    </row>
    <row r="162" spans="1:41" s="90" customFormat="1" ht="19.5" customHeight="1" x14ac:dyDescent="0.25">
      <c r="A162" s="242">
        <f t="shared" si="4"/>
        <v>40.06666666666667</v>
      </c>
      <c r="B162" s="242">
        <f>YEAR(Data_NFI_t[[#This Row],[Distribution Date]])</f>
        <v>2014</v>
      </c>
      <c r="C162" s="913">
        <v>41654</v>
      </c>
      <c r="D162" s="489" t="s">
        <v>285</v>
      </c>
      <c r="E162" s="488" t="s">
        <v>285</v>
      </c>
      <c r="F162" s="489" t="s">
        <v>7</v>
      </c>
      <c r="G162" s="790" t="s">
        <v>14</v>
      </c>
      <c r="H162" s="790" t="s">
        <v>41</v>
      </c>
      <c r="I162" s="790"/>
      <c r="J162" s="51"/>
      <c r="K162" s="51"/>
      <c r="L162" s="51">
        <v>588</v>
      </c>
      <c r="M162" s="51"/>
      <c r="N162" s="51">
        <v>588</v>
      </c>
      <c r="O162" s="51">
        <v>294</v>
      </c>
      <c r="P162" s="51">
        <v>1176</v>
      </c>
      <c r="Q162" s="51">
        <v>294</v>
      </c>
      <c r="R162" s="511"/>
      <c r="S162" s="51">
        <v>588</v>
      </c>
      <c r="T162" s="51"/>
      <c r="U162" s="51"/>
      <c r="V162" s="51"/>
      <c r="W162" s="51"/>
      <c r="X162" s="131">
        <f>IF(NFI_Expiration=1,IF($A162&lt;VLOOKUP(I$5,NFI,5,0),1,0)*Data_NFI_t[[#This Row],[Hygiene Kit]],0)</f>
        <v>0</v>
      </c>
      <c r="Y162" s="131">
        <f>IF(NFI_Expiration=1,IF($A162&lt;VLOOKUP(J$5,NFI,5,0),1,0)*Data_NFI_t[[#This Row],[NFI Core Kit]],0)</f>
        <v>0</v>
      </c>
      <c r="Z162" s="112">
        <f>IF(NFI_Expiration=1,IF($A162&lt;VLOOKUP(K$5,NFI,5,0),1,0)*Data_NFI_t[[#This Row],[Sanitary Kit]],0)</f>
        <v>0</v>
      </c>
      <c r="AA162" s="112">
        <f>IF(NFI_Expiration=1,IF($A162&lt;VLOOKUP(L$5,NFI,5,0),1,0)*Data_NFI_t[[#This Row],[Mosquito net]],0)</f>
        <v>0</v>
      </c>
      <c r="AB162" s="112">
        <f>IF(NFI_Expiration=1,IF($A162&lt;VLOOKUP(M$5,NFI,5,0),1,0)*Data_NFI_t[[#This Row],[Tarpaulin]],0)</f>
        <v>0</v>
      </c>
      <c r="AC162" s="112">
        <f>IF(NFI_Expiration=1,IF($A162&lt;VLOOKUP(N$5,NFI,5,0),1,0)*Data_NFI_t[[#This Row],[Blanket]],0)</f>
        <v>0</v>
      </c>
      <c r="AD162" s="112">
        <f>IF(NFI_Expiration=1,IF($A162&lt;VLOOKUP(O$5,NFI,5,0),1,0)*Data_NFI_t[[#This Row],[Kitchen Set]],0)</f>
        <v>0</v>
      </c>
      <c r="AE162" s="112">
        <f>IF(NFI_Expiration=1,IF($A162&lt;VLOOKUP(P$5,NFI,5,0),1,0)*Data_NFI_t[[#This Row],[Complementary Kit]],0)</f>
        <v>0</v>
      </c>
      <c r="AF162" s="112">
        <f>IF(NFI_Expiration=1,IF($A162&lt;VLOOKUP(Q$5,NFI,5,0),1,0)*Data_NFI_t[[#This Row],[Plastic Bucket]],0)</f>
        <v>0</v>
      </c>
      <c r="AG162" s="112">
        <f>IF(NFI_Expiration=1,IF($A162&lt;VLOOKUP(R$5,NFI,5,0),1,0)*Data_NFI_t[[#This Row],[Jerry Can]],0)</f>
        <v>0</v>
      </c>
      <c r="AH162" s="131">
        <f>IF(NFI_Expiration=1,IF($A162&lt;VLOOKUP(S$5,NFI,5,0),1,0)*Data_NFI_t[[#This Row],[Plastic Mat]],0)*IF(Data_NFI_t[[#This Row],[Distribution Date]]&gt;"01-06-2015",1,2.5)</f>
        <v>0</v>
      </c>
      <c r="AI162" s="901">
        <f>IF(NFI_Expiration=1,IF($A162&lt;VLOOKUP(T$5,NFI,5,0),1,0)*Data_NFI_t[[#This Row],[Adult Clothes]],0)</f>
        <v>0</v>
      </c>
      <c r="AJ162" s="131">
        <f>IF(NFI_Expiration=1,IF($A162&lt;VLOOKUP(U$5,NFI,5,0),1,0)*Data_NFI_t[[#This Row],[Children Clothes]],0)</f>
        <v>0</v>
      </c>
      <c r="AK162" s="131">
        <f>IF(NFI_Expiration=1,IF($A162&lt;VLOOKUP(V$5,NFI,5,0),1,0)*Data_NFI_t[[#This Row],[Sewing Kit]],0)</f>
        <v>0</v>
      </c>
      <c r="AL162" s="901">
        <f>IF(NFI_Expiration=1,IF($A162&lt;VLOOKUP(V$5,NFI,5,0),1,0)*Data_NFI_t[[#This Row],[Solar Lantern]],0)</f>
        <v>0</v>
      </c>
      <c r="AM162" s="131" t="str">
        <f ca="1">IFERROR(OFFSET(Camp_List[P_Code],MATCH(Data_NFI_t[[#This Row],[Camp Name]],Camp_List[Camp Name],0)-1,0,1,1),"")</f>
        <v/>
      </c>
      <c r="AN162" s="513" t="str">
        <f ca="1">IFERROR(OFFSET(Camp_List[Status],MATCH(Data_NFI_t[[#This Row],[Camp Name]],Camp_List[Camp Name],0)-1,0,1,1),"")</f>
        <v/>
      </c>
      <c r="AO162" s="131"/>
    </row>
    <row r="163" spans="1:41" s="90" customFormat="1" ht="19.5" customHeight="1" x14ac:dyDescent="0.25">
      <c r="A163" s="242">
        <f t="shared" si="4"/>
        <v>40.06666666666667</v>
      </c>
      <c r="B163" s="242">
        <f>YEAR(Data_NFI_t[[#This Row],[Distribution Date]])</f>
        <v>2014</v>
      </c>
      <c r="C163" s="913">
        <v>41654</v>
      </c>
      <c r="D163" s="489" t="s">
        <v>285</v>
      </c>
      <c r="E163" s="488" t="s">
        <v>285</v>
      </c>
      <c r="F163" s="489" t="s">
        <v>7</v>
      </c>
      <c r="G163" s="790" t="s">
        <v>14</v>
      </c>
      <c r="H163" s="790" t="s">
        <v>43</v>
      </c>
      <c r="I163" s="790"/>
      <c r="J163" s="51"/>
      <c r="K163" s="51"/>
      <c r="L163" s="51">
        <v>1420</v>
      </c>
      <c r="M163" s="51"/>
      <c r="N163" s="51">
        <v>1400</v>
      </c>
      <c r="O163" s="51"/>
      <c r="P163" s="51">
        <v>2800</v>
      </c>
      <c r="Q163" s="51">
        <v>700</v>
      </c>
      <c r="R163" s="511"/>
      <c r="S163" s="51">
        <v>1400</v>
      </c>
      <c r="T163" s="51"/>
      <c r="U163" s="51"/>
      <c r="V163" s="51"/>
      <c r="W163" s="51"/>
      <c r="X163" s="131">
        <f>IF(NFI_Expiration=1,IF($A163&lt;VLOOKUP(I$5,NFI,5,0),1,0)*Data_NFI_t[[#This Row],[Hygiene Kit]],0)</f>
        <v>0</v>
      </c>
      <c r="Y163" s="131">
        <f>IF(NFI_Expiration=1,IF($A163&lt;VLOOKUP(J$5,NFI,5,0),1,0)*Data_NFI_t[[#This Row],[NFI Core Kit]],0)</f>
        <v>0</v>
      </c>
      <c r="Z163" s="112">
        <f>IF(NFI_Expiration=1,IF($A163&lt;VLOOKUP(K$5,NFI,5,0),1,0)*Data_NFI_t[[#This Row],[Sanitary Kit]],0)</f>
        <v>0</v>
      </c>
      <c r="AA163" s="112">
        <f>IF(NFI_Expiration=1,IF($A163&lt;VLOOKUP(L$5,NFI,5,0),1,0)*Data_NFI_t[[#This Row],[Mosquito net]],0)</f>
        <v>0</v>
      </c>
      <c r="AB163" s="112">
        <f>IF(NFI_Expiration=1,IF($A163&lt;VLOOKUP(M$5,NFI,5,0),1,0)*Data_NFI_t[[#This Row],[Tarpaulin]],0)</f>
        <v>0</v>
      </c>
      <c r="AC163" s="112">
        <f>IF(NFI_Expiration=1,IF($A163&lt;VLOOKUP(N$5,NFI,5,0),1,0)*Data_NFI_t[[#This Row],[Blanket]],0)</f>
        <v>0</v>
      </c>
      <c r="AD163" s="112">
        <f>IF(NFI_Expiration=1,IF($A163&lt;VLOOKUP(O$5,NFI,5,0),1,0)*Data_NFI_t[[#This Row],[Kitchen Set]],0)</f>
        <v>0</v>
      </c>
      <c r="AE163" s="112">
        <f>IF(NFI_Expiration=1,IF($A163&lt;VLOOKUP(P$5,NFI,5,0),1,0)*Data_NFI_t[[#This Row],[Complementary Kit]],0)</f>
        <v>0</v>
      </c>
      <c r="AF163" s="112">
        <f>IF(NFI_Expiration=1,IF($A163&lt;VLOOKUP(Q$5,NFI,5,0),1,0)*Data_NFI_t[[#This Row],[Plastic Bucket]],0)</f>
        <v>0</v>
      </c>
      <c r="AG163" s="112">
        <f>IF(NFI_Expiration=1,IF($A163&lt;VLOOKUP(R$5,NFI,5,0),1,0)*Data_NFI_t[[#This Row],[Jerry Can]],0)</f>
        <v>0</v>
      </c>
      <c r="AH163" s="131">
        <f>IF(NFI_Expiration=1,IF($A163&lt;VLOOKUP(S$5,NFI,5,0),1,0)*Data_NFI_t[[#This Row],[Plastic Mat]],0)*IF(Data_NFI_t[[#This Row],[Distribution Date]]&gt;"01-06-2015",1,2.5)</f>
        <v>0</v>
      </c>
      <c r="AI163" s="901">
        <f>IF(NFI_Expiration=1,IF($A163&lt;VLOOKUP(T$5,NFI,5,0),1,0)*Data_NFI_t[[#This Row],[Adult Clothes]],0)</f>
        <v>0</v>
      </c>
      <c r="AJ163" s="131">
        <f>IF(NFI_Expiration=1,IF($A163&lt;VLOOKUP(U$5,NFI,5,0),1,0)*Data_NFI_t[[#This Row],[Children Clothes]],0)</f>
        <v>0</v>
      </c>
      <c r="AK163" s="131">
        <f>IF(NFI_Expiration=1,IF($A163&lt;VLOOKUP(V$5,NFI,5,0),1,0)*Data_NFI_t[[#This Row],[Sewing Kit]],0)</f>
        <v>0</v>
      </c>
      <c r="AL163" s="901">
        <f>IF(NFI_Expiration=1,IF($A163&lt;VLOOKUP(V$5,NFI,5,0),1,0)*Data_NFI_t[[#This Row],[Solar Lantern]],0)</f>
        <v>0</v>
      </c>
      <c r="AM163" s="131" t="str">
        <f ca="1">IFERROR(OFFSET(Camp_List[P_Code],MATCH(Data_NFI_t[[#This Row],[Camp Name]],Camp_List[Camp Name],0)-1,0,1,1),"")</f>
        <v>MMR012CMP019</v>
      </c>
      <c r="AN163" s="513" t="str">
        <f ca="1">IFERROR(OFFSET(Camp_List[Status],MATCH(Data_NFI_t[[#This Row],[Camp Name]],Camp_List[Camp Name],0)-1,0,1,1),"")</f>
        <v>Open</v>
      </c>
      <c r="AO163" s="131"/>
    </row>
    <row r="164" spans="1:41" s="90" customFormat="1" ht="19.5" customHeight="1" x14ac:dyDescent="0.25">
      <c r="A164" s="242">
        <f t="shared" si="4"/>
        <v>40.366666666666667</v>
      </c>
      <c r="B164" s="242">
        <f>YEAR(Data_NFI_t[[#This Row],[Distribution Date]])</f>
        <v>2014</v>
      </c>
      <c r="C164" s="913">
        <v>41645</v>
      </c>
      <c r="D164" s="489" t="s">
        <v>285</v>
      </c>
      <c r="E164" s="488" t="s">
        <v>285</v>
      </c>
      <c r="F164" s="489" t="s">
        <v>7</v>
      </c>
      <c r="G164" s="790" t="s">
        <v>19</v>
      </c>
      <c r="H164" s="790" t="s">
        <v>633</v>
      </c>
      <c r="I164" s="790"/>
      <c r="J164" s="51"/>
      <c r="K164" s="51"/>
      <c r="L164" s="51">
        <v>10</v>
      </c>
      <c r="M164" s="51">
        <v>5</v>
      </c>
      <c r="N164" s="51">
        <v>15</v>
      </c>
      <c r="O164" s="51">
        <v>5</v>
      </c>
      <c r="P164" s="51"/>
      <c r="Q164" s="51"/>
      <c r="R164" s="511"/>
      <c r="S164" s="51">
        <v>10</v>
      </c>
      <c r="T164" s="51"/>
      <c r="U164" s="51"/>
      <c r="V164" s="51"/>
      <c r="W164" s="51"/>
      <c r="X164" s="131">
        <f>IF(NFI_Expiration=1,IF($A164&lt;VLOOKUP(I$5,NFI,5,0),1,0)*Data_NFI_t[[#This Row],[Hygiene Kit]],0)</f>
        <v>0</v>
      </c>
      <c r="Y164" s="131">
        <f>IF(NFI_Expiration=1,IF($A164&lt;VLOOKUP(J$5,NFI,5,0),1,0)*Data_NFI_t[[#This Row],[NFI Core Kit]],0)</f>
        <v>0</v>
      </c>
      <c r="Z164" s="112">
        <f>IF(NFI_Expiration=1,IF($A164&lt;VLOOKUP(K$5,NFI,5,0),1,0)*Data_NFI_t[[#This Row],[Sanitary Kit]],0)</f>
        <v>0</v>
      </c>
      <c r="AA164" s="112">
        <f>IF(NFI_Expiration=1,IF($A164&lt;VLOOKUP(L$5,NFI,5,0),1,0)*Data_NFI_t[[#This Row],[Mosquito net]],0)</f>
        <v>0</v>
      </c>
      <c r="AB164" s="112">
        <f>IF(NFI_Expiration=1,IF($A164&lt;VLOOKUP(M$5,NFI,5,0),1,0)*Data_NFI_t[[#This Row],[Tarpaulin]],0)</f>
        <v>0</v>
      </c>
      <c r="AC164" s="112">
        <f>IF(NFI_Expiration=1,IF($A164&lt;VLOOKUP(N$5,NFI,5,0),1,0)*Data_NFI_t[[#This Row],[Blanket]],0)</f>
        <v>0</v>
      </c>
      <c r="AD164" s="112">
        <f>IF(NFI_Expiration=1,IF($A164&lt;VLOOKUP(O$5,NFI,5,0),1,0)*Data_NFI_t[[#This Row],[Kitchen Set]],0)</f>
        <v>0</v>
      </c>
      <c r="AE164" s="112">
        <f>IF(NFI_Expiration=1,IF($A164&lt;VLOOKUP(P$5,NFI,5,0),1,0)*Data_NFI_t[[#This Row],[Complementary Kit]],0)</f>
        <v>0</v>
      </c>
      <c r="AF164" s="112">
        <f>IF(NFI_Expiration=1,IF($A164&lt;VLOOKUP(Q$5,NFI,5,0),1,0)*Data_NFI_t[[#This Row],[Plastic Bucket]],0)</f>
        <v>0</v>
      </c>
      <c r="AG164" s="112">
        <f>IF(NFI_Expiration=1,IF($A164&lt;VLOOKUP(R$5,NFI,5,0),1,0)*Data_NFI_t[[#This Row],[Jerry Can]],0)</f>
        <v>0</v>
      </c>
      <c r="AH164" s="131">
        <f>IF(NFI_Expiration=1,IF($A164&lt;VLOOKUP(S$5,NFI,5,0),1,0)*Data_NFI_t[[#This Row],[Plastic Mat]],0)*IF(Data_NFI_t[[#This Row],[Distribution Date]]&gt;"01-06-2015",1,2.5)</f>
        <v>0</v>
      </c>
      <c r="AI164" s="901">
        <f>IF(NFI_Expiration=1,IF($A164&lt;VLOOKUP(T$5,NFI,5,0),1,0)*Data_NFI_t[[#This Row],[Adult Clothes]],0)</f>
        <v>0</v>
      </c>
      <c r="AJ164" s="131">
        <f>IF(NFI_Expiration=1,IF($A164&lt;VLOOKUP(U$5,NFI,5,0),1,0)*Data_NFI_t[[#This Row],[Children Clothes]],0)</f>
        <v>0</v>
      </c>
      <c r="AK164" s="131">
        <f>IF(NFI_Expiration=1,IF($A164&lt;VLOOKUP(V$5,NFI,5,0),1,0)*Data_NFI_t[[#This Row],[Sewing Kit]],0)</f>
        <v>0</v>
      </c>
      <c r="AL164" s="901">
        <f>IF(NFI_Expiration=1,IF($A164&lt;VLOOKUP(V$5,NFI,5,0),1,0)*Data_NFI_t[[#This Row],[Solar Lantern]],0)</f>
        <v>0</v>
      </c>
      <c r="AM164" s="131" t="str">
        <f ca="1">IFERROR(OFFSET(Camp_List[P_Code],MATCH(Data_NFI_t[[#This Row],[Camp Name]],Camp_List[Camp Name],0)-1,0,1,1),"")</f>
        <v>MMR012CMP098</v>
      </c>
      <c r="AN164" s="513" t="str">
        <f ca="1">IFERROR(OFFSET(Camp_List[Status],MATCH(Data_NFI_t[[#This Row],[Camp Name]],Camp_List[Camp Name],0)-1,0,1,1),"")</f>
        <v>Open</v>
      </c>
      <c r="AO164" s="131"/>
    </row>
    <row r="165" spans="1:41" s="90" customFormat="1" ht="19.5" customHeight="1" x14ac:dyDescent="0.25">
      <c r="A165" s="242">
        <f t="shared" si="4"/>
        <v>40.5</v>
      </c>
      <c r="B165" s="242">
        <f>YEAR(Data_NFI_t[[#This Row],[Distribution Date]])</f>
        <v>2014</v>
      </c>
      <c r="C165" s="913">
        <v>41641</v>
      </c>
      <c r="D165" s="489" t="s">
        <v>285</v>
      </c>
      <c r="E165" s="488" t="s">
        <v>285</v>
      </c>
      <c r="F165" s="489" t="s">
        <v>7</v>
      </c>
      <c r="G165" s="790" t="s">
        <v>15</v>
      </c>
      <c r="H165" s="790" t="s">
        <v>48</v>
      </c>
      <c r="I165" s="790"/>
      <c r="J165" s="51"/>
      <c r="K165" s="51">
        <v>1</v>
      </c>
      <c r="L165" s="51">
        <v>2</v>
      </c>
      <c r="M165" s="51"/>
      <c r="N165" s="51">
        <v>2</v>
      </c>
      <c r="O165" s="51">
        <v>1</v>
      </c>
      <c r="P165" s="51">
        <v>1</v>
      </c>
      <c r="Q165" s="51">
        <v>1</v>
      </c>
      <c r="R165" s="511"/>
      <c r="S165" s="51">
        <v>2</v>
      </c>
      <c r="T165" s="51"/>
      <c r="U165" s="51"/>
      <c r="V165" s="51"/>
      <c r="W165" s="51"/>
      <c r="X165" s="131">
        <f>IF(NFI_Expiration=1,IF($A165&lt;VLOOKUP(I$5,NFI,5,0),1,0)*Data_NFI_t[[#This Row],[Hygiene Kit]],0)</f>
        <v>0</v>
      </c>
      <c r="Y165" s="131">
        <f>IF(NFI_Expiration=1,IF($A165&lt;VLOOKUP(J$5,NFI,5,0),1,0)*Data_NFI_t[[#This Row],[NFI Core Kit]],0)</f>
        <v>0</v>
      </c>
      <c r="Z165" s="112">
        <f>IF(NFI_Expiration=1,IF($A165&lt;VLOOKUP(K$5,NFI,5,0),1,0)*Data_NFI_t[[#This Row],[Sanitary Kit]],0)</f>
        <v>0</v>
      </c>
      <c r="AA165" s="112">
        <f>IF(NFI_Expiration=1,IF($A165&lt;VLOOKUP(L$5,NFI,5,0),1,0)*Data_NFI_t[[#This Row],[Mosquito net]],0)</f>
        <v>0</v>
      </c>
      <c r="AB165" s="112">
        <f>IF(NFI_Expiration=1,IF($A165&lt;VLOOKUP(M$5,NFI,5,0),1,0)*Data_NFI_t[[#This Row],[Tarpaulin]],0)</f>
        <v>0</v>
      </c>
      <c r="AC165" s="112">
        <f>IF(NFI_Expiration=1,IF($A165&lt;VLOOKUP(N$5,NFI,5,0),1,0)*Data_NFI_t[[#This Row],[Blanket]],0)</f>
        <v>0</v>
      </c>
      <c r="AD165" s="112">
        <f>IF(NFI_Expiration=1,IF($A165&lt;VLOOKUP(O$5,NFI,5,0),1,0)*Data_NFI_t[[#This Row],[Kitchen Set]],0)</f>
        <v>0</v>
      </c>
      <c r="AE165" s="112">
        <f>IF(NFI_Expiration=1,IF($A165&lt;VLOOKUP(P$5,NFI,5,0),1,0)*Data_NFI_t[[#This Row],[Complementary Kit]],0)</f>
        <v>0</v>
      </c>
      <c r="AF165" s="112">
        <f>IF(NFI_Expiration=1,IF($A165&lt;VLOOKUP(Q$5,NFI,5,0),1,0)*Data_NFI_t[[#This Row],[Plastic Bucket]],0)</f>
        <v>0</v>
      </c>
      <c r="AG165" s="112">
        <f>IF(NFI_Expiration=1,IF($A165&lt;VLOOKUP(R$5,NFI,5,0),1,0)*Data_NFI_t[[#This Row],[Jerry Can]],0)</f>
        <v>0</v>
      </c>
      <c r="AH165" s="131">
        <f>IF(NFI_Expiration=1,IF($A165&lt;VLOOKUP(S$5,NFI,5,0),1,0)*Data_NFI_t[[#This Row],[Plastic Mat]],0)*IF(Data_NFI_t[[#This Row],[Distribution Date]]&gt;"01-06-2015",1,2.5)</f>
        <v>0</v>
      </c>
      <c r="AI165" s="901">
        <f>IF(NFI_Expiration=1,IF($A165&lt;VLOOKUP(T$5,NFI,5,0),1,0)*Data_NFI_t[[#This Row],[Adult Clothes]],0)</f>
        <v>0</v>
      </c>
      <c r="AJ165" s="131">
        <f>IF(NFI_Expiration=1,IF($A165&lt;VLOOKUP(U$5,NFI,5,0),1,0)*Data_NFI_t[[#This Row],[Children Clothes]],0)</f>
        <v>0</v>
      </c>
      <c r="AK165" s="131">
        <f>IF(NFI_Expiration=1,IF($A165&lt;VLOOKUP(V$5,NFI,5,0),1,0)*Data_NFI_t[[#This Row],[Sewing Kit]],0)</f>
        <v>0</v>
      </c>
      <c r="AL165" s="901">
        <f>IF(NFI_Expiration=1,IF($A165&lt;VLOOKUP(V$5,NFI,5,0),1,0)*Data_NFI_t[[#This Row],[Solar Lantern]],0)</f>
        <v>0</v>
      </c>
      <c r="AM165" s="131" t="str">
        <f ca="1">IFERROR(OFFSET(Camp_List[P_Code],MATCH(Data_NFI_t[[#This Row],[Camp Name]],Camp_List[Camp Name],0)-1,0,1,1),"")</f>
        <v>MMR012CMP024</v>
      </c>
      <c r="AN165" s="513" t="str">
        <f ca="1">IFERROR(OFFSET(Camp_List[Status],MATCH(Data_NFI_t[[#This Row],[Camp Name]],Camp_List[Camp Name],0)-1,0,1,1),"")</f>
        <v>Returned</v>
      </c>
      <c r="AO165" s="131"/>
    </row>
    <row r="166" spans="1:41" s="90" customFormat="1" ht="19.5" customHeight="1" x14ac:dyDescent="0.25">
      <c r="A166" s="242">
        <f t="shared" si="4"/>
        <v>40.5</v>
      </c>
      <c r="B166" s="242">
        <f>YEAR(Data_NFI_t[[#This Row],[Distribution Date]])</f>
        <v>2014</v>
      </c>
      <c r="C166" s="913">
        <v>41641</v>
      </c>
      <c r="D166" s="489" t="s">
        <v>285</v>
      </c>
      <c r="E166" s="488" t="s">
        <v>285</v>
      </c>
      <c r="F166" s="489" t="s">
        <v>7</v>
      </c>
      <c r="G166" s="790" t="s">
        <v>19</v>
      </c>
      <c r="H166" s="790" t="s">
        <v>633</v>
      </c>
      <c r="I166" s="790"/>
      <c r="J166" s="51">
        <v>30</v>
      </c>
      <c r="K166" s="51"/>
      <c r="L166" s="51">
        <v>50</v>
      </c>
      <c r="M166" s="51">
        <v>25</v>
      </c>
      <c r="N166" s="51">
        <v>75</v>
      </c>
      <c r="O166" s="51">
        <v>25</v>
      </c>
      <c r="P166" s="51"/>
      <c r="Q166" s="51"/>
      <c r="R166" s="511"/>
      <c r="S166" s="51">
        <v>50</v>
      </c>
      <c r="T166" s="51"/>
      <c r="U166" s="51"/>
      <c r="V166" s="51"/>
      <c r="W166" s="51"/>
      <c r="X166" s="131">
        <f>IF(NFI_Expiration=1,IF($A166&lt;VLOOKUP(I$5,NFI,5,0),1,0)*Data_NFI_t[[#This Row],[Hygiene Kit]],0)</f>
        <v>0</v>
      </c>
      <c r="Y166" s="131">
        <f>IF(NFI_Expiration=1,IF($A166&lt;VLOOKUP(J$5,NFI,5,0),1,0)*Data_NFI_t[[#This Row],[NFI Core Kit]],0)</f>
        <v>0</v>
      </c>
      <c r="Z166" s="112">
        <f>IF(NFI_Expiration=1,IF($A166&lt;VLOOKUP(K$5,NFI,5,0),1,0)*Data_NFI_t[[#This Row],[Sanitary Kit]],0)</f>
        <v>0</v>
      </c>
      <c r="AA166" s="112">
        <f>IF(NFI_Expiration=1,IF($A166&lt;VLOOKUP(L$5,NFI,5,0),1,0)*Data_NFI_t[[#This Row],[Mosquito net]],0)</f>
        <v>0</v>
      </c>
      <c r="AB166" s="112">
        <f>IF(NFI_Expiration=1,IF($A166&lt;VLOOKUP(M$5,NFI,5,0),1,0)*Data_NFI_t[[#This Row],[Tarpaulin]],0)</f>
        <v>0</v>
      </c>
      <c r="AC166" s="112">
        <f>IF(NFI_Expiration=1,IF($A166&lt;VLOOKUP(N$5,NFI,5,0),1,0)*Data_NFI_t[[#This Row],[Blanket]],0)</f>
        <v>0</v>
      </c>
      <c r="AD166" s="112">
        <f>IF(NFI_Expiration=1,IF($A166&lt;VLOOKUP(O$5,NFI,5,0),1,0)*Data_NFI_t[[#This Row],[Kitchen Set]],0)</f>
        <v>0</v>
      </c>
      <c r="AE166" s="112">
        <f>IF(NFI_Expiration=1,IF($A166&lt;VLOOKUP(P$5,NFI,5,0),1,0)*Data_NFI_t[[#This Row],[Complementary Kit]],0)</f>
        <v>0</v>
      </c>
      <c r="AF166" s="112">
        <f>IF(NFI_Expiration=1,IF($A166&lt;VLOOKUP(Q$5,NFI,5,0),1,0)*Data_NFI_t[[#This Row],[Plastic Bucket]],0)</f>
        <v>0</v>
      </c>
      <c r="AG166" s="112">
        <f>IF(NFI_Expiration=1,IF($A166&lt;VLOOKUP(R$5,NFI,5,0),1,0)*Data_NFI_t[[#This Row],[Jerry Can]],0)</f>
        <v>0</v>
      </c>
      <c r="AH166" s="131">
        <f>IF(NFI_Expiration=1,IF($A166&lt;VLOOKUP(S$5,NFI,5,0),1,0)*Data_NFI_t[[#This Row],[Plastic Mat]],0)*IF(Data_NFI_t[[#This Row],[Distribution Date]]&gt;"01-06-2015",1,2.5)</f>
        <v>0</v>
      </c>
      <c r="AI166" s="901">
        <f>IF(NFI_Expiration=1,IF($A166&lt;VLOOKUP(T$5,NFI,5,0),1,0)*Data_NFI_t[[#This Row],[Adult Clothes]],0)</f>
        <v>0</v>
      </c>
      <c r="AJ166" s="131">
        <f>IF(NFI_Expiration=1,IF($A166&lt;VLOOKUP(U$5,NFI,5,0),1,0)*Data_NFI_t[[#This Row],[Children Clothes]],0)</f>
        <v>0</v>
      </c>
      <c r="AK166" s="131">
        <f>IF(NFI_Expiration=1,IF($A166&lt;VLOOKUP(V$5,NFI,5,0),1,0)*Data_NFI_t[[#This Row],[Sewing Kit]],0)</f>
        <v>0</v>
      </c>
      <c r="AL166" s="901">
        <f>IF(NFI_Expiration=1,IF($A166&lt;VLOOKUP(V$5,NFI,5,0),1,0)*Data_NFI_t[[#This Row],[Solar Lantern]],0)</f>
        <v>0</v>
      </c>
      <c r="AM166" s="131" t="str">
        <f ca="1">IFERROR(OFFSET(Camp_List[P_Code],MATCH(Data_NFI_t[[#This Row],[Camp Name]],Camp_List[Camp Name],0)-1,0,1,1),"")</f>
        <v>MMR012CMP098</v>
      </c>
      <c r="AN166" s="513" t="str">
        <f ca="1">IFERROR(OFFSET(Camp_List[Status],MATCH(Data_NFI_t[[#This Row],[Camp Name]],Camp_List[Camp Name],0)-1,0,1,1),"")</f>
        <v>Open</v>
      </c>
      <c r="AO166" s="131"/>
    </row>
    <row r="167" spans="1:41" s="90" customFormat="1" ht="19.5" customHeight="1" x14ac:dyDescent="0.25">
      <c r="A167" s="242">
        <f t="shared" si="4"/>
        <v>40.56666666666667</v>
      </c>
      <c r="B167" s="242">
        <f>YEAR(Data_NFI_t[[#This Row],[Distribution Date]])</f>
        <v>2013</v>
      </c>
      <c r="C167" s="913">
        <v>41639</v>
      </c>
      <c r="D167" s="489" t="s">
        <v>285</v>
      </c>
      <c r="E167" s="488" t="s">
        <v>285</v>
      </c>
      <c r="F167" s="489" t="s">
        <v>7</v>
      </c>
      <c r="G167" s="790" t="s">
        <v>19</v>
      </c>
      <c r="H167" s="790" t="s">
        <v>633</v>
      </c>
      <c r="I167" s="790"/>
      <c r="J167" s="51"/>
      <c r="K167" s="51"/>
      <c r="L167" s="51">
        <v>800</v>
      </c>
      <c r="M167" s="51"/>
      <c r="N167" s="51"/>
      <c r="O167" s="51"/>
      <c r="P167" s="51"/>
      <c r="Q167" s="51"/>
      <c r="R167" s="511"/>
      <c r="S167" s="51"/>
      <c r="T167" s="51"/>
      <c r="U167" s="51"/>
      <c r="V167" s="51"/>
      <c r="W167" s="51"/>
      <c r="X167" s="131">
        <f>IF(NFI_Expiration=1,IF($A167&lt;VLOOKUP(I$5,NFI,5,0),1,0)*Data_NFI_t[[#This Row],[Hygiene Kit]],0)</f>
        <v>0</v>
      </c>
      <c r="Y167" s="131">
        <f>IF(NFI_Expiration=1,IF($A167&lt;VLOOKUP(J$5,NFI,5,0),1,0)*Data_NFI_t[[#This Row],[NFI Core Kit]],0)</f>
        <v>0</v>
      </c>
      <c r="Z167" s="112">
        <f>IF(NFI_Expiration=1,IF($A167&lt;VLOOKUP(K$5,NFI,5,0),1,0)*Data_NFI_t[[#This Row],[Sanitary Kit]],0)</f>
        <v>0</v>
      </c>
      <c r="AA167" s="112">
        <f>IF(NFI_Expiration=1,IF($A167&lt;VLOOKUP(L$5,NFI,5,0),1,0)*Data_NFI_t[[#This Row],[Mosquito net]],0)</f>
        <v>0</v>
      </c>
      <c r="AB167" s="112">
        <f>IF(NFI_Expiration=1,IF($A167&lt;VLOOKUP(M$5,NFI,5,0),1,0)*Data_NFI_t[[#This Row],[Tarpaulin]],0)</f>
        <v>0</v>
      </c>
      <c r="AC167" s="112">
        <f>IF(NFI_Expiration=1,IF($A167&lt;VLOOKUP(N$5,NFI,5,0),1,0)*Data_NFI_t[[#This Row],[Blanket]],0)</f>
        <v>0</v>
      </c>
      <c r="AD167" s="112">
        <f>IF(NFI_Expiration=1,IF($A167&lt;VLOOKUP(O$5,NFI,5,0),1,0)*Data_NFI_t[[#This Row],[Kitchen Set]],0)</f>
        <v>0</v>
      </c>
      <c r="AE167" s="112">
        <f>IF(NFI_Expiration=1,IF($A167&lt;VLOOKUP(P$5,NFI,5,0),1,0)*Data_NFI_t[[#This Row],[Complementary Kit]],0)</f>
        <v>0</v>
      </c>
      <c r="AF167" s="112">
        <f>IF(NFI_Expiration=1,IF($A167&lt;VLOOKUP(Q$5,NFI,5,0),1,0)*Data_NFI_t[[#This Row],[Plastic Bucket]],0)</f>
        <v>0</v>
      </c>
      <c r="AG167" s="112">
        <f>IF(NFI_Expiration=1,IF($A167&lt;VLOOKUP(R$5,NFI,5,0),1,0)*Data_NFI_t[[#This Row],[Jerry Can]],0)</f>
        <v>0</v>
      </c>
      <c r="AH167" s="131">
        <f>IF(NFI_Expiration=1,IF($A167&lt;VLOOKUP(S$5,NFI,5,0),1,0)*Data_NFI_t[[#This Row],[Plastic Mat]],0)*IF(Data_NFI_t[[#This Row],[Distribution Date]]&gt;"01-06-2015",1,2.5)</f>
        <v>0</v>
      </c>
      <c r="AI167" s="901">
        <f>IF(NFI_Expiration=1,IF($A167&lt;VLOOKUP(T$5,NFI,5,0),1,0)*Data_NFI_t[[#This Row],[Adult Clothes]],0)</f>
        <v>0</v>
      </c>
      <c r="AJ167" s="131">
        <f>IF(NFI_Expiration=1,IF($A167&lt;VLOOKUP(U$5,NFI,5,0),1,0)*Data_NFI_t[[#This Row],[Children Clothes]],0)</f>
        <v>0</v>
      </c>
      <c r="AK167" s="131">
        <f>IF(NFI_Expiration=1,IF($A167&lt;VLOOKUP(V$5,NFI,5,0),1,0)*Data_NFI_t[[#This Row],[Sewing Kit]],0)</f>
        <v>0</v>
      </c>
      <c r="AL167" s="901">
        <f>IF(NFI_Expiration=1,IF($A167&lt;VLOOKUP(V$5,NFI,5,0),1,0)*Data_NFI_t[[#This Row],[Solar Lantern]],0)</f>
        <v>0</v>
      </c>
      <c r="AM167" s="131" t="str">
        <f ca="1">IFERROR(OFFSET(Camp_List[P_Code],MATCH(Data_NFI_t[[#This Row],[Camp Name]],Camp_List[Camp Name],0)-1,0,1,1),"")</f>
        <v>MMR012CMP098</v>
      </c>
      <c r="AN167" s="513" t="str">
        <f ca="1">IFERROR(OFFSET(Camp_List[Status],MATCH(Data_NFI_t[[#This Row],[Camp Name]],Camp_List[Camp Name],0)-1,0,1,1),"")</f>
        <v>Open</v>
      </c>
      <c r="AO167" s="131"/>
    </row>
    <row r="168" spans="1:41" s="90" customFormat="1" ht="19.5" customHeight="1" x14ac:dyDescent="0.25">
      <c r="A168" s="242">
        <f t="shared" si="4"/>
        <v>40.56666666666667</v>
      </c>
      <c r="B168" s="242">
        <f>YEAR(Data_NFI_t[[#This Row],[Distribution Date]])</f>
        <v>2013</v>
      </c>
      <c r="C168" s="913">
        <v>41639</v>
      </c>
      <c r="D168" s="489" t="s">
        <v>285</v>
      </c>
      <c r="E168" s="488" t="s">
        <v>285</v>
      </c>
      <c r="F168" s="489" t="s">
        <v>7</v>
      </c>
      <c r="G168" s="790" t="s">
        <v>19</v>
      </c>
      <c r="H168" s="790" t="s">
        <v>633</v>
      </c>
      <c r="I168" s="790"/>
      <c r="J168" s="51"/>
      <c r="K168" s="51"/>
      <c r="L168" s="51"/>
      <c r="M168" s="51"/>
      <c r="N168" s="51">
        <v>800</v>
      </c>
      <c r="O168" s="51">
        <v>400</v>
      </c>
      <c r="P168" s="51"/>
      <c r="Q168" s="51">
        <v>400</v>
      </c>
      <c r="R168" s="511"/>
      <c r="S168" s="51">
        <v>800</v>
      </c>
      <c r="T168" s="51"/>
      <c r="U168" s="51"/>
      <c r="V168" s="51"/>
      <c r="W168" s="51"/>
      <c r="X168" s="131">
        <f>IF(NFI_Expiration=1,IF($A168&lt;VLOOKUP(I$5,NFI,5,0),1,0)*Data_NFI_t[[#This Row],[Hygiene Kit]],0)</f>
        <v>0</v>
      </c>
      <c r="Y168" s="131">
        <f>IF(NFI_Expiration=1,IF($A168&lt;VLOOKUP(J$5,NFI,5,0),1,0)*Data_NFI_t[[#This Row],[NFI Core Kit]],0)</f>
        <v>0</v>
      </c>
      <c r="Z168" s="112">
        <f>IF(NFI_Expiration=1,IF($A168&lt;VLOOKUP(K$5,NFI,5,0),1,0)*Data_NFI_t[[#This Row],[Sanitary Kit]],0)</f>
        <v>0</v>
      </c>
      <c r="AA168" s="112">
        <f>IF(NFI_Expiration=1,IF($A168&lt;VLOOKUP(L$5,NFI,5,0),1,0)*Data_NFI_t[[#This Row],[Mosquito net]],0)</f>
        <v>0</v>
      </c>
      <c r="AB168" s="112">
        <f>IF(NFI_Expiration=1,IF($A168&lt;VLOOKUP(M$5,NFI,5,0),1,0)*Data_NFI_t[[#This Row],[Tarpaulin]],0)</f>
        <v>0</v>
      </c>
      <c r="AC168" s="112">
        <f>IF(NFI_Expiration=1,IF($A168&lt;VLOOKUP(N$5,NFI,5,0),1,0)*Data_NFI_t[[#This Row],[Blanket]],0)</f>
        <v>0</v>
      </c>
      <c r="AD168" s="112">
        <f>IF(NFI_Expiration=1,IF($A168&lt;VLOOKUP(O$5,NFI,5,0),1,0)*Data_NFI_t[[#This Row],[Kitchen Set]],0)</f>
        <v>0</v>
      </c>
      <c r="AE168" s="112">
        <f>IF(NFI_Expiration=1,IF($A168&lt;VLOOKUP(P$5,NFI,5,0),1,0)*Data_NFI_t[[#This Row],[Complementary Kit]],0)</f>
        <v>0</v>
      </c>
      <c r="AF168" s="112">
        <f>IF(NFI_Expiration=1,IF($A168&lt;VLOOKUP(Q$5,NFI,5,0),1,0)*Data_NFI_t[[#This Row],[Plastic Bucket]],0)</f>
        <v>0</v>
      </c>
      <c r="AG168" s="112">
        <f>IF(NFI_Expiration=1,IF($A168&lt;VLOOKUP(R$5,NFI,5,0),1,0)*Data_NFI_t[[#This Row],[Jerry Can]],0)</f>
        <v>0</v>
      </c>
      <c r="AH168" s="131">
        <f>IF(NFI_Expiration=1,IF($A168&lt;VLOOKUP(S$5,NFI,5,0),1,0)*Data_NFI_t[[#This Row],[Plastic Mat]],0)*IF(Data_NFI_t[[#This Row],[Distribution Date]]&gt;"01-06-2015",1,2.5)</f>
        <v>0</v>
      </c>
      <c r="AI168" s="901">
        <f>IF(NFI_Expiration=1,IF($A168&lt;VLOOKUP(T$5,NFI,5,0),1,0)*Data_NFI_t[[#This Row],[Adult Clothes]],0)</f>
        <v>0</v>
      </c>
      <c r="AJ168" s="131">
        <f>IF(NFI_Expiration=1,IF($A168&lt;VLOOKUP(U$5,NFI,5,0),1,0)*Data_NFI_t[[#This Row],[Children Clothes]],0)</f>
        <v>0</v>
      </c>
      <c r="AK168" s="131">
        <f>IF(NFI_Expiration=1,IF($A168&lt;VLOOKUP(V$5,NFI,5,0),1,0)*Data_NFI_t[[#This Row],[Sewing Kit]],0)</f>
        <v>0</v>
      </c>
      <c r="AL168" s="901">
        <f>IF(NFI_Expiration=1,IF($A168&lt;VLOOKUP(V$5,NFI,5,0),1,0)*Data_NFI_t[[#This Row],[Solar Lantern]],0)</f>
        <v>0</v>
      </c>
      <c r="AM168" s="131" t="str">
        <f ca="1">IFERROR(OFFSET(Camp_List[P_Code],MATCH(Data_NFI_t[[#This Row],[Camp Name]],Camp_List[Camp Name],0)-1,0,1,1),"")</f>
        <v>MMR012CMP098</v>
      </c>
      <c r="AN168" s="513" t="str">
        <f ca="1">IFERROR(OFFSET(Camp_List[Status],MATCH(Data_NFI_t[[#This Row],[Camp Name]],Camp_List[Camp Name],0)-1,0,1,1),"")</f>
        <v>Open</v>
      </c>
      <c r="AO168" s="131"/>
    </row>
    <row r="169" spans="1:41" s="90" customFormat="1" ht="19.5" customHeight="1" x14ac:dyDescent="0.25">
      <c r="A169" s="242">
        <f t="shared" si="4"/>
        <v>40.56666666666667</v>
      </c>
      <c r="B169" s="242">
        <f>YEAR(Data_NFI_t[[#This Row],[Distribution Date]])</f>
        <v>2013</v>
      </c>
      <c r="C169" s="913">
        <v>41639</v>
      </c>
      <c r="D169" s="489" t="s">
        <v>285</v>
      </c>
      <c r="E169" s="488" t="s">
        <v>285</v>
      </c>
      <c r="F169" s="489" t="s">
        <v>7</v>
      </c>
      <c r="G169" s="790" t="s">
        <v>19</v>
      </c>
      <c r="H169" s="790" t="s">
        <v>633</v>
      </c>
      <c r="I169" s="790"/>
      <c r="J169" s="51"/>
      <c r="K169" s="51"/>
      <c r="L169" s="51"/>
      <c r="M169" s="51">
        <v>309</v>
      </c>
      <c r="N169" s="51"/>
      <c r="O169" s="51"/>
      <c r="P169" s="51"/>
      <c r="Q169" s="51"/>
      <c r="R169" s="511"/>
      <c r="S169" s="51"/>
      <c r="T169" s="51"/>
      <c r="U169" s="51"/>
      <c r="V169" s="51"/>
      <c r="W169" s="51"/>
      <c r="X169" s="131">
        <f>IF(NFI_Expiration=1,IF($A169&lt;VLOOKUP(I$5,NFI,5,0),1,0)*Data_NFI_t[[#This Row],[Hygiene Kit]],0)</f>
        <v>0</v>
      </c>
      <c r="Y169" s="131">
        <f>IF(NFI_Expiration=1,IF($A169&lt;VLOOKUP(J$5,NFI,5,0),1,0)*Data_NFI_t[[#This Row],[NFI Core Kit]],0)</f>
        <v>0</v>
      </c>
      <c r="Z169" s="112">
        <f>IF(NFI_Expiration=1,IF($A169&lt;VLOOKUP(K$5,NFI,5,0),1,0)*Data_NFI_t[[#This Row],[Sanitary Kit]],0)</f>
        <v>0</v>
      </c>
      <c r="AA169" s="112">
        <f>IF(NFI_Expiration=1,IF($A169&lt;VLOOKUP(L$5,NFI,5,0),1,0)*Data_NFI_t[[#This Row],[Mosquito net]],0)</f>
        <v>0</v>
      </c>
      <c r="AB169" s="112">
        <f>IF(NFI_Expiration=1,IF($A169&lt;VLOOKUP(M$5,NFI,5,0),1,0)*Data_NFI_t[[#This Row],[Tarpaulin]],0)</f>
        <v>0</v>
      </c>
      <c r="AC169" s="112">
        <f>IF(NFI_Expiration=1,IF($A169&lt;VLOOKUP(N$5,NFI,5,0),1,0)*Data_NFI_t[[#This Row],[Blanket]],0)</f>
        <v>0</v>
      </c>
      <c r="AD169" s="112">
        <f>IF(NFI_Expiration=1,IF($A169&lt;VLOOKUP(O$5,NFI,5,0),1,0)*Data_NFI_t[[#This Row],[Kitchen Set]],0)</f>
        <v>0</v>
      </c>
      <c r="AE169" s="112">
        <f>IF(NFI_Expiration=1,IF($A169&lt;VLOOKUP(P$5,NFI,5,0),1,0)*Data_NFI_t[[#This Row],[Complementary Kit]],0)</f>
        <v>0</v>
      </c>
      <c r="AF169" s="112">
        <f>IF(NFI_Expiration=1,IF($A169&lt;VLOOKUP(Q$5,NFI,5,0),1,0)*Data_NFI_t[[#This Row],[Plastic Bucket]],0)</f>
        <v>0</v>
      </c>
      <c r="AG169" s="112">
        <f>IF(NFI_Expiration=1,IF($A169&lt;VLOOKUP(R$5,NFI,5,0),1,0)*Data_NFI_t[[#This Row],[Jerry Can]],0)</f>
        <v>0</v>
      </c>
      <c r="AH169" s="131">
        <f>IF(NFI_Expiration=1,IF($A169&lt;VLOOKUP(S$5,NFI,5,0),1,0)*Data_NFI_t[[#This Row],[Plastic Mat]],0)*IF(Data_NFI_t[[#This Row],[Distribution Date]]&gt;"01-06-2015",1,2.5)</f>
        <v>0</v>
      </c>
      <c r="AI169" s="901">
        <f>IF(NFI_Expiration=1,IF($A169&lt;VLOOKUP(T$5,NFI,5,0),1,0)*Data_NFI_t[[#This Row],[Adult Clothes]],0)</f>
        <v>0</v>
      </c>
      <c r="AJ169" s="131">
        <f>IF(NFI_Expiration=1,IF($A169&lt;VLOOKUP(U$5,NFI,5,0),1,0)*Data_NFI_t[[#This Row],[Children Clothes]],0)</f>
        <v>0</v>
      </c>
      <c r="AK169" s="131">
        <f>IF(NFI_Expiration=1,IF($A169&lt;VLOOKUP(V$5,NFI,5,0),1,0)*Data_NFI_t[[#This Row],[Sewing Kit]],0)</f>
        <v>0</v>
      </c>
      <c r="AL169" s="901">
        <f>IF(NFI_Expiration=1,IF($A169&lt;VLOOKUP(V$5,NFI,5,0),1,0)*Data_NFI_t[[#This Row],[Solar Lantern]],0)</f>
        <v>0</v>
      </c>
      <c r="AM169" s="131" t="str">
        <f ca="1">IFERROR(OFFSET(Camp_List[P_Code],MATCH(Data_NFI_t[[#This Row],[Camp Name]],Camp_List[Camp Name],0)-1,0,1,1),"")</f>
        <v>MMR012CMP098</v>
      </c>
      <c r="AN169" s="513" t="str">
        <f ca="1">IFERROR(OFFSET(Camp_List[Status],MATCH(Data_NFI_t[[#This Row],[Camp Name]],Camp_List[Camp Name],0)-1,0,1,1),"")</f>
        <v>Open</v>
      </c>
      <c r="AO169" s="131"/>
    </row>
    <row r="170" spans="1:41" s="90" customFormat="1" ht="19.5" customHeight="1" x14ac:dyDescent="0.25">
      <c r="A170" s="242">
        <f t="shared" si="4"/>
        <v>41.166666666666664</v>
      </c>
      <c r="B170" s="242">
        <f>YEAR(Data_NFI_t[[#This Row],[Distribution Date]])</f>
        <v>2013</v>
      </c>
      <c r="C170" s="913">
        <v>41621</v>
      </c>
      <c r="D170" s="489" t="s">
        <v>285</v>
      </c>
      <c r="E170" s="488" t="s">
        <v>285</v>
      </c>
      <c r="F170" s="489" t="s">
        <v>7</v>
      </c>
      <c r="G170" s="790" t="s">
        <v>14</v>
      </c>
      <c r="H170" s="790" t="s">
        <v>41</v>
      </c>
      <c r="I170" s="790"/>
      <c r="J170" s="51"/>
      <c r="K170" s="51"/>
      <c r="L170" s="51">
        <v>1966</v>
      </c>
      <c r="M170" s="51"/>
      <c r="N170" s="51">
        <v>1966</v>
      </c>
      <c r="O170" s="51">
        <v>983</v>
      </c>
      <c r="P170" s="51">
        <v>983</v>
      </c>
      <c r="Q170" s="51">
        <v>983</v>
      </c>
      <c r="R170" s="511"/>
      <c r="S170" s="51">
        <v>1966</v>
      </c>
      <c r="T170" s="51"/>
      <c r="U170" s="51"/>
      <c r="V170" s="51"/>
      <c r="W170" s="51"/>
      <c r="X170" s="131">
        <f>IF(NFI_Expiration=1,IF($A170&lt;VLOOKUP(I$5,NFI,5,0),1,0)*Data_NFI_t[[#This Row],[Hygiene Kit]],0)</f>
        <v>0</v>
      </c>
      <c r="Y170" s="131">
        <f>IF(NFI_Expiration=1,IF($A170&lt;VLOOKUP(J$5,NFI,5,0),1,0)*Data_NFI_t[[#This Row],[NFI Core Kit]],0)</f>
        <v>0</v>
      </c>
      <c r="Z170" s="112">
        <f>IF(NFI_Expiration=1,IF($A170&lt;VLOOKUP(K$5,NFI,5,0),1,0)*Data_NFI_t[[#This Row],[Sanitary Kit]],0)</f>
        <v>0</v>
      </c>
      <c r="AA170" s="112">
        <f>IF(NFI_Expiration=1,IF($A170&lt;VLOOKUP(L$5,NFI,5,0),1,0)*Data_NFI_t[[#This Row],[Mosquito net]],0)</f>
        <v>0</v>
      </c>
      <c r="AB170" s="112">
        <f>IF(NFI_Expiration=1,IF($A170&lt;VLOOKUP(M$5,NFI,5,0),1,0)*Data_NFI_t[[#This Row],[Tarpaulin]],0)</f>
        <v>0</v>
      </c>
      <c r="AC170" s="112">
        <f>IF(NFI_Expiration=1,IF($A170&lt;VLOOKUP(N$5,NFI,5,0),1,0)*Data_NFI_t[[#This Row],[Blanket]],0)</f>
        <v>0</v>
      </c>
      <c r="AD170" s="112">
        <f>IF(NFI_Expiration=1,IF($A170&lt;VLOOKUP(O$5,NFI,5,0),1,0)*Data_NFI_t[[#This Row],[Kitchen Set]],0)</f>
        <v>0</v>
      </c>
      <c r="AE170" s="112">
        <f>IF(NFI_Expiration=1,IF($A170&lt;VLOOKUP(P$5,NFI,5,0),1,0)*Data_NFI_t[[#This Row],[Complementary Kit]],0)</f>
        <v>0</v>
      </c>
      <c r="AF170" s="112">
        <f>IF(NFI_Expiration=1,IF($A170&lt;VLOOKUP(Q$5,NFI,5,0),1,0)*Data_NFI_t[[#This Row],[Plastic Bucket]],0)</f>
        <v>0</v>
      </c>
      <c r="AG170" s="112">
        <f>IF(NFI_Expiration=1,IF($A170&lt;VLOOKUP(R$5,NFI,5,0),1,0)*Data_NFI_t[[#This Row],[Jerry Can]],0)</f>
        <v>0</v>
      </c>
      <c r="AH170" s="131">
        <f>IF(NFI_Expiration=1,IF($A170&lt;VLOOKUP(S$5,NFI,5,0),1,0)*Data_NFI_t[[#This Row],[Plastic Mat]],0)*IF(Data_NFI_t[[#This Row],[Distribution Date]]&gt;"01-06-2015",1,2.5)</f>
        <v>0</v>
      </c>
      <c r="AI170" s="901">
        <f>IF(NFI_Expiration=1,IF($A170&lt;VLOOKUP(T$5,NFI,5,0),1,0)*Data_NFI_t[[#This Row],[Adult Clothes]],0)</f>
        <v>0</v>
      </c>
      <c r="AJ170" s="131">
        <f>IF(NFI_Expiration=1,IF($A170&lt;VLOOKUP(U$5,NFI,5,0),1,0)*Data_NFI_t[[#This Row],[Children Clothes]],0)</f>
        <v>0</v>
      </c>
      <c r="AK170" s="131">
        <f>IF(NFI_Expiration=1,IF($A170&lt;VLOOKUP(V$5,NFI,5,0),1,0)*Data_NFI_t[[#This Row],[Sewing Kit]],0)</f>
        <v>0</v>
      </c>
      <c r="AL170" s="901">
        <f>IF(NFI_Expiration=1,IF($A170&lt;VLOOKUP(V$5,NFI,5,0),1,0)*Data_NFI_t[[#This Row],[Solar Lantern]],0)</f>
        <v>0</v>
      </c>
      <c r="AM170" s="131" t="str">
        <f ca="1">IFERROR(OFFSET(Camp_List[P_Code],MATCH(Data_NFI_t[[#This Row],[Camp Name]],Camp_List[Camp Name],0)-1,0,1,1),"")</f>
        <v/>
      </c>
      <c r="AN170" s="513" t="str">
        <f ca="1">IFERROR(OFFSET(Camp_List[Status],MATCH(Data_NFI_t[[#This Row],[Camp Name]],Camp_List[Camp Name],0)-1,0,1,1),"")</f>
        <v/>
      </c>
      <c r="AO170" s="131"/>
    </row>
    <row r="171" spans="1:41" s="90" customFormat="1" ht="19.5" customHeight="1" x14ac:dyDescent="0.25">
      <c r="A171" s="242">
        <f t="shared" si="4"/>
        <v>41.166666666666664</v>
      </c>
      <c r="B171" s="242">
        <f>YEAR(Data_NFI_t[[#This Row],[Distribution Date]])</f>
        <v>2013</v>
      </c>
      <c r="C171" s="913">
        <v>41621</v>
      </c>
      <c r="D171" s="489" t="s">
        <v>285</v>
      </c>
      <c r="E171" s="488" t="s">
        <v>285</v>
      </c>
      <c r="F171" s="489" t="s">
        <v>7</v>
      </c>
      <c r="G171" s="790" t="s">
        <v>14</v>
      </c>
      <c r="H171" s="790" t="s">
        <v>43</v>
      </c>
      <c r="I171" s="790"/>
      <c r="J171" s="51"/>
      <c r="K171" s="51"/>
      <c r="L171" s="51">
        <v>807</v>
      </c>
      <c r="M171" s="51">
        <v>203</v>
      </c>
      <c r="N171" s="51"/>
      <c r="O171" s="51"/>
      <c r="P171" s="51">
        <v>807</v>
      </c>
      <c r="Q171" s="51"/>
      <c r="R171" s="511"/>
      <c r="S171" s="51"/>
      <c r="T171" s="51"/>
      <c r="U171" s="51"/>
      <c r="V171" s="51"/>
      <c r="W171" s="51"/>
      <c r="X171" s="131">
        <f>IF(NFI_Expiration=1,IF($A171&lt;VLOOKUP(I$5,NFI,5,0),1,0)*Data_NFI_t[[#This Row],[Hygiene Kit]],0)</f>
        <v>0</v>
      </c>
      <c r="Y171" s="131">
        <f>IF(NFI_Expiration=1,IF($A171&lt;VLOOKUP(J$5,NFI,5,0),1,0)*Data_NFI_t[[#This Row],[NFI Core Kit]],0)</f>
        <v>0</v>
      </c>
      <c r="Z171" s="112">
        <f>IF(NFI_Expiration=1,IF($A171&lt;VLOOKUP(K$5,NFI,5,0),1,0)*Data_NFI_t[[#This Row],[Sanitary Kit]],0)</f>
        <v>0</v>
      </c>
      <c r="AA171" s="112">
        <f>IF(NFI_Expiration=1,IF($A171&lt;VLOOKUP(L$5,NFI,5,0),1,0)*Data_NFI_t[[#This Row],[Mosquito net]],0)</f>
        <v>0</v>
      </c>
      <c r="AB171" s="112">
        <f>IF(NFI_Expiration=1,IF($A171&lt;VLOOKUP(M$5,NFI,5,0),1,0)*Data_NFI_t[[#This Row],[Tarpaulin]],0)</f>
        <v>0</v>
      </c>
      <c r="AC171" s="112">
        <f>IF(NFI_Expiration=1,IF($A171&lt;VLOOKUP(N$5,NFI,5,0),1,0)*Data_NFI_t[[#This Row],[Blanket]],0)</f>
        <v>0</v>
      </c>
      <c r="AD171" s="112">
        <f>IF(NFI_Expiration=1,IF($A171&lt;VLOOKUP(O$5,NFI,5,0),1,0)*Data_NFI_t[[#This Row],[Kitchen Set]],0)</f>
        <v>0</v>
      </c>
      <c r="AE171" s="112">
        <f>IF(NFI_Expiration=1,IF($A171&lt;VLOOKUP(P$5,NFI,5,0),1,0)*Data_NFI_t[[#This Row],[Complementary Kit]],0)</f>
        <v>0</v>
      </c>
      <c r="AF171" s="112">
        <f>IF(NFI_Expiration=1,IF($A171&lt;VLOOKUP(Q$5,NFI,5,0),1,0)*Data_NFI_t[[#This Row],[Plastic Bucket]],0)</f>
        <v>0</v>
      </c>
      <c r="AG171" s="112">
        <f>IF(NFI_Expiration=1,IF($A171&lt;VLOOKUP(R$5,NFI,5,0),1,0)*Data_NFI_t[[#This Row],[Jerry Can]],0)</f>
        <v>0</v>
      </c>
      <c r="AH171" s="131">
        <f>IF(NFI_Expiration=1,IF($A171&lt;VLOOKUP(S$5,NFI,5,0),1,0)*Data_NFI_t[[#This Row],[Plastic Mat]],0)*IF(Data_NFI_t[[#This Row],[Distribution Date]]&gt;"01-06-2015",1,2.5)</f>
        <v>0</v>
      </c>
      <c r="AI171" s="901">
        <f>IF(NFI_Expiration=1,IF($A171&lt;VLOOKUP(T$5,NFI,5,0),1,0)*Data_NFI_t[[#This Row],[Adult Clothes]],0)</f>
        <v>0</v>
      </c>
      <c r="AJ171" s="131">
        <f>IF(NFI_Expiration=1,IF($A171&lt;VLOOKUP(U$5,NFI,5,0),1,0)*Data_NFI_t[[#This Row],[Children Clothes]],0)</f>
        <v>0</v>
      </c>
      <c r="AK171" s="131">
        <f>IF(NFI_Expiration=1,IF($A171&lt;VLOOKUP(V$5,NFI,5,0),1,0)*Data_NFI_t[[#This Row],[Sewing Kit]],0)</f>
        <v>0</v>
      </c>
      <c r="AL171" s="901">
        <f>IF(NFI_Expiration=1,IF($A171&lt;VLOOKUP(V$5,NFI,5,0),1,0)*Data_NFI_t[[#This Row],[Solar Lantern]],0)</f>
        <v>0</v>
      </c>
      <c r="AM171" s="131" t="str">
        <f ca="1">IFERROR(OFFSET(Camp_List[P_Code],MATCH(Data_NFI_t[[#This Row],[Camp Name]],Camp_List[Camp Name],0)-1,0,1,1),"")</f>
        <v>MMR012CMP019</v>
      </c>
      <c r="AN171" s="513" t="str">
        <f ca="1">IFERROR(OFFSET(Camp_List[Status],MATCH(Data_NFI_t[[#This Row],[Camp Name]],Camp_List[Camp Name],0)-1,0,1,1),"")</f>
        <v>Open</v>
      </c>
      <c r="AO171" s="131"/>
    </row>
    <row r="172" spans="1:41" s="90" customFormat="1" ht="19.5" customHeight="1" x14ac:dyDescent="0.25">
      <c r="A172" s="242">
        <f t="shared" si="4"/>
        <v>41.2</v>
      </c>
      <c r="B172" s="242">
        <f>YEAR(Data_NFI_t[[#This Row],[Distribution Date]])</f>
        <v>2013</v>
      </c>
      <c r="C172" s="913">
        <v>41620</v>
      </c>
      <c r="D172" s="489" t="s">
        <v>706</v>
      </c>
      <c r="E172" s="488" t="s">
        <v>706</v>
      </c>
      <c r="F172" s="489" t="s">
        <v>7</v>
      </c>
      <c r="G172" s="790" t="s">
        <v>866</v>
      </c>
      <c r="H172" s="790" t="s">
        <v>38</v>
      </c>
      <c r="I172" s="790">
        <v>743</v>
      </c>
      <c r="J172" s="51"/>
      <c r="K172" s="51"/>
      <c r="L172" s="51">
        <v>743</v>
      </c>
      <c r="M172" s="51"/>
      <c r="N172" s="51">
        <v>743</v>
      </c>
      <c r="O172" s="51"/>
      <c r="P172" s="51"/>
      <c r="Q172" s="51">
        <v>743</v>
      </c>
      <c r="R172" s="511"/>
      <c r="S172" s="51"/>
      <c r="T172" s="51"/>
      <c r="U172" s="51"/>
      <c r="V172" s="51"/>
      <c r="W172" s="51"/>
      <c r="X172" s="131">
        <f>IF(NFI_Expiration=1,IF($A172&lt;VLOOKUP(I$5,NFI,5,0),1,0)*Data_NFI_t[[#This Row],[Hygiene Kit]],0)</f>
        <v>0</v>
      </c>
      <c r="Y172" s="131">
        <f>IF(NFI_Expiration=1,IF($A172&lt;VLOOKUP(J$5,NFI,5,0),1,0)*Data_NFI_t[[#This Row],[NFI Core Kit]],0)</f>
        <v>0</v>
      </c>
      <c r="Z172" s="112">
        <f>IF(NFI_Expiration=1,IF($A172&lt;VLOOKUP(K$5,NFI,5,0),1,0)*Data_NFI_t[[#This Row],[Sanitary Kit]],0)</f>
        <v>0</v>
      </c>
      <c r="AA172" s="112">
        <f>IF(NFI_Expiration=1,IF($A172&lt;VLOOKUP(L$5,NFI,5,0),1,0)*Data_NFI_t[[#This Row],[Mosquito net]],0)</f>
        <v>0</v>
      </c>
      <c r="AB172" s="112">
        <f>IF(NFI_Expiration=1,IF($A172&lt;VLOOKUP(M$5,NFI,5,0),1,0)*Data_NFI_t[[#This Row],[Tarpaulin]],0)</f>
        <v>0</v>
      </c>
      <c r="AC172" s="112">
        <f>IF(NFI_Expiration=1,IF($A172&lt;VLOOKUP(N$5,NFI,5,0),1,0)*Data_NFI_t[[#This Row],[Blanket]],0)</f>
        <v>0</v>
      </c>
      <c r="AD172" s="112">
        <f>IF(NFI_Expiration=1,IF($A172&lt;VLOOKUP(O$5,NFI,5,0),1,0)*Data_NFI_t[[#This Row],[Kitchen Set]],0)</f>
        <v>0</v>
      </c>
      <c r="AE172" s="112">
        <f>IF(NFI_Expiration=1,IF($A172&lt;VLOOKUP(P$5,NFI,5,0),1,0)*Data_NFI_t[[#This Row],[Complementary Kit]],0)</f>
        <v>0</v>
      </c>
      <c r="AF172" s="112">
        <f>IF(NFI_Expiration=1,IF($A172&lt;VLOOKUP(Q$5,NFI,5,0),1,0)*Data_NFI_t[[#This Row],[Plastic Bucket]],0)</f>
        <v>0</v>
      </c>
      <c r="AG172" s="112">
        <f>IF(NFI_Expiration=1,IF($A172&lt;VLOOKUP(R$5,NFI,5,0),1,0)*Data_NFI_t[[#This Row],[Jerry Can]],0)</f>
        <v>0</v>
      </c>
      <c r="AH172" s="131">
        <f>IF(NFI_Expiration=1,IF($A172&lt;VLOOKUP(S$5,NFI,5,0),1,0)*Data_NFI_t[[#This Row],[Plastic Mat]],0)*IF(Data_NFI_t[[#This Row],[Distribution Date]]&gt;"01-06-2015",1,2.5)</f>
        <v>0</v>
      </c>
      <c r="AI172" s="901">
        <f>IF(NFI_Expiration=1,IF($A172&lt;VLOOKUP(T$5,NFI,5,0),1,0)*Data_NFI_t[[#This Row],[Adult Clothes]],0)</f>
        <v>0</v>
      </c>
      <c r="AJ172" s="131">
        <f>IF(NFI_Expiration=1,IF($A172&lt;VLOOKUP(U$5,NFI,5,0),1,0)*Data_NFI_t[[#This Row],[Children Clothes]],0)</f>
        <v>0</v>
      </c>
      <c r="AK172" s="131">
        <f>IF(NFI_Expiration=1,IF($A172&lt;VLOOKUP(V$5,NFI,5,0),1,0)*Data_NFI_t[[#This Row],[Sewing Kit]],0)</f>
        <v>0</v>
      </c>
      <c r="AL172" s="901">
        <f>IF(NFI_Expiration=1,IF($A172&lt;VLOOKUP(V$5,NFI,5,0),1,0)*Data_NFI_t[[#This Row],[Solar Lantern]],0)</f>
        <v>0</v>
      </c>
      <c r="AM172" s="131" t="str">
        <f ca="1">IFERROR(OFFSET(Camp_List[P_Code],MATCH(Data_NFI_t[[#This Row],[Camp Name]],Camp_List[Camp Name],0)-1,0,1,1),"")</f>
        <v>MMR012CMP014</v>
      </c>
      <c r="AN172" s="513" t="str">
        <f ca="1">IFERROR(OFFSET(Camp_List[Status],MATCH(Data_NFI_t[[#This Row],[Camp Name]],Camp_List[Camp Name],0)-1,0,1,1),"")</f>
        <v>Open</v>
      </c>
      <c r="AO172" s="131"/>
    </row>
    <row r="173" spans="1:41" s="90" customFormat="1" ht="19.5" customHeight="1" x14ac:dyDescent="0.25">
      <c r="A173" s="242">
        <f t="shared" si="4"/>
        <v>41.43333333333333</v>
      </c>
      <c r="B173" s="242">
        <f>YEAR(Data_NFI_t[[#This Row],[Distribution Date]])</f>
        <v>2013</v>
      </c>
      <c r="C173" s="913">
        <v>41613</v>
      </c>
      <c r="D173" s="489" t="s">
        <v>285</v>
      </c>
      <c r="E173" s="488" t="s">
        <v>285</v>
      </c>
      <c r="F173" s="489" t="s">
        <v>7</v>
      </c>
      <c r="G173" s="790" t="s">
        <v>19</v>
      </c>
      <c r="H173" s="790" t="s">
        <v>634</v>
      </c>
      <c r="I173" s="790"/>
      <c r="J173" s="51"/>
      <c r="K173" s="51"/>
      <c r="L173" s="51">
        <v>2400</v>
      </c>
      <c r="M173" s="51"/>
      <c r="N173" s="51">
        <v>2400</v>
      </c>
      <c r="O173" s="51">
        <v>1200</v>
      </c>
      <c r="P173" s="51"/>
      <c r="Q173" s="51">
        <v>1200</v>
      </c>
      <c r="R173" s="511"/>
      <c r="S173" s="51">
        <v>6000</v>
      </c>
      <c r="T173" s="51"/>
      <c r="U173" s="51"/>
      <c r="V173" s="51"/>
      <c r="W173" s="51"/>
      <c r="X173" s="131">
        <f>IF(NFI_Expiration=1,IF($A173&lt;VLOOKUP(I$5,NFI,5,0),1,0)*Data_NFI_t[[#This Row],[Hygiene Kit]],0)</f>
        <v>0</v>
      </c>
      <c r="Y173" s="131">
        <f>IF(NFI_Expiration=1,IF($A173&lt;VLOOKUP(J$5,NFI,5,0),1,0)*Data_NFI_t[[#This Row],[NFI Core Kit]],0)</f>
        <v>0</v>
      </c>
      <c r="Z173" s="112">
        <f>IF(NFI_Expiration=1,IF($A173&lt;VLOOKUP(K$5,NFI,5,0),1,0)*Data_NFI_t[[#This Row],[Sanitary Kit]],0)</f>
        <v>0</v>
      </c>
      <c r="AA173" s="112">
        <f>IF(NFI_Expiration=1,IF($A173&lt;VLOOKUP(L$5,NFI,5,0),1,0)*Data_NFI_t[[#This Row],[Mosquito net]],0)</f>
        <v>0</v>
      </c>
      <c r="AB173" s="112">
        <f>IF(NFI_Expiration=1,IF($A173&lt;VLOOKUP(M$5,NFI,5,0),1,0)*Data_NFI_t[[#This Row],[Tarpaulin]],0)</f>
        <v>0</v>
      </c>
      <c r="AC173" s="112">
        <f>IF(NFI_Expiration=1,IF($A173&lt;VLOOKUP(N$5,NFI,5,0),1,0)*Data_NFI_t[[#This Row],[Blanket]],0)</f>
        <v>0</v>
      </c>
      <c r="AD173" s="112">
        <f>IF(NFI_Expiration=1,IF($A173&lt;VLOOKUP(O$5,NFI,5,0),1,0)*Data_NFI_t[[#This Row],[Kitchen Set]],0)</f>
        <v>0</v>
      </c>
      <c r="AE173" s="112">
        <f>IF(NFI_Expiration=1,IF($A173&lt;VLOOKUP(P$5,NFI,5,0),1,0)*Data_NFI_t[[#This Row],[Complementary Kit]],0)</f>
        <v>0</v>
      </c>
      <c r="AF173" s="112">
        <f>IF(NFI_Expiration=1,IF($A173&lt;VLOOKUP(Q$5,NFI,5,0),1,0)*Data_NFI_t[[#This Row],[Plastic Bucket]],0)</f>
        <v>0</v>
      </c>
      <c r="AG173" s="112">
        <f>IF(NFI_Expiration=1,IF($A173&lt;VLOOKUP(R$5,NFI,5,0),1,0)*Data_NFI_t[[#This Row],[Jerry Can]],0)</f>
        <v>0</v>
      </c>
      <c r="AH173" s="131">
        <f>IF(NFI_Expiration=1,IF($A173&lt;VLOOKUP(S$5,NFI,5,0),1,0)*Data_NFI_t[[#This Row],[Plastic Mat]],0)*IF(Data_NFI_t[[#This Row],[Distribution Date]]&gt;"01-06-2015",1,2.5)</f>
        <v>0</v>
      </c>
      <c r="AI173" s="901">
        <f>IF(NFI_Expiration=1,IF($A173&lt;VLOOKUP(T$5,NFI,5,0),1,0)*Data_NFI_t[[#This Row],[Adult Clothes]],0)</f>
        <v>0</v>
      </c>
      <c r="AJ173" s="131">
        <f>IF(NFI_Expiration=1,IF($A173&lt;VLOOKUP(U$5,NFI,5,0),1,0)*Data_NFI_t[[#This Row],[Children Clothes]],0)</f>
        <v>0</v>
      </c>
      <c r="AK173" s="131">
        <f>IF(NFI_Expiration=1,IF($A173&lt;VLOOKUP(V$5,NFI,5,0),1,0)*Data_NFI_t[[#This Row],[Sewing Kit]],0)</f>
        <v>0</v>
      </c>
      <c r="AL173" s="901">
        <f>IF(NFI_Expiration=1,IF($A173&lt;VLOOKUP(V$5,NFI,5,0),1,0)*Data_NFI_t[[#This Row],[Solar Lantern]],0)</f>
        <v>0</v>
      </c>
      <c r="AM173" s="131" t="str">
        <f ca="1">IFERROR(OFFSET(Camp_List[P_Code],MATCH(Data_NFI_t[[#This Row],[Camp Name]],Camp_List[Camp Name],0)-1,0,1,1),"")</f>
        <v>MMR012CMP115</v>
      </c>
      <c r="AN173" s="513" t="str">
        <f ca="1">IFERROR(OFFSET(Camp_List[Status],MATCH(Data_NFI_t[[#This Row],[Camp Name]],Camp_List[Camp Name],0)-1,0,1,1),"")</f>
        <v>Open</v>
      </c>
      <c r="AO173" s="131"/>
    </row>
    <row r="174" spans="1:41" s="90" customFormat="1" ht="19.5" customHeight="1" x14ac:dyDescent="0.25">
      <c r="A174" s="242">
        <f t="shared" si="4"/>
        <v>41.43333333333333</v>
      </c>
      <c r="B174" s="242">
        <f>YEAR(Data_NFI_t[[#This Row],[Distribution Date]])</f>
        <v>2013</v>
      </c>
      <c r="C174" s="913">
        <v>41613</v>
      </c>
      <c r="D174" s="489" t="s">
        <v>285</v>
      </c>
      <c r="E174" s="488" t="s">
        <v>285</v>
      </c>
      <c r="F174" s="489" t="s">
        <v>7</v>
      </c>
      <c r="G174" s="790" t="s">
        <v>19</v>
      </c>
      <c r="H174" s="790" t="s">
        <v>634</v>
      </c>
      <c r="I174" s="790"/>
      <c r="J174" s="51"/>
      <c r="K174" s="51"/>
      <c r="L174" s="51"/>
      <c r="M174" s="51">
        <v>33</v>
      </c>
      <c r="N174" s="51"/>
      <c r="O174" s="51"/>
      <c r="P174" s="51"/>
      <c r="Q174" s="51"/>
      <c r="R174" s="511"/>
      <c r="S174" s="51"/>
      <c r="T174" s="51"/>
      <c r="U174" s="51"/>
      <c r="V174" s="51"/>
      <c r="W174" s="51"/>
      <c r="X174" s="131">
        <f>IF(NFI_Expiration=1,IF($A174&lt;VLOOKUP(I$5,NFI,5,0),1,0)*Data_NFI_t[[#This Row],[Hygiene Kit]],0)</f>
        <v>0</v>
      </c>
      <c r="Y174" s="131">
        <f>IF(NFI_Expiration=1,IF($A174&lt;VLOOKUP(J$5,NFI,5,0),1,0)*Data_NFI_t[[#This Row],[NFI Core Kit]],0)</f>
        <v>0</v>
      </c>
      <c r="Z174" s="112">
        <f>IF(NFI_Expiration=1,IF($A174&lt;VLOOKUP(K$5,NFI,5,0),1,0)*Data_NFI_t[[#This Row],[Sanitary Kit]],0)</f>
        <v>0</v>
      </c>
      <c r="AA174" s="112">
        <f>IF(NFI_Expiration=1,IF($A174&lt;VLOOKUP(L$5,NFI,5,0),1,0)*Data_NFI_t[[#This Row],[Mosquito net]],0)</f>
        <v>0</v>
      </c>
      <c r="AB174" s="112">
        <f>IF(NFI_Expiration=1,IF($A174&lt;VLOOKUP(M$5,NFI,5,0),1,0)*Data_NFI_t[[#This Row],[Tarpaulin]],0)</f>
        <v>0</v>
      </c>
      <c r="AC174" s="112">
        <f>IF(NFI_Expiration=1,IF($A174&lt;VLOOKUP(N$5,NFI,5,0),1,0)*Data_NFI_t[[#This Row],[Blanket]],0)</f>
        <v>0</v>
      </c>
      <c r="AD174" s="112">
        <f>IF(NFI_Expiration=1,IF($A174&lt;VLOOKUP(O$5,NFI,5,0),1,0)*Data_NFI_t[[#This Row],[Kitchen Set]],0)</f>
        <v>0</v>
      </c>
      <c r="AE174" s="112">
        <f>IF(NFI_Expiration=1,IF($A174&lt;VLOOKUP(P$5,NFI,5,0),1,0)*Data_NFI_t[[#This Row],[Complementary Kit]],0)</f>
        <v>0</v>
      </c>
      <c r="AF174" s="112">
        <f>IF(NFI_Expiration=1,IF($A174&lt;VLOOKUP(Q$5,NFI,5,0),1,0)*Data_NFI_t[[#This Row],[Plastic Bucket]],0)</f>
        <v>0</v>
      </c>
      <c r="AG174" s="112">
        <f>IF(NFI_Expiration=1,IF($A174&lt;VLOOKUP(R$5,NFI,5,0),1,0)*Data_NFI_t[[#This Row],[Jerry Can]],0)</f>
        <v>0</v>
      </c>
      <c r="AH174" s="131">
        <f>IF(NFI_Expiration=1,IF($A174&lt;VLOOKUP(S$5,NFI,5,0),1,0)*Data_NFI_t[[#This Row],[Plastic Mat]],0)*IF(Data_NFI_t[[#This Row],[Distribution Date]]&gt;"01-06-2015",1,2.5)</f>
        <v>0</v>
      </c>
      <c r="AI174" s="901">
        <f>IF(NFI_Expiration=1,IF($A174&lt;VLOOKUP(T$5,NFI,5,0),1,0)*Data_NFI_t[[#This Row],[Adult Clothes]],0)</f>
        <v>0</v>
      </c>
      <c r="AJ174" s="131">
        <f>IF(NFI_Expiration=1,IF($A174&lt;VLOOKUP(U$5,NFI,5,0),1,0)*Data_NFI_t[[#This Row],[Children Clothes]],0)</f>
        <v>0</v>
      </c>
      <c r="AK174" s="131">
        <f>IF(NFI_Expiration=1,IF($A174&lt;VLOOKUP(V$5,NFI,5,0),1,0)*Data_NFI_t[[#This Row],[Sewing Kit]],0)</f>
        <v>0</v>
      </c>
      <c r="AL174" s="901">
        <f>IF(NFI_Expiration=1,IF($A174&lt;VLOOKUP(V$5,NFI,5,0),1,0)*Data_NFI_t[[#This Row],[Solar Lantern]],0)</f>
        <v>0</v>
      </c>
      <c r="AM174" s="131" t="str">
        <f ca="1">IFERROR(OFFSET(Camp_List[P_Code],MATCH(Data_NFI_t[[#This Row],[Camp Name]],Camp_List[Camp Name],0)-1,0,1,1),"")</f>
        <v>MMR012CMP115</v>
      </c>
      <c r="AN174" s="513" t="str">
        <f ca="1">IFERROR(OFFSET(Camp_List[Status],MATCH(Data_NFI_t[[#This Row],[Camp Name]],Camp_List[Camp Name],0)-1,0,1,1),"")</f>
        <v>Open</v>
      </c>
      <c r="AO174" s="131"/>
    </row>
    <row r="175" spans="1:41" s="90" customFormat="1" ht="19.5" customHeight="1" x14ac:dyDescent="0.25">
      <c r="A175" s="242">
        <f t="shared" si="4"/>
        <v>41.966666666666669</v>
      </c>
      <c r="B175" s="242">
        <f>YEAR(Data_NFI_t[[#This Row],[Distribution Date]])</f>
        <v>2013</v>
      </c>
      <c r="C175" s="913">
        <v>41597</v>
      </c>
      <c r="D175" s="489" t="s">
        <v>623</v>
      </c>
      <c r="E175" s="488" t="s">
        <v>623</v>
      </c>
      <c r="F175" s="489" t="s">
        <v>7</v>
      </c>
      <c r="G175" s="790" t="s">
        <v>19</v>
      </c>
      <c r="H175" s="790" t="s">
        <v>635</v>
      </c>
      <c r="I175" s="790"/>
      <c r="J175" s="51">
        <v>731</v>
      </c>
      <c r="K175" s="51"/>
      <c r="L175" s="51"/>
      <c r="M175" s="51"/>
      <c r="N175" s="51"/>
      <c r="O175" s="51"/>
      <c r="P175" s="51"/>
      <c r="Q175" s="51"/>
      <c r="R175" s="511"/>
      <c r="S175" s="51"/>
      <c r="T175" s="51"/>
      <c r="U175" s="51"/>
      <c r="V175" s="51"/>
      <c r="W175" s="51"/>
      <c r="X175" s="131">
        <f>IF(NFI_Expiration=1,IF($A175&lt;VLOOKUP(I$5,NFI,5,0),1,0)*Data_NFI_t[[#This Row],[Hygiene Kit]],0)</f>
        <v>0</v>
      </c>
      <c r="Y175" s="131">
        <f>IF(NFI_Expiration=1,IF($A175&lt;VLOOKUP(J$5,NFI,5,0),1,0)*Data_NFI_t[[#This Row],[NFI Core Kit]],0)</f>
        <v>0</v>
      </c>
      <c r="Z175" s="112">
        <f>IF(NFI_Expiration=1,IF($A175&lt;VLOOKUP(K$5,NFI,5,0),1,0)*Data_NFI_t[[#This Row],[Sanitary Kit]],0)</f>
        <v>0</v>
      </c>
      <c r="AA175" s="112">
        <f>IF(NFI_Expiration=1,IF($A175&lt;VLOOKUP(L$5,NFI,5,0),1,0)*Data_NFI_t[[#This Row],[Mosquito net]],0)</f>
        <v>0</v>
      </c>
      <c r="AB175" s="112">
        <f>IF(NFI_Expiration=1,IF($A175&lt;VLOOKUP(M$5,NFI,5,0),1,0)*Data_NFI_t[[#This Row],[Tarpaulin]],0)</f>
        <v>0</v>
      </c>
      <c r="AC175" s="112">
        <f>IF(NFI_Expiration=1,IF($A175&lt;VLOOKUP(N$5,NFI,5,0),1,0)*Data_NFI_t[[#This Row],[Blanket]],0)</f>
        <v>0</v>
      </c>
      <c r="AD175" s="112">
        <f>IF(NFI_Expiration=1,IF($A175&lt;VLOOKUP(O$5,NFI,5,0),1,0)*Data_NFI_t[[#This Row],[Kitchen Set]],0)</f>
        <v>0</v>
      </c>
      <c r="AE175" s="112">
        <f>IF(NFI_Expiration=1,IF($A175&lt;VLOOKUP(P$5,NFI,5,0),1,0)*Data_NFI_t[[#This Row],[Complementary Kit]],0)</f>
        <v>0</v>
      </c>
      <c r="AF175" s="112">
        <f>IF(NFI_Expiration=1,IF($A175&lt;VLOOKUP(Q$5,NFI,5,0),1,0)*Data_NFI_t[[#This Row],[Plastic Bucket]],0)</f>
        <v>0</v>
      </c>
      <c r="AG175" s="112">
        <f>IF(NFI_Expiration=1,IF($A175&lt;VLOOKUP(R$5,NFI,5,0),1,0)*Data_NFI_t[[#This Row],[Jerry Can]],0)</f>
        <v>0</v>
      </c>
      <c r="AH175" s="131">
        <f>IF(NFI_Expiration=1,IF($A175&lt;VLOOKUP(S$5,NFI,5,0),1,0)*Data_NFI_t[[#This Row],[Plastic Mat]],0)*IF(Data_NFI_t[[#This Row],[Distribution Date]]&gt;"01-06-2015",1,2.5)</f>
        <v>0</v>
      </c>
      <c r="AI175" s="901">
        <f>IF(NFI_Expiration=1,IF($A175&lt;VLOOKUP(T$5,NFI,5,0),1,0)*Data_NFI_t[[#This Row],[Adult Clothes]],0)</f>
        <v>0</v>
      </c>
      <c r="AJ175" s="131">
        <f>IF(NFI_Expiration=1,IF($A175&lt;VLOOKUP(U$5,NFI,5,0),1,0)*Data_NFI_t[[#This Row],[Children Clothes]],0)</f>
        <v>0</v>
      </c>
      <c r="AK175" s="131">
        <f>IF(NFI_Expiration=1,IF($A175&lt;VLOOKUP(V$5,NFI,5,0),1,0)*Data_NFI_t[[#This Row],[Sewing Kit]],0)</f>
        <v>0</v>
      </c>
      <c r="AL175" s="901">
        <f>IF(NFI_Expiration=1,IF($A175&lt;VLOOKUP(V$5,NFI,5,0),1,0)*Data_NFI_t[[#This Row],[Solar Lantern]],0)</f>
        <v>0</v>
      </c>
      <c r="AM175" s="131" t="str">
        <f ca="1">IFERROR(OFFSET(Camp_List[P_Code],MATCH(Data_NFI_t[[#This Row],[Camp Name]],Camp_List[Camp Name],0)-1,0,1,1),"")</f>
        <v>MMR012CMP116</v>
      </c>
      <c r="AN175" s="513" t="str">
        <f ca="1">IFERROR(OFFSET(Camp_List[Status],MATCH(Data_NFI_t[[#This Row],[Camp Name]],Camp_List[Camp Name],0)-1,0,1,1),"")</f>
        <v>Open</v>
      </c>
      <c r="AO175" s="131"/>
    </row>
    <row r="176" spans="1:41" s="90" customFormat="1" ht="19.5" customHeight="1" x14ac:dyDescent="0.25">
      <c r="A176" s="242">
        <f t="shared" si="4"/>
        <v>42.133333333333333</v>
      </c>
      <c r="B176" s="242">
        <f>YEAR(Data_NFI_t[[#This Row],[Distribution Date]])</f>
        <v>2013</v>
      </c>
      <c r="C176" s="913">
        <v>41592</v>
      </c>
      <c r="D176" s="489" t="s">
        <v>623</v>
      </c>
      <c r="E176" s="488" t="s">
        <v>623</v>
      </c>
      <c r="F176" s="489" t="s">
        <v>7</v>
      </c>
      <c r="G176" s="790" t="s">
        <v>19</v>
      </c>
      <c r="H176" s="790" t="s">
        <v>635</v>
      </c>
      <c r="I176" s="790"/>
      <c r="J176" s="51">
        <v>264</v>
      </c>
      <c r="K176" s="51"/>
      <c r="L176" s="51"/>
      <c r="M176" s="51"/>
      <c r="N176" s="51"/>
      <c r="O176" s="51"/>
      <c r="P176" s="51"/>
      <c r="Q176" s="51"/>
      <c r="R176" s="511"/>
      <c r="S176" s="51"/>
      <c r="T176" s="51"/>
      <c r="U176" s="51"/>
      <c r="V176" s="51"/>
      <c r="W176" s="51"/>
      <c r="X176" s="131">
        <f>IF(NFI_Expiration=1,IF($A176&lt;VLOOKUP(I$5,NFI,5,0),1,0)*Data_NFI_t[[#This Row],[Hygiene Kit]],0)</f>
        <v>0</v>
      </c>
      <c r="Y176" s="131">
        <f>IF(NFI_Expiration=1,IF($A176&lt;VLOOKUP(J$5,NFI,5,0),1,0)*Data_NFI_t[[#This Row],[NFI Core Kit]],0)</f>
        <v>0</v>
      </c>
      <c r="Z176" s="112">
        <f>IF(NFI_Expiration=1,IF($A176&lt;VLOOKUP(K$5,NFI,5,0),1,0)*Data_NFI_t[[#This Row],[Sanitary Kit]],0)</f>
        <v>0</v>
      </c>
      <c r="AA176" s="112">
        <f>IF(NFI_Expiration=1,IF($A176&lt;VLOOKUP(L$5,NFI,5,0),1,0)*Data_NFI_t[[#This Row],[Mosquito net]],0)</f>
        <v>0</v>
      </c>
      <c r="AB176" s="112">
        <f>IF(NFI_Expiration=1,IF($A176&lt;VLOOKUP(M$5,NFI,5,0),1,0)*Data_NFI_t[[#This Row],[Tarpaulin]],0)</f>
        <v>0</v>
      </c>
      <c r="AC176" s="112">
        <f>IF(NFI_Expiration=1,IF($A176&lt;VLOOKUP(N$5,NFI,5,0),1,0)*Data_NFI_t[[#This Row],[Blanket]],0)</f>
        <v>0</v>
      </c>
      <c r="AD176" s="112">
        <f>IF(NFI_Expiration=1,IF($A176&lt;VLOOKUP(O$5,NFI,5,0),1,0)*Data_NFI_t[[#This Row],[Kitchen Set]],0)</f>
        <v>0</v>
      </c>
      <c r="AE176" s="112">
        <f>IF(NFI_Expiration=1,IF($A176&lt;VLOOKUP(P$5,NFI,5,0),1,0)*Data_NFI_t[[#This Row],[Complementary Kit]],0)</f>
        <v>0</v>
      </c>
      <c r="AF176" s="112">
        <f>IF(NFI_Expiration=1,IF($A176&lt;VLOOKUP(Q$5,NFI,5,0),1,0)*Data_NFI_t[[#This Row],[Plastic Bucket]],0)</f>
        <v>0</v>
      </c>
      <c r="AG176" s="112">
        <f>IF(NFI_Expiration=1,IF($A176&lt;VLOOKUP(R$5,NFI,5,0),1,0)*Data_NFI_t[[#This Row],[Jerry Can]],0)</f>
        <v>0</v>
      </c>
      <c r="AH176" s="131">
        <f>IF(NFI_Expiration=1,IF($A176&lt;VLOOKUP(S$5,NFI,5,0),1,0)*Data_NFI_t[[#This Row],[Plastic Mat]],0)*IF(Data_NFI_t[[#This Row],[Distribution Date]]&gt;"01-06-2015",1,2.5)</f>
        <v>0</v>
      </c>
      <c r="AI176" s="901">
        <f>IF(NFI_Expiration=1,IF($A176&lt;VLOOKUP(T$5,NFI,5,0),1,0)*Data_NFI_t[[#This Row],[Adult Clothes]],0)</f>
        <v>0</v>
      </c>
      <c r="AJ176" s="131">
        <f>IF(NFI_Expiration=1,IF($A176&lt;VLOOKUP(U$5,NFI,5,0),1,0)*Data_NFI_t[[#This Row],[Children Clothes]],0)</f>
        <v>0</v>
      </c>
      <c r="AK176" s="131">
        <f>IF(NFI_Expiration=1,IF($A176&lt;VLOOKUP(V$5,NFI,5,0),1,0)*Data_NFI_t[[#This Row],[Sewing Kit]],0)</f>
        <v>0</v>
      </c>
      <c r="AL176" s="901">
        <f>IF(NFI_Expiration=1,IF($A176&lt;VLOOKUP(V$5,NFI,5,0),1,0)*Data_NFI_t[[#This Row],[Solar Lantern]],0)</f>
        <v>0</v>
      </c>
      <c r="AM176" s="131" t="str">
        <f ca="1">IFERROR(OFFSET(Camp_List[P_Code],MATCH(Data_NFI_t[[#This Row],[Camp Name]],Camp_List[Camp Name],0)-1,0,1,1),"")</f>
        <v>MMR012CMP116</v>
      </c>
      <c r="AN176" s="513" t="str">
        <f ca="1">IFERROR(OFFSET(Camp_List[Status],MATCH(Data_NFI_t[[#This Row],[Camp Name]],Camp_List[Camp Name],0)-1,0,1,1),"")</f>
        <v>Open</v>
      </c>
      <c r="AO176" s="131"/>
    </row>
    <row r="177" spans="1:41" s="90" customFormat="1" ht="19.5" customHeight="1" x14ac:dyDescent="0.25">
      <c r="A177" s="242">
        <f t="shared" si="4"/>
        <v>42.166666666666664</v>
      </c>
      <c r="B177" s="242">
        <f>YEAR(Data_NFI_t[[#This Row],[Distribution Date]])</f>
        <v>2013</v>
      </c>
      <c r="C177" s="913">
        <v>41591</v>
      </c>
      <c r="D177" s="489" t="s">
        <v>285</v>
      </c>
      <c r="E177" s="488" t="s">
        <v>285</v>
      </c>
      <c r="F177" s="489" t="s">
        <v>7</v>
      </c>
      <c r="G177" s="790" t="s">
        <v>15</v>
      </c>
      <c r="H177" s="790" t="s">
        <v>44</v>
      </c>
      <c r="I177" s="790">
        <v>48</v>
      </c>
      <c r="J177" s="51"/>
      <c r="K177" s="51"/>
      <c r="L177" s="51"/>
      <c r="M177" s="51"/>
      <c r="N177" s="51"/>
      <c r="O177" s="51"/>
      <c r="P177" s="51"/>
      <c r="Q177" s="51"/>
      <c r="R177" s="511"/>
      <c r="S177" s="51"/>
      <c r="T177" s="51"/>
      <c r="U177" s="51"/>
      <c r="V177" s="51"/>
      <c r="W177" s="51"/>
      <c r="X177" s="131">
        <f>IF(NFI_Expiration=1,IF($A177&lt;VLOOKUP(I$5,NFI,5,0),1,0)*Data_NFI_t[[#This Row],[Hygiene Kit]],0)</f>
        <v>0</v>
      </c>
      <c r="Y177" s="131">
        <f>IF(NFI_Expiration=1,IF($A177&lt;VLOOKUP(J$5,NFI,5,0),1,0)*Data_NFI_t[[#This Row],[NFI Core Kit]],0)</f>
        <v>0</v>
      </c>
      <c r="Z177" s="112">
        <f>IF(NFI_Expiration=1,IF($A177&lt;VLOOKUP(K$5,NFI,5,0),1,0)*Data_NFI_t[[#This Row],[Sanitary Kit]],0)</f>
        <v>0</v>
      </c>
      <c r="AA177" s="112">
        <f>IF(NFI_Expiration=1,IF($A177&lt;VLOOKUP(L$5,NFI,5,0),1,0)*Data_NFI_t[[#This Row],[Mosquito net]],0)</f>
        <v>0</v>
      </c>
      <c r="AB177" s="112">
        <f>IF(NFI_Expiration=1,IF($A177&lt;VLOOKUP(M$5,NFI,5,0),1,0)*Data_NFI_t[[#This Row],[Tarpaulin]],0)</f>
        <v>0</v>
      </c>
      <c r="AC177" s="112">
        <f>IF(NFI_Expiration=1,IF($A177&lt;VLOOKUP(N$5,NFI,5,0),1,0)*Data_NFI_t[[#This Row],[Blanket]],0)</f>
        <v>0</v>
      </c>
      <c r="AD177" s="112">
        <f>IF(NFI_Expiration=1,IF($A177&lt;VLOOKUP(O$5,NFI,5,0),1,0)*Data_NFI_t[[#This Row],[Kitchen Set]],0)</f>
        <v>0</v>
      </c>
      <c r="AE177" s="112">
        <f>IF(NFI_Expiration=1,IF($A177&lt;VLOOKUP(P$5,NFI,5,0),1,0)*Data_NFI_t[[#This Row],[Complementary Kit]],0)</f>
        <v>0</v>
      </c>
      <c r="AF177" s="112">
        <f>IF(NFI_Expiration=1,IF($A177&lt;VLOOKUP(Q$5,NFI,5,0),1,0)*Data_NFI_t[[#This Row],[Plastic Bucket]],0)</f>
        <v>0</v>
      </c>
      <c r="AG177" s="112">
        <f>IF(NFI_Expiration=1,IF($A177&lt;VLOOKUP(R$5,NFI,5,0),1,0)*Data_NFI_t[[#This Row],[Jerry Can]],0)</f>
        <v>0</v>
      </c>
      <c r="AH177" s="131">
        <f>IF(NFI_Expiration=1,IF($A177&lt;VLOOKUP(S$5,NFI,5,0),1,0)*Data_NFI_t[[#This Row],[Plastic Mat]],0)*IF(Data_NFI_t[[#This Row],[Distribution Date]]&gt;"01-06-2015",1,2.5)</f>
        <v>0</v>
      </c>
      <c r="AI177" s="901">
        <f>IF(NFI_Expiration=1,IF($A177&lt;VLOOKUP(T$5,NFI,5,0),1,0)*Data_NFI_t[[#This Row],[Adult Clothes]],0)</f>
        <v>0</v>
      </c>
      <c r="AJ177" s="131">
        <f>IF(NFI_Expiration=1,IF($A177&lt;VLOOKUP(U$5,NFI,5,0),1,0)*Data_NFI_t[[#This Row],[Children Clothes]],0)</f>
        <v>0</v>
      </c>
      <c r="AK177" s="131">
        <f>IF(NFI_Expiration=1,IF($A177&lt;VLOOKUP(V$5,NFI,5,0),1,0)*Data_NFI_t[[#This Row],[Sewing Kit]],0)</f>
        <v>0</v>
      </c>
      <c r="AL177" s="901">
        <f>IF(NFI_Expiration=1,IF($A177&lt;VLOOKUP(V$5,NFI,5,0),1,0)*Data_NFI_t[[#This Row],[Solar Lantern]],0)</f>
        <v>0</v>
      </c>
      <c r="AM177" s="131" t="str">
        <f ca="1">IFERROR(OFFSET(Camp_List[P_Code],MATCH(Data_NFI_t[[#This Row],[Camp Name]],Camp_List[Camp Name],0)-1,0,1,1),"")</f>
        <v>MMR012CMP020</v>
      </c>
      <c r="AN177" s="513" t="str">
        <f ca="1">IFERROR(OFFSET(Camp_List[Status],MATCH(Data_NFI_t[[#This Row],[Camp Name]],Camp_List[Camp Name],0)-1,0,1,1),"")</f>
        <v>Returned</v>
      </c>
      <c r="AO177" s="131"/>
    </row>
    <row r="178" spans="1:41" s="90" customFormat="1" ht="19.5" customHeight="1" x14ac:dyDescent="0.25">
      <c r="A178" s="242">
        <f t="shared" si="4"/>
        <v>42.166666666666664</v>
      </c>
      <c r="B178" s="242">
        <f>YEAR(Data_NFI_t[[#This Row],[Distribution Date]])</f>
        <v>2013</v>
      </c>
      <c r="C178" s="913">
        <v>41591</v>
      </c>
      <c r="D178" s="489" t="s">
        <v>285</v>
      </c>
      <c r="E178" s="488" t="s">
        <v>285</v>
      </c>
      <c r="F178" s="489" t="s">
        <v>7</v>
      </c>
      <c r="G178" s="790" t="s">
        <v>15</v>
      </c>
      <c r="H178" s="790" t="s">
        <v>47</v>
      </c>
      <c r="I178" s="790">
        <v>187</v>
      </c>
      <c r="J178" s="51"/>
      <c r="K178" s="51"/>
      <c r="L178" s="51"/>
      <c r="M178" s="51"/>
      <c r="N178" s="51"/>
      <c r="O178" s="51"/>
      <c r="P178" s="51"/>
      <c r="Q178" s="51"/>
      <c r="R178" s="511"/>
      <c r="S178" s="51"/>
      <c r="T178" s="51"/>
      <c r="U178" s="51"/>
      <c r="V178" s="51"/>
      <c r="W178" s="51"/>
      <c r="X178" s="131">
        <f>IF(NFI_Expiration=1,IF($A178&lt;VLOOKUP(I$5,NFI,5,0),1,0)*Data_NFI_t[[#This Row],[Hygiene Kit]],0)</f>
        <v>0</v>
      </c>
      <c r="Y178" s="131">
        <f>IF(NFI_Expiration=1,IF($A178&lt;VLOOKUP(J$5,NFI,5,0),1,0)*Data_NFI_t[[#This Row],[NFI Core Kit]],0)</f>
        <v>0</v>
      </c>
      <c r="Z178" s="112">
        <f>IF(NFI_Expiration=1,IF($A178&lt;VLOOKUP(K$5,NFI,5,0),1,0)*Data_NFI_t[[#This Row],[Sanitary Kit]],0)</f>
        <v>0</v>
      </c>
      <c r="AA178" s="112">
        <f>IF(NFI_Expiration=1,IF($A178&lt;VLOOKUP(L$5,NFI,5,0),1,0)*Data_NFI_t[[#This Row],[Mosquito net]],0)</f>
        <v>0</v>
      </c>
      <c r="AB178" s="112">
        <f>IF(NFI_Expiration=1,IF($A178&lt;VLOOKUP(M$5,NFI,5,0),1,0)*Data_NFI_t[[#This Row],[Tarpaulin]],0)</f>
        <v>0</v>
      </c>
      <c r="AC178" s="112">
        <f>IF(NFI_Expiration=1,IF($A178&lt;VLOOKUP(N$5,NFI,5,0),1,0)*Data_NFI_t[[#This Row],[Blanket]],0)</f>
        <v>0</v>
      </c>
      <c r="AD178" s="112">
        <f>IF(NFI_Expiration=1,IF($A178&lt;VLOOKUP(O$5,NFI,5,0),1,0)*Data_NFI_t[[#This Row],[Kitchen Set]],0)</f>
        <v>0</v>
      </c>
      <c r="AE178" s="112">
        <f>IF(NFI_Expiration=1,IF($A178&lt;VLOOKUP(P$5,NFI,5,0),1,0)*Data_NFI_t[[#This Row],[Complementary Kit]],0)</f>
        <v>0</v>
      </c>
      <c r="AF178" s="112">
        <f>IF(NFI_Expiration=1,IF($A178&lt;VLOOKUP(Q$5,NFI,5,0),1,0)*Data_NFI_t[[#This Row],[Plastic Bucket]],0)</f>
        <v>0</v>
      </c>
      <c r="AG178" s="112">
        <f>IF(NFI_Expiration=1,IF($A178&lt;VLOOKUP(R$5,NFI,5,0),1,0)*Data_NFI_t[[#This Row],[Jerry Can]],0)</f>
        <v>0</v>
      </c>
      <c r="AH178" s="131">
        <f>IF(NFI_Expiration=1,IF($A178&lt;VLOOKUP(S$5,NFI,5,0),1,0)*Data_NFI_t[[#This Row],[Plastic Mat]],0)*IF(Data_NFI_t[[#This Row],[Distribution Date]]&gt;"01-06-2015",1,2.5)</f>
        <v>0</v>
      </c>
      <c r="AI178" s="901">
        <f>IF(NFI_Expiration=1,IF($A178&lt;VLOOKUP(T$5,NFI,5,0),1,0)*Data_NFI_t[[#This Row],[Adult Clothes]],0)</f>
        <v>0</v>
      </c>
      <c r="AJ178" s="131">
        <f>IF(NFI_Expiration=1,IF($A178&lt;VLOOKUP(U$5,NFI,5,0),1,0)*Data_NFI_t[[#This Row],[Children Clothes]],0)</f>
        <v>0</v>
      </c>
      <c r="AK178" s="131">
        <f>IF(NFI_Expiration=1,IF($A178&lt;VLOOKUP(V$5,NFI,5,0),1,0)*Data_NFI_t[[#This Row],[Sewing Kit]],0)</f>
        <v>0</v>
      </c>
      <c r="AL178" s="901">
        <f>IF(NFI_Expiration=1,IF($A178&lt;VLOOKUP(V$5,NFI,5,0),1,0)*Data_NFI_t[[#This Row],[Solar Lantern]],0)</f>
        <v>0</v>
      </c>
      <c r="AM178" s="131" t="str">
        <f ca="1">IFERROR(OFFSET(Camp_List[P_Code],MATCH(Data_NFI_t[[#This Row],[Camp Name]],Camp_List[Camp Name],0)-1,0,1,1),"")</f>
        <v>MMR012CMP023</v>
      </c>
      <c r="AN178" s="513" t="str">
        <f ca="1">IFERROR(OFFSET(Camp_List[Status],MATCH(Data_NFI_t[[#This Row],[Camp Name]],Camp_List[Camp Name],0)-1,0,1,1),"")</f>
        <v>Open</v>
      </c>
      <c r="AO178" s="131"/>
    </row>
    <row r="179" spans="1:41" s="90" customFormat="1" ht="19.5" customHeight="1" x14ac:dyDescent="0.25">
      <c r="A179" s="242">
        <f t="shared" si="4"/>
        <v>42.166666666666664</v>
      </c>
      <c r="B179" s="242">
        <f>YEAR(Data_NFI_t[[#This Row],[Distribution Date]])</f>
        <v>2013</v>
      </c>
      <c r="C179" s="913">
        <v>41591</v>
      </c>
      <c r="D179" s="489" t="s">
        <v>623</v>
      </c>
      <c r="E179" s="488" t="s">
        <v>623</v>
      </c>
      <c r="F179" s="489" t="s">
        <v>7</v>
      </c>
      <c r="G179" s="790" t="s">
        <v>19</v>
      </c>
      <c r="H179" s="790" t="s">
        <v>635</v>
      </c>
      <c r="I179" s="790"/>
      <c r="J179" s="51">
        <v>200</v>
      </c>
      <c r="K179" s="51"/>
      <c r="L179" s="51"/>
      <c r="M179" s="51"/>
      <c r="N179" s="51"/>
      <c r="O179" s="51"/>
      <c r="P179" s="51"/>
      <c r="Q179" s="51"/>
      <c r="R179" s="511"/>
      <c r="S179" s="51"/>
      <c r="T179" s="51"/>
      <c r="U179" s="51"/>
      <c r="V179" s="51"/>
      <c r="W179" s="51"/>
      <c r="X179" s="131">
        <f>IF(NFI_Expiration=1,IF($A179&lt;VLOOKUP(I$5,NFI,5,0),1,0)*Data_NFI_t[[#This Row],[Hygiene Kit]],0)</f>
        <v>0</v>
      </c>
      <c r="Y179" s="131">
        <f>IF(NFI_Expiration=1,IF($A179&lt;VLOOKUP(J$5,NFI,5,0),1,0)*Data_NFI_t[[#This Row],[NFI Core Kit]],0)</f>
        <v>0</v>
      </c>
      <c r="Z179" s="112">
        <f>IF(NFI_Expiration=1,IF($A179&lt;VLOOKUP(K$5,NFI,5,0),1,0)*Data_NFI_t[[#This Row],[Sanitary Kit]],0)</f>
        <v>0</v>
      </c>
      <c r="AA179" s="112">
        <f>IF(NFI_Expiration=1,IF($A179&lt;VLOOKUP(L$5,NFI,5,0),1,0)*Data_NFI_t[[#This Row],[Mosquito net]],0)</f>
        <v>0</v>
      </c>
      <c r="AB179" s="112">
        <f>IF(NFI_Expiration=1,IF($A179&lt;VLOOKUP(M$5,NFI,5,0),1,0)*Data_NFI_t[[#This Row],[Tarpaulin]],0)</f>
        <v>0</v>
      </c>
      <c r="AC179" s="112">
        <f>IF(NFI_Expiration=1,IF($A179&lt;VLOOKUP(N$5,NFI,5,0),1,0)*Data_NFI_t[[#This Row],[Blanket]],0)</f>
        <v>0</v>
      </c>
      <c r="AD179" s="112">
        <f>IF(NFI_Expiration=1,IF($A179&lt;VLOOKUP(O$5,NFI,5,0),1,0)*Data_NFI_t[[#This Row],[Kitchen Set]],0)</f>
        <v>0</v>
      </c>
      <c r="AE179" s="112">
        <f>IF(NFI_Expiration=1,IF($A179&lt;VLOOKUP(P$5,NFI,5,0),1,0)*Data_NFI_t[[#This Row],[Complementary Kit]],0)</f>
        <v>0</v>
      </c>
      <c r="AF179" s="112">
        <f>IF(NFI_Expiration=1,IF($A179&lt;VLOOKUP(Q$5,NFI,5,0),1,0)*Data_NFI_t[[#This Row],[Plastic Bucket]],0)</f>
        <v>0</v>
      </c>
      <c r="AG179" s="112">
        <f>IF(NFI_Expiration=1,IF($A179&lt;VLOOKUP(R$5,NFI,5,0),1,0)*Data_NFI_t[[#This Row],[Jerry Can]],0)</f>
        <v>0</v>
      </c>
      <c r="AH179" s="131">
        <f>IF(NFI_Expiration=1,IF($A179&lt;VLOOKUP(S$5,NFI,5,0),1,0)*Data_NFI_t[[#This Row],[Plastic Mat]],0)*IF(Data_NFI_t[[#This Row],[Distribution Date]]&gt;"01-06-2015",1,2.5)</f>
        <v>0</v>
      </c>
      <c r="AI179" s="901">
        <f>IF(NFI_Expiration=1,IF($A179&lt;VLOOKUP(T$5,NFI,5,0),1,0)*Data_NFI_t[[#This Row],[Adult Clothes]],0)</f>
        <v>0</v>
      </c>
      <c r="AJ179" s="131">
        <f>IF(NFI_Expiration=1,IF($A179&lt;VLOOKUP(U$5,NFI,5,0),1,0)*Data_NFI_t[[#This Row],[Children Clothes]],0)</f>
        <v>0</v>
      </c>
      <c r="AK179" s="131">
        <f>IF(NFI_Expiration=1,IF($A179&lt;VLOOKUP(V$5,NFI,5,0),1,0)*Data_NFI_t[[#This Row],[Sewing Kit]],0)</f>
        <v>0</v>
      </c>
      <c r="AL179" s="901">
        <f>IF(NFI_Expiration=1,IF($A179&lt;VLOOKUP(V$5,NFI,5,0),1,0)*Data_NFI_t[[#This Row],[Solar Lantern]],0)</f>
        <v>0</v>
      </c>
      <c r="AM179" s="131" t="str">
        <f ca="1">IFERROR(OFFSET(Camp_List[P_Code],MATCH(Data_NFI_t[[#This Row],[Camp Name]],Camp_List[Camp Name],0)-1,0,1,1),"")</f>
        <v>MMR012CMP116</v>
      </c>
      <c r="AN179" s="513" t="str">
        <f ca="1">IFERROR(OFFSET(Camp_List[Status],MATCH(Data_NFI_t[[#This Row],[Camp Name]],Camp_List[Camp Name],0)-1,0,1,1),"")</f>
        <v>Open</v>
      </c>
      <c r="AO179" s="131"/>
    </row>
    <row r="180" spans="1:41" s="90" customFormat="1" ht="19.5" customHeight="1" x14ac:dyDescent="0.25">
      <c r="A180" s="242">
        <f t="shared" si="4"/>
        <v>42.166666666666664</v>
      </c>
      <c r="B180" s="242">
        <f>YEAR(Data_NFI_t[[#This Row],[Distribution Date]])</f>
        <v>2013</v>
      </c>
      <c r="C180" s="913">
        <v>41591</v>
      </c>
      <c r="D180" s="489" t="s">
        <v>623</v>
      </c>
      <c r="E180" s="488" t="s">
        <v>623</v>
      </c>
      <c r="F180" s="489" t="s">
        <v>7</v>
      </c>
      <c r="G180" s="790" t="s">
        <v>19</v>
      </c>
      <c r="H180" s="790" t="s">
        <v>635</v>
      </c>
      <c r="I180" s="790"/>
      <c r="J180" s="51">
        <v>103</v>
      </c>
      <c r="K180" s="51"/>
      <c r="L180" s="51"/>
      <c r="M180" s="51"/>
      <c r="N180" s="51"/>
      <c r="O180" s="51"/>
      <c r="P180" s="51"/>
      <c r="Q180" s="51"/>
      <c r="R180" s="511"/>
      <c r="S180" s="51"/>
      <c r="T180" s="51"/>
      <c r="U180" s="51"/>
      <c r="V180" s="51"/>
      <c r="W180" s="51"/>
      <c r="X180" s="131">
        <f>IF(NFI_Expiration=1,IF($A180&lt;VLOOKUP(I$5,NFI,5,0),1,0)*Data_NFI_t[[#This Row],[Hygiene Kit]],0)</f>
        <v>0</v>
      </c>
      <c r="Y180" s="131">
        <f>IF(NFI_Expiration=1,IF($A180&lt;VLOOKUP(J$5,NFI,5,0),1,0)*Data_NFI_t[[#This Row],[NFI Core Kit]],0)</f>
        <v>0</v>
      </c>
      <c r="Z180" s="112">
        <f>IF(NFI_Expiration=1,IF($A180&lt;VLOOKUP(K$5,NFI,5,0),1,0)*Data_NFI_t[[#This Row],[Sanitary Kit]],0)</f>
        <v>0</v>
      </c>
      <c r="AA180" s="112">
        <f>IF(NFI_Expiration=1,IF($A180&lt;VLOOKUP(L$5,NFI,5,0),1,0)*Data_NFI_t[[#This Row],[Mosquito net]],0)</f>
        <v>0</v>
      </c>
      <c r="AB180" s="112">
        <f>IF(NFI_Expiration=1,IF($A180&lt;VLOOKUP(M$5,NFI,5,0),1,0)*Data_NFI_t[[#This Row],[Tarpaulin]],0)</f>
        <v>0</v>
      </c>
      <c r="AC180" s="112">
        <f>IF(NFI_Expiration=1,IF($A180&lt;VLOOKUP(N$5,NFI,5,0),1,0)*Data_NFI_t[[#This Row],[Blanket]],0)</f>
        <v>0</v>
      </c>
      <c r="AD180" s="112">
        <f>IF(NFI_Expiration=1,IF($A180&lt;VLOOKUP(O$5,NFI,5,0),1,0)*Data_NFI_t[[#This Row],[Kitchen Set]],0)</f>
        <v>0</v>
      </c>
      <c r="AE180" s="112">
        <f>IF(NFI_Expiration=1,IF($A180&lt;VLOOKUP(P$5,NFI,5,0),1,0)*Data_NFI_t[[#This Row],[Complementary Kit]],0)</f>
        <v>0</v>
      </c>
      <c r="AF180" s="112">
        <f>IF(NFI_Expiration=1,IF($A180&lt;VLOOKUP(Q$5,NFI,5,0),1,0)*Data_NFI_t[[#This Row],[Plastic Bucket]],0)</f>
        <v>0</v>
      </c>
      <c r="AG180" s="112">
        <f>IF(NFI_Expiration=1,IF($A180&lt;VLOOKUP(R$5,NFI,5,0),1,0)*Data_NFI_t[[#This Row],[Jerry Can]],0)</f>
        <v>0</v>
      </c>
      <c r="AH180" s="131">
        <f>IF(NFI_Expiration=1,IF($A180&lt;VLOOKUP(S$5,NFI,5,0),1,0)*Data_NFI_t[[#This Row],[Plastic Mat]],0)*IF(Data_NFI_t[[#This Row],[Distribution Date]]&gt;"01-06-2015",1,2.5)</f>
        <v>0</v>
      </c>
      <c r="AI180" s="901">
        <f>IF(NFI_Expiration=1,IF($A180&lt;VLOOKUP(T$5,NFI,5,0),1,0)*Data_NFI_t[[#This Row],[Adult Clothes]],0)</f>
        <v>0</v>
      </c>
      <c r="AJ180" s="131">
        <f>IF(NFI_Expiration=1,IF($A180&lt;VLOOKUP(U$5,NFI,5,0),1,0)*Data_NFI_t[[#This Row],[Children Clothes]],0)</f>
        <v>0</v>
      </c>
      <c r="AK180" s="131">
        <f>IF(NFI_Expiration=1,IF($A180&lt;VLOOKUP(V$5,NFI,5,0),1,0)*Data_NFI_t[[#This Row],[Sewing Kit]],0)</f>
        <v>0</v>
      </c>
      <c r="AL180" s="901">
        <f>IF(NFI_Expiration=1,IF($A180&lt;VLOOKUP(V$5,NFI,5,0),1,0)*Data_NFI_t[[#This Row],[Solar Lantern]],0)</f>
        <v>0</v>
      </c>
      <c r="AM180" s="131" t="str">
        <f ca="1">IFERROR(OFFSET(Camp_List[P_Code],MATCH(Data_NFI_t[[#This Row],[Camp Name]],Camp_List[Camp Name],0)-1,0,1,1),"")</f>
        <v>MMR012CMP116</v>
      </c>
      <c r="AN180" s="513" t="str">
        <f ca="1">IFERROR(OFFSET(Camp_List[Status],MATCH(Data_NFI_t[[#This Row],[Camp Name]],Camp_List[Camp Name],0)-1,0,1,1),"")</f>
        <v>Open</v>
      </c>
      <c r="AO180" s="131"/>
    </row>
    <row r="181" spans="1:41" s="90" customFormat="1" ht="19.5" customHeight="1" x14ac:dyDescent="0.25">
      <c r="A181" s="242">
        <f t="shared" si="4"/>
        <v>42.166666666666664</v>
      </c>
      <c r="B181" s="242">
        <f>YEAR(Data_NFI_t[[#This Row],[Distribution Date]])</f>
        <v>2013</v>
      </c>
      <c r="C181" s="913">
        <v>41591</v>
      </c>
      <c r="D181" s="489" t="s">
        <v>285</v>
      </c>
      <c r="E181" s="488" t="s">
        <v>285</v>
      </c>
      <c r="F181" s="489" t="s">
        <v>7</v>
      </c>
      <c r="G181" s="790" t="s">
        <v>15</v>
      </c>
      <c r="H181" s="790" t="s">
        <v>53</v>
      </c>
      <c r="I181" s="790">
        <v>340</v>
      </c>
      <c r="J181" s="51"/>
      <c r="K181" s="51"/>
      <c r="L181" s="51"/>
      <c r="M181" s="51"/>
      <c r="N181" s="51"/>
      <c r="O181" s="51"/>
      <c r="P181" s="51"/>
      <c r="Q181" s="51"/>
      <c r="R181" s="511"/>
      <c r="S181" s="51"/>
      <c r="T181" s="51"/>
      <c r="U181" s="51"/>
      <c r="V181" s="51"/>
      <c r="W181" s="51"/>
      <c r="X181" s="131">
        <f>IF(NFI_Expiration=1,IF($A181&lt;VLOOKUP(I$5,NFI,5,0),1,0)*Data_NFI_t[[#This Row],[Hygiene Kit]],0)</f>
        <v>0</v>
      </c>
      <c r="Y181" s="131">
        <f>IF(NFI_Expiration=1,IF($A181&lt;VLOOKUP(J$5,NFI,5,0),1,0)*Data_NFI_t[[#This Row],[NFI Core Kit]],0)</f>
        <v>0</v>
      </c>
      <c r="Z181" s="112">
        <f>IF(NFI_Expiration=1,IF($A181&lt;VLOOKUP(K$5,NFI,5,0),1,0)*Data_NFI_t[[#This Row],[Sanitary Kit]],0)</f>
        <v>0</v>
      </c>
      <c r="AA181" s="112">
        <f>IF(NFI_Expiration=1,IF($A181&lt;VLOOKUP(L$5,NFI,5,0),1,0)*Data_NFI_t[[#This Row],[Mosquito net]],0)</f>
        <v>0</v>
      </c>
      <c r="AB181" s="112">
        <f>IF(NFI_Expiration=1,IF($A181&lt;VLOOKUP(M$5,NFI,5,0),1,0)*Data_NFI_t[[#This Row],[Tarpaulin]],0)</f>
        <v>0</v>
      </c>
      <c r="AC181" s="112">
        <f>IF(NFI_Expiration=1,IF($A181&lt;VLOOKUP(N$5,NFI,5,0),1,0)*Data_NFI_t[[#This Row],[Blanket]],0)</f>
        <v>0</v>
      </c>
      <c r="AD181" s="112">
        <f>IF(NFI_Expiration=1,IF($A181&lt;VLOOKUP(O$5,NFI,5,0),1,0)*Data_NFI_t[[#This Row],[Kitchen Set]],0)</f>
        <v>0</v>
      </c>
      <c r="AE181" s="112">
        <f>IF(NFI_Expiration=1,IF($A181&lt;VLOOKUP(P$5,NFI,5,0),1,0)*Data_NFI_t[[#This Row],[Complementary Kit]],0)</f>
        <v>0</v>
      </c>
      <c r="AF181" s="112">
        <f>IF(NFI_Expiration=1,IF($A181&lt;VLOOKUP(Q$5,NFI,5,0),1,0)*Data_NFI_t[[#This Row],[Plastic Bucket]],0)</f>
        <v>0</v>
      </c>
      <c r="AG181" s="112">
        <f>IF(NFI_Expiration=1,IF($A181&lt;VLOOKUP(R$5,NFI,5,0),1,0)*Data_NFI_t[[#This Row],[Jerry Can]],0)</f>
        <v>0</v>
      </c>
      <c r="AH181" s="131">
        <f>IF(NFI_Expiration=1,IF($A181&lt;VLOOKUP(S$5,NFI,5,0),1,0)*Data_NFI_t[[#This Row],[Plastic Mat]],0)*IF(Data_NFI_t[[#This Row],[Distribution Date]]&gt;"01-06-2015",1,2.5)</f>
        <v>0</v>
      </c>
      <c r="AI181" s="901">
        <f>IF(NFI_Expiration=1,IF($A181&lt;VLOOKUP(T$5,NFI,5,0),1,0)*Data_NFI_t[[#This Row],[Adult Clothes]],0)</f>
        <v>0</v>
      </c>
      <c r="AJ181" s="131">
        <f>IF(NFI_Expiration=1,IF($A181&lt;VLOOKUP(U$5,NFI,5,0),1,0)*Data_NFI_t[[#This Row],[Children Clothes]],0)</f>
        <v>0</v>
      </c>
      <c r="AK181" s="131">
        <f>IF(NFI_Expiration=1,IF($A181&lt;VLOOKUP(V$5,NFI,5,0),1,0)*Data_NFI_t[[#This Row],[Sewing Kit]],0)</f>
        <v>0</v>
      </c>
      <c r="AL181" s="901">
        <f>IF(NFI_Expiration=1,IF($A181&lt;VLOOKUP(V$5,NFI,5,0),1,0)*Data_NFI_t[[#This Row],[Solar Lantern]],0)</f>
        <v>0</v>
      </c>
      <c r="AM181" s="131" t="str">
        <f ca="1">IFERROR(OFFSET(Camp_List[P_Code],MATCH(Data_NFI_t[[#This Row],[Camp Name]],Camp_List[Camp Name],0)-1,0,1,1),"")</f>
        <v>MMR012CMP029</v>
      </c>
      <c r="AN181" s="513" t="str">
        <f ca="1">IFERROR(OFFSET(Camp_List[Status],MATCH(Data_NFI_t[[#This Row],[Camp Name]],Camp_List[Camp Name],0)-1,0,1,1),"")</f>
        <v>Returned</v>
      </c>
      <c r="AO181" s="131"/>
    </row>
    <row r="182" spans="1:41" s="90" customFormat="1" ht="19.5" customHeight="1" x14ac:dyDescent="0.25">
      <c r="A182" s="242">
        <f t="shared" si="4"/>
        <v>42.2</v>
      </c>
      <c r="B182" s="242">
        <f>YEAR(Data_NFI_t[[#This Row],[Distribution Date]])</f>
        <v>2013</v>
      </c>
      <c r="C182" s="913">
        <v>41590</v>
      </c>
      <c r="D182" s="489" t="s">
        <v>285</v>
      </c>
      <c r="E182" s="488" t="s">
        <v>285</v>
      </c>
      <c r="F182" s="489" t="s">
        <v>7</v>
      </c>
      <c r="G182" s="790" t="s">
        <v>15</v>
      </c>
      <c r="H182" s="790" t="s">
        <v>49</v>
      </c>
      <c r="I182" s="790">
        <v>36</v>
      </c>
      <c r="J182" s="51"/>
      <c r="K182" s="51"/>
      <c r="L182" s="51">
        <v>28</v>
      </c>
      <c r="M182" s="51">
        <v>83</v>
      </c>
      <c r="N182" s="51">
        <v>28</v>
      </c>
      <c r="O182" s="51">
        <v>14</v>
      </c>
      <c r="P182" s="51">
        <v>14</v>
      </c>
      <c r="Q182" s="51">
        <v>14</v>
      </c>
      <c r="R182" s="511"/>
      <c r="S182" s="51">
        <v>28</v>
      </c>
      <c r="T182" s="51"/>
      <c r="U182" s="51"/>
      <c r="V182" s="51"/>
      <c r="W182" s="51"/>
      <c r="X182" s="131">
        <f>IF(NFI_Expiration=1,IF($A182&lt;VLOOKUP(I$5,NFI,5,0),1,0)*Data_NFI_t[[#This Row],[Hygiene Kit]],0)</f>
        <v>0</v>
      </c>
      <c r="Y182" s="131">
        <f>IF(NFI_Expiration=1,IF($A182&lt;VLOOKUP(J$5,NFI,5,0),1,0)*Data_NFI_t[[#This Row],[NFI Core Kit]],0)</f>
        <v>0</v>
      </c>
      <c r="Z182" s="112">
        <f>IF(NFI_Expiration=1,IF($A182&lt;VLOOKUP(K$5,NFI,5,0),1,0)*Data_NFI_t[[#This Row],[Sanitary Kit]],0)</f>
        <v>0</v>
      </c>
      <c r="AA182" s="112">
        <f>IF(NFI_Expiration=1,IF($A182&lt;VLOOKUP(L$5,NFI,5,0),1,0)*Data_NFI_t[[#This Row],[Mosquito net]],0)</f>
        <v>0</v>
      </c>
      <c r="AB182" s="112">
        <f>IF(NFI_Expiration=1,IF($A182&lt;VLOOKUP(M$5,NFI,5,0),1,0)*Data_NFI_t[[#This Row],[Tarpaulin]],0)</f>
        <v>0</v>
      </c>
      <c r="AC182" s="112">
        <f>IF(NFI_Expiration=1,IF($A182&lt;VLOOKUP(N$5,NFI,5,0),1,0)*Data_NFI_t[[#This Row],[Blanket]],0)</f>
        <v>0</v>
      </c>
      <c r="AD182" s="112">
        <f>IF(NFI_Expiration=1,IF($A182&lt;VLOOKUP(O$5,NFI,5,0),1,0)*Data_NFI_t[[#This Row],[Kitchen Set]],0)</f>
        <v>0</v>
      </c>
      <c r="AE182" s="112">
        <f>IF(NFI_Expiration=1,IF($A182&lt;VLOOKUP(P$5,NFI,5,0),1,0)*Data_NFI_t[[#This Row],[Complementary Kit]],0)</f>
        <v>0</v>
      </c>
      <c r="AF182" s="112">
        <f>IF(NFI_Expiration=1,IF($A182&lt;VLOOKUP(Q$5,NFI,5,0),1,0)*Data_NFI_t[[#This Row],[Plastic Bucket]],0)</f>
        <v>0</v>
      </c>
      <c r="AG182" s="112">
        <f>IF(NFI_Expiration=1,IF($A182&lt;VLOOKUP(R$5,NFI,5,0),1,0)*Data_NFI_t[[#This Row],[Jerry Can]],0)</f>
        <v>0</v>
      </c>
      <c r="AH182" s="131">
        <f>IF(NFI_Expiration=1,IF($A182&lt;VLOOKUP(S$5,NFI,5,0),1,0)*Data_NFI_t[[#This Row],[Plastic Mat]],0)*IF(Data_NFI_t[[#This Row],[Distribution Date]]&gt;"01-06-2015",1,2.5)</f>
        <v>0</v>
      </c>
      <c r="AI182" s="901">
        <f>IF(NFI_Expiration=1,IF($A182&lt;VLOOKUP(T$5,NFI,5,0),1,0)*Data_NFI_t[[#This Row],[Adult Clothes]],0)</f>
        <v>0</v>
      </c>
      <c r="AJ182" s="131">
        <f>IF(NFI_Expiration=1,IF($A182&lt;VLOOKUP(U$5,NFI,5,0),1,0)*Data_NFI_t[[#This Row],[Children Clothes]],0)</f>
        <v>0</v>
      </c>
      <c r="AK182" s="131">
        <f>IF(NFI_Expiration=1,IF($A182&lt;VLOOKUP(V$5,NFI,5,0),1,0)*Data_NFI_t[[#This Row],[Sewing Kit]],0)</f>
        <v>0</v>
      </c>
      <c r="AL182" s="901">
        <f>IF(NFI_Expiration=1,IF($A182&lt;VLOOKUP(V$5,NFI,5,0),1,0)*Data_NFI_t[[#This Row],[Solar Lantern]],0)</f>
        <v>0</v>
      </c>
      <c r="AM182" s="131" t="str">
        <f ca="1">IFERROR(OFFSET(Camp_List[P_Code],MATCH(Data_NFI_t[[#This Row],[Camp Name]],Camp_List[Camp Name],0)-1,0,1,1),"")</f>
        <v>MMR012CMP025</v>
      </c>
      <c r="AN182" s="513" t="str">
        <f ca="1">IFERROR(OFFSET(Camp_List[Status],MATCH(Data_NFI_t[[#This Row],[Camp Name]],Camp_List[Camp Name],0)-1,0,1,1),"")</f>
        <v>Returned</v>
      </c>
      <c r="AO182" s="131"/>
    </row>
    <row r="183" spans="1:41" s="90" customFormat="1" ht="19.5" customHeight="1" x14ac:dyDescent="0.25">
      <c r="A183" s="242">
        <f t="shared" si="4"/>
        <v>42.2</v>
      </c>
      <c r="B183" s="242">
        <f>YEAR(Data_NFI_t[[#This Row],[Distribution Date]])</f>
        <v>2013</v>
      </c>
      <c r="C183" s="913">
        <v>41590</v>
      </c>
      <c r="D183" s="489" t="s">
        <v>623</v>
      </c>
      <c r="E183" s="488" t="s">
        <v>623</v>
      </c>
      <c r="F183" s="489" t="s">
        <v>7</v>
      </c>
      <c r="G183" s="790" t="s">
        <v>19</v>
      </c>
      <c r="H183" s="790" t="s">
        <v>61</v>
      </c>
      <c r="I183" s="790"/>
      <c r="J183" s="51">
        <v>395</v>
      </c>
      <c r="K183" s="51"/>
      <c r="L183" s="51"/>
      <c r="M183" s="51"/>
      <c r="N183" s="51"/>
      <c r="O183" s="51"/>
      <c r="P183" s="51"/>
      <c r="Q183" s="51"/>
      <c r="R183" s="511"/>
      <c r="S183" s="51"/>
      <c r="T183" s="51"/>
      <c r="U183" s="51"/>
      <c r="V183" s="51"/>
      <c r="W183" s="51"/>
      <c r="X183" s="131">
        <f>IF(NFI_Expiration=1,IF($A183&lt;VLOOKUP(I$5,NFI,5,0),1,0)*Data_NFI_t[[#This Row],[Hygiene Kit]],0)</f>
        <v>0</v>
      </c>
      <c r="Y183" s="131">
        <f>IF(NFI_Expiration=1,IF($A183&lt;VLOOKUP(J$5,NFI,5,0),1,0)*Data_NFI_t[[#This Row],[NFI Core Kit]],0)</f>
        <v>0</v>
      </c>
      <c r="Z183" s="112">
        <f>IF(NFI_Expiration=1,IF($A183&lt;VLOOKUP(K$5,NFI,5,0),1,0)*Data_NFI_t[[#This Row],[Sanitary Kit]],0)</f>
        <v>0</v>
      </c>
      <c r="AA183" s="112">
        <f>IF(NFI_Expiration=1,IF($A183&lt;VLOOKUP(L$5,NFI,5,0),1,0)*Data_NFI_t[[#This Row],[Mosquito net]],0)</f>
        <v>0</v>
      </c>
      <c r="AB183" s="112">
        <f>IF(NFI_Expiration=1,IF($A183&lt;VLOOKUP(M$5,NFI,5,0),1,0)*Data_NFI_t[[#This Row],[Tarpaulin]],0)</f>
        <v>0</v>
      </c>
      <c r="AC183" s="112">
        <f>IF(NFI_Expiration=1,IF($A183&lt;VLOOKUP(N$5,NFI,5,0),1,0)*Data_NFI_t[[#This Row],[Blanket]],0)</f>
        <v>0</v>
      </c>
      <c r="AD183" s="112">
        <f>IF(NFI_Expiration=1,IF($A183&lt;VLOOKUP(O$5,NFI,5,0),1,0)*Data_NFI_t[[#This Row],[Kitchen Set]],0)</f>
        <v>0</v>
      </c>
      <c r="AE183" s="112">
        <f>IF(NFI_Expiration=1,IF($A183&lt;VLOOKUP(P$5,NFI,5,0),1,0)*Data_NFI_t[[#This Row],[Complementary Kit]],0)</f>
        <v>0</v>
      </c>
      <c r="AF183" s="112">
        <f>IF(NFI_Expiration=1,IF($A183&lt;VLOOKUP(Q$5,NFI,5,0),1,0)*Data_NFI_t[[#This Row],[Plastic Bucket]],0)</f>
        <v>0</v>
      </c>
      <c r="AG183" s="112">
        <f>IF(NFI_Expiration=1,IF($A183&lt;VLOOKUP(R$5,NFI,5,0),1,0)*Data_NFI_t[[#This Row],[Jerry Can]],0)</f>
        <v>0</v>
      </c>
      <c r="AH183" s="131">
        <f>IF(NFI_Expiration=1,IF($A183&lt;VLOOKUP(S$5,NFI,5,0),1,0)*Data_NFI_t[[#This Row],[Plastic Mat]],0)*IF(Data_NFI_t[[#This Row],[Distribution Date]]&gt;"01-06-2015",1,2.5)</f>
        <v>0</v>
      </c>
      <c r="AI183" s="901">
        <f>IF(NFI_Expiration=1,IF($A183&lt;VLOOKUP(T$5,NFI,5,0),1,0)*Data_NFI_t[[#This Row],[Adult Clothes]],0)</f>
        <v>0</v>
      </c>
      <c r="AJ183" s="131">
        <f>IF(NFI_Expiration=1,IF($A183&lt;VLOOKUP(U$5,NFI,5,0),1,0)*Data_NFI_t[[#This Row],[Children Clothes]],0)</f>
        <v>0</v>
      </c>
      <c r="AK183" s="131">
        <f>IF(NFI_Expiration=1,IF($A183&lt;VLOOKUP(V$5,NFI,5,0),1,0)*Data_NFI_t[[#This Row],[Sewing Kit]],0)</f>
        <v>0</v>
      </c>
      <c r="AL183" s="901">
        <f>IF(NFI_Expiration=1,IF($A183&lt;VLOOKUP(V$5,NFI,5,0),1,0)*Data_NFI_t[[#This Row],[Solar Lantern]],0)</f>
        <v>0</v>
      </c>
      <c r="AM183" s="131" t="str">
        <f ca="1">IFERROR(OFFSET(Camp_List[P_Code],MATCH(Data_NFI_t[[#This Row],[Camp Name]],Camp_List[Camp Name],0)-1,0,1,1),"")</f>
        <v>MMR012CMP039</v>
      </c>
      <c r="AN183" s="513" t="str">
        <f ca="1">IFERROR(OFFSET(Camp_List[Status],MATCH(Data_NFI_t[[#This Row],[Camp Name]],Camp_List[Camp Name],0)-1,0,1,1),"")</f>
        <v>Open</v>
      </c>
      <c r="AO183" s="131"/>
    </row>
    <row r="184" spans="1:41" s="90" customFormat="1" ht="19.5" customHeight="1" x14ac:dyDescent="0.25">
      <c r="A184" s="242">
        <f t="shared" si="4"/>
        <v>42.2</v>
      </c>
      <c r="B184" s="242">
        <f>YEAR(Data_NFI_t[[#This Row],[Distribution Date]])</f>
        <v>2013</v>
      </c>
      <c r="C184" s="913">
        <v>41590</v>
      </c>
      <c r="D184" s="489" t="s">
        <v>285</v>
      </c>
      <c r="E184" s="488" t="s">
        <v>285</v>
      </c>
      <c r="F184" s="489" t="s">
        <v>7</v>
      </c>
      <c r="G184" s="790" t="s">
        <v>15</v>
      </c>
      <c r="H184" s="790" t="s">
        <v>54</v>
      </c>
      <c r="I184" s="790">
        <v>220</v>
      </c>
      <c r="J184" s="51"/>
      <c r="K184" s="51"/>
      <c r="L184" s="51"/>
      <c r="M184" s="51"/>
      <c r="N184" s="51"/>
      <c r="O184" s="51"/>
      <c r="P184" s="51"/>
      <c r="Q184" s="51"/>
      <c r="R184" s="511"/>
      <c r="S184" s="51"/>
      <c r="T184" s="51"/>
      <c r="U184" s="51"/>
      <c r="V184" s="51"/>
      <c r="W184" s="51"/>
      <c r="X184" s="131">
        <f>IF(NFI_Expiration=1,IF($A184&lt;VLOOKUP(I$5,NFI,5,0),1,0)*Data_NFI_t[[#This Row],[Hygiene Kit]],0)</f>
        <v>0</v>
      </c>
      <c r="Y184" s="131">
        <f>IF(NFI_Expiration=1,IF($A184&lt;VLOOKUP(J$5,NFI,5,0),1,0)*Data_NFI_t[[#This Row],[NFI Core Kit]],0)</f>
        <v>0</v>
      </c>
      <c r="Z184" s="112">
        <f>IF(NFI_Expiration=1,IF($A184&lt;VLOOKUP(K$5,NFI,5,0),1,0)*Data_NFI_t[[#This Row],[Sanitary Kit]],0)</f>
        <v>0</v>
      </c>
      <c r="AA184" s="112">
        <f>IF(NFI_Expiration=1,IF($A184&lt;VLOOKUP(L$5,NFI,5,0),1,0)*Data_NFI_t[[#This Row],[Mosquito net]],0)</f>
        <v>0</v>
      </c>
      <c r="AB184" s="112">
        <f>IF(NFI_Expiration=1,IF($A184&lt;VLOOKUP(M$5,NFI,5,0),1,0)*Data_NFI_t[[#This Row],[Tarpaulin]],0)</f>
        <v>0</v>
      </c>
      <c r="AC184" s="112">
        <f>IF(NFI_Expiration=1,IF($A184&lt;VLOOKUP(N$5,NFI,5,0),1,0)*Data_NFI_t[[#This Row],[Blanket]],0)</f>
        <v>0</v>
      </c>
      <c r="AD184" s="112">
        <f>IF(NFI_Expiration=1,IF($A184&lt;VLOOKUP(O$5,NFI,5,0),1,0)*Data_NFI_t[[#This Row],[Kitchen Set]],0)</f>
        <v>0</v>
      </c>
      <c r="AE184" s="112">
        <f>IF(NFI_Expiration=1,IF($A184&lt;VLOOKUP(P$5,NFI,5,0),1,0)*Data_NFI_t[[#This Row],[Complementary Kit]],0)</f>
        <v>0</v>
      </c>
      <c r="AF184" s="112">
        <f>IF(NFI_Expiration=1,IF($A184&lt;VLOOKUP(Q$5,NFI,5,0),1,0)*Data_NFI_t[[#This Row],[Plastic Bucket]],0)</f>
        <v>0</v>
      </c>
      <c r="AG184" s="112">
        <f>IF(NFI_Expiration=1,IF($A184&lt;VLOOKUP(R$5,NFI,5,0),1,0)*Data_NFI_t[[#This Row],[Jerry Can]],0)</f>
        <v>0</v>
      </c>
      <c r="AH184" s="131">
        <f>IF(NFI_Expiration=1,IF($A184&lt;VLOOKUP(S$5,NFI,5,0),1,0)*Data_NFI_t[[#This Row],[Plastic Mat]],0)*IF(Data_NFI_t[[#This Row],[Distribution Date]]&gt;"01-06-2015",1,2.5)</f>
        <v>0</v>
      </c>
      <c r="AI184" s="901">
        <f>IF(NFI_Expiration=1,IF($A184&lt;VLOOKUP(T$5,NFI,5,0),1,0)*Data_NFI_t[[#This Row],[Adult Clothes]],0)</f>
        <v>0</v>
      </c>
      <c r="AJ184" s="131">
        <f>IF(NFI_Expiration=1,IF($A184&lt;VLOOKUP(U$5,NFI,5,0),1,0)*Data_NFI_t[[#This Row],[Children Clothes]],0)</f>
        <v>0</v>
      </c>
      <c r="AK184" s="131">
        <f>IF(NFI_Expiration=1,IF($A184&lt;VLOOKUP(V$5,NFI,5,0),1,0)*Data_NFI_t[[#This Row],[Sewing Kit]],0)</f>
        <v>0</v>
      </c>
      <c r="AL184" s="901">
        <f>IF(NFI_Expiration=1,IF($A184&lt;VLOOKUP(V$5,NFI,5,0),1,0)*Data_NFI_t[[#This Row],[Solar Lantern]],0)</f>
        <v>0</v>
      </c>
      <c r="AM184" s="131" t="str">
        <f ca="1">IFERROR(OFFSET(Camp_List[P_Code],MATCH(Data_NFI_t[[#This Row],[Camp Name]],Camp_List[Camp Name],0)-1,0,1,1),"")</f>
        <v>MMR012CMP030</v>
      </c>
      <c r="AN184" s="513" t="str">
        <f ca="1">IFERROR(OFFSET(Camp_List[Status],MATCH(Data_NFI_t[[#This Row],[Camp Name]],Camp_List[Camp Name],0)-1,0,1,1),"")</f>
        <v>Relocated</v>
      </c>
      <c r="AO184" s="131"/>
    </row>
    <row r="185" spans="1:41" s="90" customFormat="1" ht="19.5" customHeight="1" x14ac:dyDescent="0.25">
      <c r="A185" s="242">
        <f t="shared" si="4"/>
        <v>42.2</v>
      </c>
      <c r="B185" s="242">
        <f>YEAR(Data_NFI_t[[#This Row],[Distribution Date]])</f>
        <v>2013</v>
      </c>
      <c r="C185" s="913">
        <v>41590</v>
      </c>
      <c r="D185" s="489" t="s">
        <v>285</v>
      </c>
      <c r="E185" s="488" t="s">
        <v>285</v>
      </c>
      <c r="F185" s="489" t="s">
        <v>7</v>
      </c>
      <c r="G185" s="790" t="s">
        <v>15</v>
      </c>
      <c r="H185" s="790" t="s">
        <v>45</v>
      </c>
      <c r="I185" s="790">
        <v>250</v>
      </c>
      <c r="J185" s="51"/>
      <c r="K185" s="51"/>
      <c r="L185" s="51"/>
      <c r="M185" s="51"/>
      <c r="N185" s="51"/>
      <c r="O185" s="51"/>
      <c r="P185" s="51"/>
      <c r="Q185" s="51"/>
      <c r="R185" s="511"/>
      <c r="S185" s="51"/>
      <c r="T185" s="51"/>
      <c r="U185" s="51"/>
      <c r="V185" s="51"/>
      <c r="W185" s="51"/>
      <c r="X185" s="131">
        <f>IF(NFI_Expiration=1,IF($A185&lt;VLOOKUP(I$5,NFI,5,0),1,0)*Data_NFI_t[[#This Row],[Hygiene Kit]],0)</f>
        <v>0</v>
      </c>
      <c r="Y185" s="131">
        <f>IF(NFI_Expiration=1,IF($A185&lt;VLOOKUP(J$5,NFI,5,0),1,0)*Data_NFI_t[[#This Row],[NFI Core Kit]],0)</f>
        <v>0</v>
      </c>
      <c r="Z185" s="112">
        <f>IF(NFI_Expiration=1,IF($A185&lt;VLOOKUP(K$5,NFI,5,0),1,0)*Data_NFI_t[[#This Row],[Sanitary Kit]],0)</f>
        <v>0</v>
      </c>
      <c r="AA185" s="112">
        <f>IF(NFI_Expiration=1,IF($A185&lt;VLOOKUP(L$5,NFI,5,0),1,0)*Data_NFI_t[[#This Row],[Mosquito net]],0)</f>
        <v>0</v>
      </c>
      <c r="AB185" s="112">
        <f>IF(NFI_Expiration=1,IF($A185&lt;VLOOKUP(M$5,NFI,5,0),1,0)*Data_NFI_t[[#This Row],[Tarpaulin]],0)</f>
        <v>0</v>
      </c>
      <c r="AC185" s="112">
        <f>IF(NFI_Expiration=1,IF($A185&lt;VLOOKUP(N$5,NFI,5,0),1,0)*Data_NFI_t[[#This Row],[Blanket]],0)</f>
        <v>0</v>
      </c>
      <c r="AD185" s="112">
        <f>IF(NFI_Expiration=1,IF($A185&lt;VLOOKUP(O$5,NFI,5,0),1,0)*Data_NFI_t[[#This Row],[Kitchen Set]],0)</f>
        <v>0</v>
      </c>
      <c r="AE185" s="112">
        <f>IF(NFI_Expiration=1,IF($A185&lt;VLOOKUP(P$5,NFI,5,0),1,0)*Data_NFI_t[[#This Row],[Complementary Kit]],0)</f>
        <v>0</v>
      </c>
      <c r="AF185" s="112">
        <f>IF(NFI_Expiration=1,IF($A185&lt;VLOOKUP(Q$5,NFI,5,0),1,0)*Data_NFI_t[[#This Row],[Plastic Bucket]],0)</f>
        <v>0</v>
      </c>
      <c r="AG185" s="112">
        <f>IF(NFI_Expiration=1,IF($A185&lt;VLOOKUP(R$5,NFI,5,0),1,0)*Data_NFI_t[[#This Row],[Jerry Can]],0)</f>
        <v>0</v>
      </c>
      <c r="AH185" s="131">
        <f>IF(NFI_Expiration=1,IF($A185&lt;VLOOKUP(S$5,NFI,5,0),1,0)*Data_NFI_t[[#This Row],[Plastic Mat]],0)*IF(Data_NFI_t[[#This Row],[Distribution Date]]&gt;"01-06-2015",1,2.5)</f>
        <v>0</v>
      </c>
      <c r="AI185" s="901">
        <f>IF(NFI_Expiration=1,IF($A185&lt;VLOOKUP(T$5,NFI,5,0),1,0)*Data_NFI_t[[#This Row],[Adult Clothes]],0)</f>
        <v>0</v>
      </c>
      <c r="AJ185" s="131">
        <f>IF(NFI_Expiration=1,IF($A185&lt;VLOOKUP(U$5,NFI,5,0),1,0)*Data_NFI_t[[#This Row],[Children Clothes]],0)</f>
        <v>0</v>
      </c>
      <c r="AK185" s="131">
        <f>IF(NFI_Expiration=1,IF($A185&lt;VLOOKUP(V$5,NFI,5,0),1,0)*Data_NFI_t[[#This Row],[Sewing Kit]],0)</f>
        <v>0</v>
      </c>
      <c r="AL185" s="901">
        <f>IF(NFI_Expiration=1,IF($A185&lt;VLOOKUP(V$5,NFI,5,0),1,0)*Data_NFI_t[[#This Row],[Solar Lantern]],0)</f>
        <v>0</v>
      </c>
      <c r="AM185" s="131" t="str">
        <f ca="1">IFERROR(OFFSET(Camp_List[P_Code],MATCH(Data_NFI_t[[#This Row],[Camp Name]],Camp_List[Camp Name],0)-1,0,1,1),"")</f>
        <v>MMR012CMP021</v>
      </c>
      <c r="AN185" s="513" t="str">
        <f ca="1">IFERROR(OFFSET(Camp_List[Status],MATCH(Data_NFI_t[[#This Row],[Camp Name]],Camp_List[Camp Name],0)-1,0,1,1),"")</f>
        <v>Returned</v>
      </c>
      <c r="AO185" s="131"/>
    </row>
    <row r="186" spans="1:41" s="90" customFormat="1" ht="19.5" customHeight="1" x14ac:dyDescent="0.25">
      <c r="A186" s="242">
        <f t="shared" si="4"/>
        <v>42.6</v>
      </c>
      <c r="B186" s="242">
        <f>YEAR(Data_NFI_t[[#This Row],[Distribution Date]])</f>
        <v>2013</v>
      </c>
      <c r="C186" s="913">
        <v>41578</v>
      </c>
      <c r="D186" s="489" t="s">
        <v>285</v>
      </c>
      <c r="E186" s="488" t="s">
        <v>285</v>
      </c>
      <c r="F186" s="489" t="s">
        <v>7</v>
      </c>
      <c r="G186" s="790" t="s">
        <v>15</v>
      </c>
      <c r="H186" s="790" t="s">
        <v>51</v>
      </c>
      <c r="I186" s="790">
        <v>280</v>
      </c>
      <c r="J186" s="51"/>
      <c r="K186" s="51"/>
      <c r="L186" s="51"/>
      <c r="M186" s="51"/>
      <c r="N186" s="51"/>
      <c r="O186" s="51"/>
      <c r="P186" s="51"/>
      <c r="Q186" s="51"/>
      <c r="R186" s="511"/>
      <c r="S186" s="51"/>
      <c r="T186" s="51"/>
      <c r="U186" s="51"/>
      <c r="V186" s="51"/>
      <c r="W186" s="51"/>
      <c r="X186" s="131">
        <f>IF(NFI_Expiration=1,IF($A186&lt;VLOOKUP(I$5,NFI,5,0),1,0)*Data_NFI_t[[#This Row],[Hygiene Kit]],0)</f>
        <v>0</v>
      </c>
      <c r="Y186" s="131">
        <f>IF(NFI_Expiration=1,IF($A186&lt;VLOOKUP(J$5,NFI,5,0),1,0)*Data_NFI_t[[#This Row],[NFI Core Kit]],0)</f>
        <v>0</v>
      </c>
      <c r="Z186" s="112">
        <f>IF(NFI_Expiration=1,IF($A186&lt;VLOOKUP(K$5,NFI,5,0),1,0)*Data_NFI_t[[#This Row],[Sanitary Kit]],0)</f>
        <v>0</v>
      </c>
      <c r="AA186" s="112">
        <f>IF(NFI_Expiration=1,IF($A186&lt;VLOOKUP(L$5,NFI,5,0),1,0)*Data_NFI_t[[#This Row],[Mosquito net]],0)</f>
        <v>0</v>
      </c>
      <c r="AB186" s="112">
        <f>IF(NFI_Expiration=1,IF($A186&lt;VLOOKUP(M$5,NFI,5,0),1,0)*Data_NFI_t[[#This Row],[Tarpaulin]],0)</f>
        <v>0</v>
      </c>
      <c r="AC186" s="112">
        <f>IF(NFI_Expiration=1,IF($A186&lt;VLOOKUP(N$5,NFI,5,0),1,0)*Data_NFI_t[[#This Row],[Blanket]],0)</f>
        <v>0</v>
      </c>
      <c r="AD186" s="112">
        <f>IF(NFI_Expiration=1,IF($A186&lt;VLOOKUP(O$5,NFI,5,0),1,0)*Data_NFI_t[[#This Row],[Kitchen Set]],0)</f>
        <v>0</v>
      </c>
      <c r="AE186" s="112">
        <f>IF(NFI_Expiration=1,IF($A186&lt;VLOOKUP(P$5,NFI,5,0),1,0)*Data_NFI_t[[#This Row],[Complementary Kit]],0)</f>
        <v>0</v>
      </c>
      <c r="AF186" s="112">
        <f>IF(NFI_Expiration=1,IF($A186&lt;VLOOKUP(Q$5,NFI,5,0),1,0)*Data_NFI_t[[#This Row],[Plastic Bucket]],0)</f>
        <v>0</v>
      </c>
      <c r="AG186" s="112">
        <f>IF(NFI_Expiration=1,IF($A186&lt;VLOOKUP(R$5,NFI,5,0),1,0)*Data_NFI_t[[#This Row],[Jerry Can]],0)</f>
        <v>0</v>
      </c>
      <c r="AH186" s="131">
        <f>IF(NFI_Expiration=1,IF($A186&lt;VLOOKUP(S$5,NFI,5,0),1,0)*Data_NFI_t[[#This Row],[Plastic Mat]],0)*IF(Data_NFI_t[[#This Row],[Distribution Date]]&gt;"01-06-2015",1,2.5)</f>
        <v>0</v>
      </c>
      <c r="AI186" s="901">
        <f>IF(NFI_Expiration=1,IF($A186&lt;VLOOKUP(T$5,NFI,5,0),1,0)*Data_NFI_t[[#This Row],[Adult Clothes]],0)</f>
        <v>0</v>
      </c>
      <c r="AJ186" s="131">
        <f>IF(NFI_Expiration=1,IF($A186&lt;VLOOKUP(U$5,NFI,5,0),1,0)*Data_NFI_t[[#This Row],[Children Clothes]],0)</f>
        <v>0</v>
      </c>
      <c r="AK186" s="131">
        <f>IF(NFI_Expiration=1,IF($A186&lt;VLOOKUP(V$5,NFI,5,0),1,0)*Data_NFI_t[[#This Row],[Sewing Kit]],0)</f>
        <v>0</v>
      </c>
      <c r="AL186" s="901">
        <f>IF(NFI_Expiration=1,IF($A186&lt;VLOOKUP(V$5,NFI,5,0),1,0)*Data_NFI_t[[#This Row],[Solar Lantern]],0)</f>
        <v>0</v>
      </c>
      <c r="AM186" s="131" t="str">
        <f ca="1">IFERROR(OFFSET(Camp_List[P_Code],MATCH(Data_NFI_t[[#This Row],[Camp Name]],Camp_List[Camp Name],0)-1,0,1,1),"")</f>
        <v>MMR012CMP027</v>
      </c>
      <c r="AN186" s="513" t="str">
        <f ca="1">IFERROR(OFFSET(Camp_List[Status],MATCH(Data_NFI_t[[#This Row],[Camp Name]],Camp_List[Camp Name],0)-1,0,1,1),"")</f>
        <v>Returned</v>
      </c>
      <c r="AO186" s="131"/>
    </row>
    <row r="187" spans="1:41" s="90" customFormat="1" ht="19.5" customHeight="1" x14ac:dyDescent="0.25">
      <c r="A187" s="242">
        <f t="shared" si="4"/>
        <v>42.6</v>
      </c>
      <c r="B187" s="242">
        <f>YEAR(Data_NFI_t[[#This Row],[Distribution Date]])</f>
        <v>2013</v>
      </c>
      <c r="C187" s="913">
        <v>41578</v>
      </c>
      <c r="D187" s="489" t="s">
        <v>285</v>
      </c>
      <c r="E187" s="488" t="s">
        <v>285</v>
      </c>
      <c r="F187" s="489" t="s">
        <v>7</v>
      </c>
      <c r="G187" s="790" t="s">
        <v>15</v>
      </c>
      <c r="H187" s="790" t="s">
        <v>50</v>
      </c>
      <c r="I187" s="790">
        <v>380</v>
      </c>
      <c r="J187" s="51"/>
      <c r="K187" s="51"/>
      <c r="L187" s="51"/>
      <c r="M187" s="51"/>
      <c r="N187" s="51"/>
      <c r="O187" s="51"/>
      <c r="P187" s="51"/>
      <c r="Q187" s="51"/>
      <c r="R187" s="511"/>
      <c r="S187" s="51"/>
      <c r="T187" s="51"/>
      <c r="U187" s="51"/>
      <c r="V187" s="51"/>
      <c r="W187" s="51"/>
      <c r="X187" s="131">
        <f>IF(NFI_Expiration=1,IF($A187&lt;VLOOKUP(I$5,NFI,5,0),1,0)*Data_NFI_t[[#This Row],[Hygiene Kit]],0)</f>
        <v>0</v>
      </c>
      <c r="Y187" s="131">
        <f>IF(NFI_Expiration=1,IF($A187&lt;VLOOKUP(J$5,NFI,5,0),1,0)*Data_NFI_t[[#This Row],[NFI Core Kit]],0)</f>
        <v>0</v>
      </c>
      <c r="Z187" s="112">
        <f>IF(NFI_Expiration=1,IF($A187&lt;VLOOKUP(K$5,NFI,5,0),1,0)*Data_NFI_t[[#This Row],[Sanitary Kit]],0)</f>
        <v>0</v>
      </c>
      <c r="AA187" s="112">
        <f>IF(NFI_Expiration=1,IF($A187&lt;VLOOKUP(L$5,NFI,5,0),1,0)*Data_NFI_t[[#This Row],[Mosquito net]],0)</f>
        <v>0</v>
      </c>
      <c r="AB187" s="112">
        <f>IF(NFI_Expiration=1,IF($A187&lt;VLOOKUP(M$5,NFI,5,0),1,0)*Data_NFI_t[[#This Row],[Tarpaulin]],0)</f>
        <v>0</v>
      </c>
      <c r="AC187" s="112">
        <f>IF(NFI_Expiration=1,IF($A187&lt;VLOOKUP(N$5,NFI,5,0),1,0)*Data_NFI_t[[#This Row],[Blanket]],0)</f>
        <v>0</v>
      </c>
      <c r="AD187" s="112">
        <f>IF(NFI_Expiration=1,IF($A187&lt;VLOOKUP(O$5,NFI,5,0),1,0)*Data_NFI_t[[#This Row],[Kitchen Set]],0)</f>
        <v>0</v>
      </c>
      <c r="AE187" s="112">
        <f>IF(NFI_Expiration=1,IF($A187&lt;VLOOKUP(P$5,NFI,5,0),1,0)*Data_NFI_t[[#This Row],[Complementary Kit]],0)</f>
        <v>0</v>
      </c>
      <c r="AF187" s="112">
        <f>IF(NFI_Expiration=1,IF($A187&lt;VLOOKUP(Q$5,NFI,5,0),1,0)*Data_NFI_t[[#This Row],[Plastic Bucket]],0)</f>
        <v>0</v>
      </c>
      <c r="AG187" s="112">
        <f>IF(NFI_Expiration=1,IF($A187&lt;VLOOKUP(R$5,NFI,5,0),1,0)*Data_NFI_t[[#This Row],[Jerry Can]],0)</f>
        <v>0</v>
      </c>
      <c r="AH187" s="131">
        <f>IF(NFI_Expiration=1,IF($A187&lt;VLOOKUP(S$5,NFI,5,0),1,0)*Data_NFI_t[[#This Row],[Plastic Mat]],0)*IF(Data_NFI_t[[#This Row],[Distribution Date]]&gt;"01-06-2015",1,2.5)</f>
        <v>0</v>
      </c>
      <c r="AI187" s="901">
        <f>IF(NFI_Expiration=1,IF($A187&lt;VLOOKUP(T$5,NFI,5,0),1,0)*Data_NFI_t[[#This Row],[Adult Clothes]],0)</f>
        <v>0</v>
      </c>
      <c r="AJ187" s="131">
        <f>IF(NFI_Expiration=1,IF($A187&lt;VLOOKUP(U$5,NFI,5,0),1,0)*Data_NFI_t[[#This Row],[Children Clothes]],0)</f>
        <v>0</v>
      </c>
      <c r="AK187" s="131">
        <f>IF(NFI_Expiration=1,IF($A187&lt;VLOOKUP(V$5,NFI,5,0),1,0)*Data_NFI_t[[#This Row],[Sewing Kit]],0)</f>
        <v>0</v>
      </c>
      <c r="AL187" s="901">
        <f>IF(NFI_Expiration=1,IF($A187&lt;VLOOKUP(V$5,NFI,5,0),1,0)*Data_NFI_t[[#This Row],[Solar Lantern]],0)</f>
        <v>0</v>
      </c>
      <c r="AM187" s="131" t="str">
        <f ca="1">IFERROR(OFFSET(Camp_List[P_Code],MATCH(Data_NFI_t[[#This Row],[Camp Name]],Camp_List[Camp Name],0)-1,0,1,1),"")</f>
        <v>MMR012CMP026</v>
      </c>
      <c r="AN187" s="513" t="str">
        <f ca="1">IFERROR(OFFSET(Camp_List[Status],MATCH(Data_NFI_t[[#This Row],[Camp Name]],Camp_List[Camp Name],0)-1,0,1,1),"")</f>
        <v>Returned</v>
      </c>
      <c r="AO187" s="131"/>
    </row>
    <row r="188" spans="1:41" s="90" customFormat="1" ht="19.5" customHeight="1" x14ac:dyDescent="0.25">
      <c r="A188" s="242">
        <f t="shared" si="4"/>
        <v>42.7</v>
      </c>
      <c r="B188" s="242">
        <f>YEAR(Data_NFI_t[[#This Row],[Distribution Date]])</f>
        <v>2013</v>
      </c>
      <c r="C188" s="913">
        <v>41575</v>
      </c>
      <c r="D188" s="489" t="s">
        <v>285</v>
      </c>
      <c r="E188" s="488" t="s">
        <v>285</v>
      </c>
      <c r="F188" s="489" t="s">
        <v>7</v>
      </c>
      <c r="G188" s="790" t="s">
        <v>15</v>
      </c>
      <c r="H188" s="790" t="s">
        <v>48</v>
      </c>
      <c r="I188" s="790">
        <v>230</v>
      </c>
      <c r="J188" s="51"/>
      <c r="K188" s="51"/>
      <c r="L188" s="51"/>
      <c r="M188" s="51"/>
      <c r="N188" s="51"/>
      <c r="O188" s="51"/>
      <c r="P188" s="51"/>
      <c r="Q188" s="51"/>
      <c r="R188" s="511"/>
      <c r="S188" s="51"/>
      <c r="T188" s="51"/>
      <c r="U188" s="51"/>
      <c r="V188" s="51"/>
      <c r="W188" s="51"/>
      <c r="X188" s="131">
        <f>IF(NFI_Expiration=1,IF($A188&lt;VLOOKUP(I$5,NFI,5,0),1,0)*Data_NFI_t[[#This Row],[Hygiene Kit]],0)</f>
        <v>0</v>
      </c>
      <c r="Y188" s="131">
        <f>IF(NFI_Expiration=1,IF($A188&lt;VLOOKUP(J$5,NFI,5,0),1,0)*Data_NFI_t[[#This Row],[NFI Core Kit]],0)</f>
        <v>0</v>
      </c>
      <c r="Z188" s="112">
        <f>IF(NFI_Expiration=1,IF($A188&lt;VLOOKUP(K$5,NFI,5,0),1,0)*Data_NFI_t[[#This Row],[Sanitary Kit]],0)</f>
        <v>0</v>
      </c>
      <c r="AA188" s="112">
        <f>IF(NFI_Expiration=1,IF($A188&lt;VLOOKUP(L$5,NFI,5,0),1,0)*Data_NFI_t[[#This Row],[Mosquito net]],0)</f>
        <v>0</v>
      </c>
      <c r="AB188" s="112">
        <f>IF(NFI_Expiration=1,IF($A188&lt;VLOOKUP(M$5,NFI,5,0),1,0)*Data_NFI_t[[#This Row],[Tarpaulin]],0)</f>
        <v>0</v>
      </c>
      <c r="AC188" s="112">
        <f>IF(NFI_Expiration=1,IF($A188&lt;VLOOKUP(N$5,NFI,5,0),1,0)*Data_NFI_t[[#This Row],[Blanket]],0)</f>
        <v>0</v>
      </c>
      <c r="AD188" s="112">
        <f>IF(NFI_Expiration=1,IF($A188&lt;VLOOKUP(O$5,NFI,5,0),1,0)*Data_NFI_t[[#This Row],[Kitchen Set]],0)</f>
        <v>0</v>
      </c>
      <c r="AE188" s="112">
        <f>IF(NFI_Expiration=1,IF($A188&lt;VLOOKUP(P$5,NFI,5,0),1,0)*Data_NFI_t[[#This Row],[Complementary Kit]],0)</f>
        <v>0</v>
      </c>
      <c r="AF188" s="112">
        <f>IF(NFI_Expiration=1,IF($A188&lt;VLOOKUP(Q$5,NFI,5,0),1,0)*Data_NFI_t[[#This Row],[Plastic Bucket]],0)</f>
        <v>0</v>
      </c>
      <c r="AG188" s="112">
        <f>IF(NFI_Expiration=1,IF($A188&lt;VLOOKUP(R$5,NFI,5,0),1,0)*Data_NFI_t[[#This Row],[Jerry Can]],0)</f>
        <v>0</v>
      </c>
      <c r="AH188" s="131">
        <f>IF(NFI_Expiration=1,IF($A188&lt;VLOOKUP(S$5,NFI,5,0),1,0)*Data_NFI_t[[#This Row],[Plastic Mat]],0)*IF(Data_NFI_t[[#This Row],[Distribution Date]]&gt;"01-06-2015",1,2.5)</f>
        <v>0</v>
      </c>
      <c r="AI188" s="901">
        <f>IF(NFI_Expiration=1,IF($A188&lt;VLOOKUP(T$5,NFI,5,0),1,0)*Data_NFI_t[[#This Row],[Adult Clothes]],0)</f>
        <v>0</v>
      </c>
      <c r="AJ188" s="131">
        <f>IF(NFI_Expiration=1,IF($A188&lt;VLOOKUP(U$5,NFI,5,0),1,0)*Data_NFI_t[[#This Row],[Children Clothes]],0)</f>
        <v>0</v>
      </c>
      <c r="AK188" s="131">
        <f>IF(NFI_Expiration=1,IF($A188&lt;VLOOKUP(V$5,NFI,5,0),1,0)*Data_NFI_t[[#This Row],[Sewing Kit]],0)</f>
        <v>0</v>
      </c>
      <c r="AL188" s="901">
        <f>IF(NFI_Expiration=1,IF($A188&lt;VLOOKUP(V$5,NFI,5,0),1,0)*Data_NFI_t[[#This Row],[Solar Lantern]],0)</f>
        <v>0</v>
      </c>
      <c r="AM188" s="131" t="str">
        <f ca="1">IFERROR(OFFSET(Camp_List[P_Code],MATCH(Data_NFI_t[[#This Row],[Camp Name]],Camp_List[Camp Name],0)-1,0,1,1),"")</f>
        <v>MMR012CMP024</v>
      </c>
      <c r="AN188" s="513" t="str">
        <f ca="1">IFERROR(OFFSET(Camp_List[Status],MATCH(Data_NFI_t[[#This Row],[Camp Name]],Camp_List[Camp Name],0)-1,0,1,1),"")</f>
        <v>Returned</v>
      </c>
      <c r="AO188" s="131"/>
    </row>
    <row r="189" spans="1:41" s="90" customFormat="1" ht="19.5" customHeight="1" x14ac:dyDescent="0.25">
      <c r="A189" s="242">
        <f t="shared" si="4"/>
        <v>42.7</v>
      </c>
      <c r="B189" s="242">
        <f>YEAR(Data_NFI_t[[#This Row],[Distribution Date]])</f>
        <v>2013</v>
      </c>
      <c r="C189" s="913">
        <v>41575</v>
      </c>
      <c r="D189" s="489" t="s">
        <v>285</v>
      </c>
      <c r="E189" s="488" t="s">
        <v>285</v>
      </c>
      <c r="F189" s="489" t="s">
        <v>7</v>
      </c>
      <c r="G189" s="790" t="s">
        <v>15</v>
      </c>
      <c r="H189" s="790" t="s">
        <v>52</v>
      </c>
      <c r="I189" s="790">
        <v>300</v>
      </c>
      <c r="J189" s="51"/>
      <c r="K189" s="51"/>
      <c r="L189" s="51"/>
      <c r="M189" s="51"/>
      <c r="N189" s="51"/>
      <c r="O189" s="51"/>
      <c r="P189" s="51"/>
      <c r="Q189" s="51"/>
      <c r="R189" s="511"/>
      <c r="S189" s="51"/>
      <c r="T189" s="51"/>
      <c r="U189" s="51"/>
      <c r="V189" s="51"/>
      <c r="W189" s="51"/>
      <c r="X189" s="131">
        <f>IF(NFI_Expiration=1,IF($A189&lt;VLOOKUP(I$5,NFI,5,0),1,0)*Data_NFI_t[[#This Row],[Hygiene Kit]],0)</f>
        <v>0</v>
      </c>
      <c r="Y189" s="131">
        <f>IF(NFI_Expiration=1,IF($A189&lt;VLOOKUP(J$5,NFI,5,0),1,0)*Data_NFI_t[[#This Row],[NFI Core Kit]],0)</f>
        <v>0</v>
      </c>
      <c r="Z189" s="112">
        <f>IF(NFI_Expiration=1,IF($A189&lt;VLOOKUP(K$5,NFI,5,0),1,0)*Data_NFI_t[[#This Row],[Sanitary Kit]],0)</f>
        <v>0</v>
      </c>
      <c r="AA189" s="112">
        <f>IF(NFI_Expiration=1,IF($A189&lt;VLOOKUP(L$5,NFI,5,0),1,0)*Data_NFI_t[[#This Row],[Mosquito net]],0)</f>
        <v>0</v>
      </c>
      <c r="AB189" s="112">
        <f>IF(NFI_Expiration=1,IF($A189&lt;VLOOKUP(M$5,NFI,5,0),1,0)*Data_NFI_t[[#This Row],[Tarpaulin]],0)</f>
        <v>0</v>
      </c>
      <c r="AC189" s="112">
        <f>IF(NFI_Expiration=1,IF($A189&lt;VLOOKUP(N$5,NFI,5,0),1,0)*Data_NFI_t[[#This Row],[Blanket]],0)</f>
        <v>0</v>
      </c>
      <c r="AD189" s="112">
        <f>IF(NFI_Expiration=1,IF($A189&lt;VLOOKUP(O$5,NFI,5,0),1,0)*Data_NFI_t[[#This Row],[Kitchen Set]],0)</f>
        <v>0</v>
      </c>
      <c r="AE189" s="112">
        <f>IF(NFI_Expiration=1,IF($A189&lt;VLOOKUP(P$5,NFI,5,0),1,0)*Data_NFI_t[[#This Row],[Complementary Kit]],0)</f>
        <v>0</v>
      </c>
      <c r="AF189" s="112">
        <f>IF(NFI_Expiration=1,IF($A189&lt;VLOOKUP(Q$5,NFI,5,0),1,0)*Data_NFI_t[[#This Row],[Plastic Bucket]],0)</f>
        <v>0</v>
      </c>
      <c r="AG189" s="112">
        <f>IF(NFI_Expiration=1,IF($A189&lt;VLOOKUP(R$5,NFI,5,0),1,0)*Data_NFI_t[[#This Row],[Jerry Can]],0)</f>
        <v>0</v>
      </c>
      <c r="AH189" s="131">
        <f>IF(NFI_Expiration=1,IF($A189&lt;VLOOKUP(S$5,NFI,5,0),1,0)*Data_NFI_t[[#This Row],[Plastic Mat]],0)*IF(Data_NFI_t[[#This Row],[Distribution Date]]&gt;"01-06-2015",1,2.5)</f>
        <v>0</v>
      </c>
      <c r="AI189" s="901">
        <f>IF(NFI_Expiration=1,IF($A189&lt;VLOOKUP(T$5,NFI,5,0),1,0)*Data_NFI_t[[#This Row],[Adult Clothes]],0)</f>
        <v>0</v>
      </c>
      <c r="AJ189" s="131">
        <f>IF(NFI_Expiration=1,IF($A189&lt;VLOOKUP(U$5,NFI,5,0),1,0)*Data_NFI_t[[#This Row],[Children Clothes]],0)</f>
        <v>0</v>
      </c>
      <c r="AK189" s="131">
        <f>IF(NFI_Expiration=1,IF($A189&lt;VLOOKUP(V$5,NFI,5,0),1,0)*Data_NFI_t[[#This Row],[Sewing Kit]],0)</f>
        <v>0</v>
      </c>
      <c r="AL189" s="901">
        <f>IF(NFI_Expiration=1,IF($A189&lt;VLOOKUP(V$5,NFI,5,0),1,0)*Data_NFI_t[[#This Row],[Solar Lantern]],0)</f>
        <v>0</v>
      </c>
      <c r="AM189" s="131" t="str">
        <f ca="1">IFERROR(OFFSET(Camp_List[P_Code],MATCH(Data_NFI_t[[#This Row],[Camp Name]],Camp_List[Camp Name],0)-1,0,1,1),"")</f>
        <v>MMR012CMP028</v>
      </c>
      <c r="AN189" s="513" t="str">
        <f ca="1">IFERROR(OFFSET(Camp_List[Status],MATCH(Data_NFI_t[[#This Row],[Camp Name]],Camp_List[Camp Name],0)-1,0,1,1),"")</f>
        <v>Returned</v>
      </c>
      <c r="AO189" s="131"/>
    </row>
    <row r="190" spans="1:41" s="90" customFormat="1" ht="19.5" customHeight="1" x14ac:dyDescent="0.25">
      <c r="A190" s="242">
        <f t="shared" si="4"/>
        <v>42.9</v>
      </c>
      <c r="B190" s="242">
        <f>YEAR(Data_NFI_t[[#This Row],[Distribution Date]])</f>
        <v>2013</v>
      </c>
      <c r="C190" s="913">
        <v>41569</v>
      </c>
      <c r="D190" s="489" t="s">
        <v>285</v>
      </c>
      <c r="E190" s="488" t="s">
        <v>285</v>
      </c>
      <c r="F190" s="489" t="s">
        <v>7</v>
      </c>
      <c r="G190" s="790" t="s">
        <v>19</v>
      </c>
      <c r="H190" s="790" t="s">
        <v>78</v>
      </c>
      <c r="I190" s="790"/>
      <c r="J190" s="51"/>
      <c r="K190" s="51"/>
      <c r="L190" s="51"/>
      <c r="M190" s="51"/>
      <c r="N190" s="51"/>
      <c r="O190" s="51"/>
      <c r="P190" s="51">
        <v>250</v>
      </c>
      <c r="Q190" s="51"/>
      <c r="R190" s="511"/>
      <c r="S190" s="51"/>
      <c r="T190" s="51"/>
      <c r="U190" s="51"/>
      <c r="V190" s="51"/>
      <c r="W190" s="51"/>
      <c r="X190" s="131">
        <f>IF(NFI_Expiration=1,IF($A190&lt;VLOOKUP(I$5,NFI,5,0),1,0)*Data_NFI_t[[#This Row],[Hygiene Kit]],0)</f>
        <v>0</v>
      </c>
      <c r="Y190" s="131">
        <f>IF(NFI_Expiration=1,IF($A190&lt;VLOOKUP(J$5,NFI,5,0),1,0)*Data_NFI_t[[#This Row],[NFI Core Kit]],0)</f>
        <v>0</v>
      </c>
      <c r="Z190" s="112">
        <f>IF(NFI_Expiration=1,IF($A190&lt;VLOOKUP(K$5,NFI,5,0),1,0)*Data_NFI_t[[#This Row],[Sanitary Kit]],0)</f>
        <v>0</v>
      </c>
      <c r="AA190" s="112">
        <f>IF(NFI_Expiration=1,IF($A190&lt;VLOOKUP(L$5,NFI,5,0),1,0)*Data_NFI_t[[#This Row],[Mosquito net]],0)</f>
        <v>0</v>
      </c>
      <c r="AB190" s="112">
        <f>IF(NFI_Expiration=1,IF($A190&lt;VLOOKUP(M$5,NFI,5,0),1,0)*Data_NFI_t[[#This Row],[Tarpaulin]],0)</f>
        <v>0</v>
      </c>
      <c r="AC190" s="112">
        <f>IF(NFI_Expiration=1,IF($A190&lt;VLOOKUP(N$5,NFI,5,0),1,0)*Data_NFI_t[[#This Row],[Blanket]],0)</f>
        <v>0</v>
      </c>
      <c r="AD190" s="112">
        <f>IF(NFI_Expiration=1,IF($A190&lt;VLOOKUP(O$5,NFI,5,0),1,0)*Data_NFI_t[[#This Row],[Kitchen Set]],0)</f>
        <v>0</v>
      </c>
      <c r="AE190" s="112">
        <f>IF(NFI_Expiration=1,IF($A190&lt;VLOOKUP(P$5,NFI,5,0),1,0)*Data_NFI_t[[#This Row],[Complementary Kit]],0)</f>
        <v>0</v>
      </c>
      <c r="AF190" s="112">
        <f>IF(NFI_Expiration=1,IF($A190&lt;VLOOKUP(Q$5,NFI,5,0),1,0)*Data_NFI_t[[#This Row],[Plastic Bucket]],0)</f>
        <v>0</v>
      </c>
      <c r="AG190" s="112">
        <f>IF(NFI_Expiration=1,IF($A190&lt;VLOOKUP(R$5,NFI,5,0),1,0)*Data_NFI_t[[#This Row],[Jerry Can]],0)</f>
        <v>0</v>
      </c>
      <c r="AH190" s="131">
        <f>IF(NFI_Expiration=1,IF($A190&lt;VLOOKUP(S$5,NFI,5,0),1,0)*Data_NFI_t[[#This Row],[Plastic Mat]],0)*IF(Data_NFI_t[[#This Row],[Distribution Date]]&gt;"01-06-2015",1,2.5)</f>
        <v>0</v>
      </c>
      <c r="AI190" s="901">
        <f>IF(NFI_Expiration=1,IF($A190&lt;VLOOKUP(T$5,NFI,5,0),1,0)*Data_NFI_t[[#This Row],[Adult Clothes]],0)</f>
        <v>0</v>
      </c>
      <c r="AJ190" s="131">
        <f>IF(NFI_Expiration=1,IF($A190&lt;VLOOKUP(U$5,NFI,5,0),1,0)*Data_NFI_t[[#This Row],[Children Clothes]],0)</f>
        <v>0</v>
      </c>
      <c r="AK190" s="131">
        <f>IF(NFI_Expiration=1,IF($A190&lt;VLOOKUP(V$5,NFI,5,0),1,0)*Data_NFI_t[[#This Row],[Sewing Kit]],0)</f>
        <v>0</v>
      </c>
      <c r="AL190" s="901">
        <f>IF(NFI_Expiration=1,IF($A190&lt;VLOOKUP(V$5,NFI,5,0),1,0)*Data_NFI_t[[#This Row],[Solar Lantern]],0)</f>
        <v>0</v>
      </c>
      <c r="AM190" s="131" t="str">
        <f ca="1">IFERROR(OFFSET(Camp_List[P_Code],MATCH(Data_NFI_t[[#This Row],[Camp Name]],Camp_List[Camp Name],0)-1,0,1,1),"")</f>
        <v>MMR012CMP056</v>
      </c>
      <c r="AN190" s="513" t="str">
        <f ca="1">IFERROR(OFFSET(Camp_List[Status],MATCH(Data_NFI_t[[#This Row],[Camp Name]],Camp_List[Camp Name],0)-1,0,1,1),"")</f>
        <v>Relocated</v>
      </c>
      <c r="AO190" s="131"/>
    </row>
    <row r="191" spans="1:41" s="90" customFormat="1" ht="19.5" customHeight="1" x14ac:dyDescent="0.25">
      <c r="A191" s="242">
        <f t="shared" si="4"/>
        <v>43.033333333333331</v>
      </c>
      <c r="B191" s="242">
        <f>YEAR(Data_NFI_t[[#This Row],[Distribution Date]])</f>
        <v>2013</v>
      </c>
      <c r="C191" s="913">
        <v>41565</v>
      </c>
      <c r="D191" s="489" t="s">
        <v>623</v>
      </c>
      <c r="E191" s="488" t="s">
        <v>623</v>
      </c>
      <c r="F191" s="489" t="s">
        <v>7</v>
      </c>
      <c r="G191" s="790" t="s">
        <v>19</v>
      </c>
      <c r="H191" s="790" t="s">
        <v>635</v>
      </c>
      <c r="I191" s="790"/>
      <c r="J191" s="51">
        <v>948</v>
      </c>
      <c r="K191" s="51"/>
      <c r="L191" s="51"/>
      <c r="M191" s="51"/>
      <c r="N191" s="51"/>
      <c r="O191" s="51"/>
      <c r="P191" s="51"/>
      <c r="Q191" s="51"/>
      <c r="R191" s="511"/>
      <c r="S191" s="51"/>
      <c r="T191" s="51"/>
      <c r="U191" s="51"/>
      <c r="V191" s="51"/>
      <c r="W191" s="51"/>
      <c r="X191" s="131">
        <f>IF(NFI_Expiration=1,IF($A191&lt;VLOOKUP(I$5,NFI,5,0),1,0)*Data_NFI_t[[#This Row],[Hygiene Kit]],0)</f>
        <v>0</v>
      </c>
      <c r="Y191" s="131">
        <f>IF(NFI_Expiration=1,IF($A191&lt;VLOOKUP(J$5,NFI,5,0),1,0)*Data_NFI_t[[#This Row],[NFI Core Kit]],0)</f>
        <v>0</v>
      </c>
      <c r="Z191" s="112">
        <f>IF(NFI_Expiration=1,IF($A191&lt;VLOOKUP(K$5,NFI,5,0),1,0)*Data_NFI_t[[#This Row],[Sanitary Kit]],0)</f>
        <v>0</v>
      </c>
      <c r="AA191" s="112">
        <f>IF(NFI_Expiration=1,IF($A191&lt;VLOOKUP(L$5,NFI,5,0),1,0)*Data_NFI_t[[#This Row],[Mosquito net]],0)</f>
        <v>0</v>
      </c>
      <c r="AB191" s="112">
        <f>IF(NFI_Expiration=1,IF($A191&lt;VLOOKUP(M$5,NFI,5,0),1,0)*Data_NFI_t[[#This Row],[Tarpaulin]],0)</f>
        <v>0</v>
      </c>
      <c r="AC191" s="112">
        <f>IF(NFI_Expiration=1,IF($A191&lt;VLOOKUP(N$5,NFI,5,0),1,0)*Data_NFI_t[[#This Row],[Blanket]],0)</f>
        <v>0</v>
      </c>
      <c r="AD191" s="112">
        <f>IF(NFI_Expiration=1,IF($A191&lt;VLOOKUP(O$5,NFI,5,0),1,0)*Data_NFI_t[[#This Row],[Kitchen Set]],0)</f>
        <v>0</v>
      </c>
      <c r="AE191" s="112">
        <f>IF(NFI_Expiration=1,IF($A191&lt;VLOOKUP(P$5,NFI,5,0),1,0)*Data_NFI_t[[#This Row],[Complementary Kit]],0)</f>
        <v>0</v>
      </c>
      <c r="AF191" s="112">
        <f>IF(NFI_Expiration=1,IF($A191&lt;VLOOKUP(Q$5,NFI,5,0),1,0)*Data_NFI_t[[#This Row],[Plastic Bucket]],0)</f>
        <v>0</v>
      </c>
      <c r="AG191" s="112">
        <f>IF(NFI_Expiration=1,IF($A191&lt;VLOOKUP(R$5,NFI,5,0),1,0)*Data_NFI_t[[#This Row],[Jerry Can]],0)</f>
        <v>0</v>
      </c>
      <c r="AH191" s="131">
        <f>IF(NFI_Expiration=1,IF($A191&lt;VLOOKUP(S$5,NFI,5,0),1,0)*Data_NFI_t[[#This Row],[Plastic Mat]],0)*IF(Data_NFI_t[[#This Row],[Distribution Date]]&gt;"01-06-2015",1,2.5)</f>
        <v>0</v>
      </c>
      <c r="AI191" s="901">
        <f>IF(NFI_Expiration=1,IF($A191&lt;VLOOKUP(T$5,NFI,5,0),1,0)*Data_NFI_t[[#This Row],[Adult Clothes]],0)</f>
        <v>0</v>
      </c>
      <c r="AJ191" s="131">
        <f>IF(NFI_Expiration=1,IF($A191&lt;VLOOKUP(U$5,NFI,5,0),1,0)*Data_NFI_t[[#This Row],[Children Clothes]],0)</f>
        <v>0</v>
      </c>
      <c r="AK191" s="131">
        <f>IF(NFI_Expiration=1,IF($A191&lt;VLOOKUP(V$5,NFI,5,0),1,0)*Data_NFI_t[[#This Row],[Sewing Kit]],0)</f>
        <v>0</v>
      </c>
      <c r="AL191" s="901">
        <f>IF(NFI_Expiration=1,IF($A191&lt;VLOOKUP(V$5,NFI,5,0),1,0)*Data_NFI_t[[#This Row],[Solar Lantern]],0)</f>
        <v>0</v>
      </c>
      <c r="AM191" s="131" t="str">
        <f ca="1">IFERROR(OFFSET(Camp_List[P_Code],MATCH(Data_NFI_t[[#This Row],[Camp Name]],Camp_List[Camp Name],0)-1,0,1,1),"")</f>
        <v>MMR012CMP116</v>
      </c>
      <c r="AN191" s="513" t="str">
        <f ca="1">IFERROR(OFFSET(Camp_List[Status],MATCH(Data_NFI_t[[#This Row],[Camp Name]],Camp_List[Camp Name],0)-1,0,1,1),"")</f>
        <v>Open</v>
      </c>
      <c r="AO191" s="131"/>
    </row>
    <row r="192" spans="1:41" s="90" customFormat="1" ht="19.5" customHeight="1" x14ac:dyDescent="0.25">
      <c r="A192" s="242">
        <f t="shared" si="4"/>
        <v>43.06666666666667</v>
      </c>
      <c r="B192" s="242">
        <f>YEAR(Data_NFI_t[[#This Row],[Distribution Date]])</f>
        <v>2013</v>
      </c>
      <c r="C192" s="913">
        <v>41564</v>
      </c>
      <c r="D192" s="489" t="s">
        <v>285</v>
      </c>
      <c r="E192" s="488" t="s">
        <v>285</v>
      </c>
      <c r="F192" s="489" t="s">
        <v>7</v>
      </c>
      <c r="G192" s="790" t="s">
        <v>19</v>
      </c>
      <c r="H192" s="790" t="s">
        <v>638</v>
      </c>
      <c r="I192" s="790"/>
      <c r="J192" s="51"/>
      <c r="K192" s="51"/>
      <c r="L192" s="51"/>
      <c r="M192" s="51"/>
      <c r="N192" s="51"/>
      <c r="O192" s="51"/>
      <c r="P192" s="51">
        <v>631</v>
      </c>
      <c r="Q192" s="51"/>
      <c r="R192" s="511"/>
      <c r="S192" s="51"/>
      <c r="T192" s="51"/>
      <c r="U192" s="51"/>
      <c r="V192" s="51"/>
      <c r="W192" s="51"/>
      <c r="X192" s="131">
        <f>IF(NFI_Expiration=1,IF($A192&lt;VLOOKUP(I$5,NFI,5,0),1,0)*Data_NFI_t[[#This Row],[Hygiene Kit]],0)</f>
        <v>0</v>
      </c>
      <c r="Y192" s="131">
        <f>IF(NFI_Expiration=1,IF($A192&lt;VLOOKUP(J$5,NFI,5,0),1,0)*Data_NFI_t[[#This Row],[NFI Core Kit]],0)</f>
        <v>0</v>
      </c>
      <c r="Z192" s="112">
        <f>IF(NFI_Expiration=1,IF($A192&lt;VLOOKUP(K$5,NFI,5,0),1,0)*Data_NFI_t[[#This Row],[Sanitary Kit]],0)</f>
        <v>0</v>
      </c>
      <c r="AA192" s="112">
        <f>IF(NFI_Expiration=1,IF($A192&lt;VLOOKUP(L$5,NFI,5,0),1,0)*Data_NFI_t[[#This Row],[Mosquito net]],0)</f>
        <v>0</v>
      </c>
      <c r="AB192" s="112">
        <f>IF(NFI_Expiration=1,IF($A192&lt;VLOOKUP(M$5,NFI,5,0),1,0)*Data_NFI_t[[#This Row],[Tarpaulin]],0)</f>
        <v>0</v>
      </c>
      <c r="AC192" s="112">
        <f>IF(NFI_Expiration=1,IF($A192&lt;VLOOKUP(N$5,NFI,5,0),1,0)*Data_NFI_t[[#This Row],[Blanket]],0)</f>
        <v>0</v>
      </c>
      <c r="AD192" s="112">
        <f>IF(NFI_Expiration=1,IF($A192&lt;VLOOKUP(O$5,NFI,5,0),1,0)*Data_NFI_t[[#This Row],[Kitchen Set]],0)</f>
        <v>0</v>
      </c>
      <c r="AE192" s="112">
        <f>IF(NFI_Expiration=1,IF($A192&lt;VLOOKUP(P$5,NFI,5,0),1,0)*Data_NFI_t[[#This Row],[Complementary Kit]],0)</f>
        <v>0</v>
      </c>
      <c r="AF192" s="112">
        <f>IF(NFI_Expiration=1,IF($A192&lt;VLOOKUP(Q$5,NFI,5,0),1,0)*Data_NFI_t[[#This Row],[Plastic Bucket]],0)</f>
        <v>0</v>
      </c>
      <c r="AG192" s="112">
        <f>IF(NFI_Expiration=1,IF($A192&lt;VLOOKUP(R$5,NFI,5,0),1,0)*Data_NFI_t[[#This Row],[Jerry Can]],0)</f>
        <v>0</v>
      </c>
      <c r="AH192" s="131">
        <f>IF(NFI_Expiration=1,IF($A192&lt;VLOOKUP(S$5,NFI,5,0),1,0)*Data_NFI_t[[#This Row],[Plastic Mat]],0)*IF(Data_NFI_t[[#This Row],[Distribution Date]]&gt;"01-06-2015",1,2.5)</f>
        <v>0</v>
      </c>
      <c r="AI192" s="901">
        <f>IF(NFI_Expiration=1,IF($A192&lt;VLOOKUP(T$5,NFI,5,0),1,0)*Data_NFI_t[[#This Row],[Adult Clothes]],0)</f>
        <v>0</v>
      </c>
      <c r="AJ192" s="131">
        <f>IF(NFI_Expiration=1,IF($A192&lt;VLOOKUP(U$5,NFI,5,0),1,0)*Data_NFI_t[[#This Row],[Children Clothes]],0)</f>
        <v>0</v>
      </c>
      <c r="AK192" s="131">
        <f>IF(NFI_Expiration=1,IF($A192&lt;VLOOKUP(V$5,NFI,5,0),1,0)*Data_NFI_t[[#This Row],[Sewing Kit]],0)</f>
        <v>0</v>
      </c>
      <c r="AL192" s="901">
        <f>IF(NFI_Expiration=1,IF($A192&lt;VLOOKUP(V$5,NFI,5,0),1,0)*Data_NFI_t[[#This Row],[Solar Lantern]],0)</f>
        <v>0</v>
      </c>
      <c r="AM192" s="131" t="str">
        <f ca="1">IFERROR(OFFSET(Camp_List[P_Code],MATCH(Data_NFI_t[[#This Row],[Camp Name]],Camp_List[Camp Name],0)-1,0,1,1),"")</f>
        <v>MMR012CMP111</v>
      </c>
      <c r="AN192" s="513" t="str">
        <f ca="1">IFERROR(OFFSET(Camp_List[Status],MATCH(Data_NFI_t[[#This Row],[Camp Name]],Camp_List[Camp Name],0)-1,0,1,1),"")</f>
        <v>Relocated</v>
      </c>
      <c r="AO192" s="131"/>
    </row>
    <row r="193" spans="1:41" s="90" customFormat="1" ht="19.5" customHeight="1" x14ac:dyDescent="0.25">
      <c r="A193" s="242">
        <f t="shared" si="4"/>
        <v>44</v>
      </c>
      <c r="B193" s="242">
        <f>YEAR(Data_NFI_t[[#This Row],[Distribution Date]])</f>
        <v>2013</v>
      </c>
      <c r="C193" s="913">
        <v>41536</v>
      </c>
      <c r="D193" s="489" t="s">
        <v>285</v>
      </c>
      <c r="E193" s="488" t="s">
        <v>285</v>
      </c>
      <c r="F193" s="489" t="s">
        <v>7</v>
      </c>
      <c r="G193" s="790" t="s">
        <v>14</v>
      </c>
      <c r="H193" s="790" t="s">
        <v>39</v>
      </c>
      <c r="I193" s="790"/>
      <c r="J193" s="51"/>
      <c r="K193" s="51"/>
      <c r="L193" s="51">
        <v>42</v>
      </c>
      <c r="M193" s="51"/>
      <c r="N193" s="51">
        <v>42</v>
      </c>
      <c r="O193" s="51">
        <v>21</v>
      </c>
      <c r="P193" s="51">
        <v>21</v>
      </c>
      <c r="Q193" s="51">
        <v>21</v>
      </c>
      <c r="R193" s="511"/>
      <c r="S193" s="51">
        <v>42</v>
      </c>
      <c r="T193" s="51"/>
      <c r="U193" s="51"/>
      <c r="V193" s="51"/>
      <c r="W193" s="51"/>
      <c r="X193" s="131">
        <f>IF(NFI_Expiration=1,IF($A193&lt;VLOOKUP(I$5,NFI,5,0),1,0)*Data_NFI_t[[#This Row],[Hygiene Kit]],0)</f>
        <v>0</v>
      </c>
      <c r="Y193" s="131">
        <f>IF(NFI_Expiration=1,IF($A193&lt;VLOOKUP(J$5,NFI,5,0),1,0)*Data_NFI_t[[#This Row],[NFI Core Kit]],0)</f>
        <v>0</v>
      </c>
      <c r="Z193" s="112">
        <f>IF(NFI_Expiration=1,IF($A193&lt;VLOOKUP(K$5,NFI,5,0),1,0)*Data_NFI_t[[#This Row],[Sanitary Kit]],0)</f>
        <v>0</v>
      </c>
      <c r="AA193" s="112">
        <f>IF(NFI_Expiration=1,IF($A193&lt;VLOOKUP(L$5,NFI,5,0),1,0)*Data_NFI_t[[#This Row],[Mosquito net]],0)</f>
        <v>0</v>
      </c>
      <c r="AB193" s="112">
        <f>IF(NFI_Expiration=1,IF($A193&lt;VLOOKUP(M$5,NFI,5,0),1,0)*Data_NFI_t[[#This Row],[Tarpaulin]],0)</f>
        <v>0</v>
      </c>
      <c r="AC193" s="112">
        <f>IF(NFI_Expiration=1,IF($A193&lt;VLOOKUP(N$5,NFI,5,0),1,0)*Data_NFI_t[[#This Row],[Blanket]],0)</f>
        <v>0</v>
      </c>
      <c r="AD193" s="112">
        <f>IF(NFI_Expiration=1,IF($A193&lt;VLOOKUP(O$5,NFI,5,0),1,0)*Data_NFI_t[[#This Row],[Kitchen Set]],0)</f>
        <v>0</v>
      </c>
      <c r="AE193" s="112">
        <f>IF(NFI_Expiration=1,IF($A193&lt;VLOOKUP(P$5,NFI,5,0),1,0)*Data_NFI_t[[#This Row],[Complementary Kit]],0)</f>
        <v>0</v>
      </c>
      <c r="AF193" s="112">
        <f>IF(NFI_Expiration=1,IF($A193&lt;VLOOKUP(Q$5,NFI,5,0),1,0)*Data_NFI_t[[#This Row],[Plastic Bucket]],0)</f>
        <v>0</v>
      </c>
      <c r="AG193" s="112">
        <f>IF(NFI_Expiration=1,IF($A193&lt;VLOOKUP(R$5,NFI,5,0),1,0)*Data_NFI_t[[#This Row],[Jerry Can]],0)</f>
        <v>0</v>
      </c>
      <c r="AH193" s="131">
        <f>IF(NFI_Expiration=1,IF($A193&lt;VLOOKUP(S$5,NFI,5,0),1,0)*Data_NFI_t[[#This Row],[Plastic Mat]],0)*IF(Data_NFI_t[[#This Row],[Distribution Date]]&gt;"01-06-2015",1,2.5)</f>
        <v>0</v>
      </c>
      <c r="AI193" s="901">
        <f>IF(NFI_Expiration=1,IF($A193&lt;VLOOKUP(T$5,NFI,5,0),1,0)*Data_NFI_t[[#This Row],[Adult Clothes]],0)</f>
        <v>0</v>
      </c>
      <c r="AJ193" s="131">
        <f>IF(NFI_Expiration=1,IF($A193&lt;VLOOKUP(U$5,NFI,5,0),1,0)*Data_NFI_t[[#This Row],[Children Clothes]],0)</f>
        <v>0</v>
      </c>
      <c r="AK193" s="131">
        <f>IF(NFI_Expiration=1,IF($A193&lt;VLOOKUP(V$5,NFI,5,0),1,0)*Data_NFI_t[[#This Row],[Sewing Kit]],0)</f>
        <v>0</v>
      </c>
      <c r="AL193" s="901">
        <f>IF(NFI_Expiration=1,IF($A193&lt;VLOOKUP(V$5,NFI,5,0),1,0)*Data_NFI_t[[#This Row],[Solar Lantern]],0)</f>
        <v>0</v>
      </c>
      <c r="AM193" s="131" t="str">
        <f ca="1">IFERROR(OFFSET(Camp_List[P_Code],MATCH(Data_NFI_t[[#This Row],[Camp Name]],Camp_List[Camp Name],0)-1,0,1,1),"")</f>
        <v>MMR012CMP015</v>
      </c>
      <c r="AN193" s="513" t="str">
        <f ca="1">IFERROR(OFFSET(Camp_List[Status],MATCH(Data_NFI_t[[#This Row],[Camp Name]],Camp_List[Camp Name],0)-1,0,1,1),"")</f>
        <v>Relocated</v>
      </c>
      <c r="AO193" s="131"/>
    </row>
    <row r="194" spans="1:41" s="90" customFormat="1" ht="19.5" customHeight="1" x14ac:dyDescent="0.25">
      <c r="A194" s="242">
        <f t="shared" si="4"/>
        <v>44.033333333333331</v>
      </c>
      <c r="B194" s="242">
        <f>YEAR(Data_NFI_t[[#This Row],[Distribution Date]])</f>
        <v>2013</v>
      </c>
      <c r="C194" s="913">
        <v>41535</v>
      </c>
      <c r="D194" s="489" t="s">
        <v>285</v>
      </c>
      <c r="E194" s="488" t="s">
        <v>285</v>
      </c>
      <c r="F194" s="489" t="s">
        <v>7</v>
      </c>
      <c r="G194" s="790" t="s">
        <v>14</v>
      </c>
      <c r="H194" s="790" t="s">
        <v>42</v>
      </c>
      <c r="I194" s="790"/>
      <c r="J194" s="51"/>
      <c r="K194" s="51"/>
      <c r="L194" s="51">
        <v>2658</v>
      </c>
      <c r="M194" s="51">
        <v>940</v>
      </c>
      <c r="N194" s="51">
        <v>1880</v>
      </c>
      <c r="O194" s="51">
        <v>940</v>
      </c>
      <c r="P194" s="51">
        <v>1718</v>
      </c>
      <c r="Q194" s="51">
        <v>940</v>
      </c>
      <c r="R194" s="511"/>
      <c r="S194" s="51">
        <v>1880</v>
      </c>
      <c r="T194" s="51"/>
      <c r="U194" s="51"/>
      <c r="V194" s="51"/>
      <c r="W194" s="51"/>
      <c r="X194" s="131">
        <f>IF(NFI_Expiration=1,IF($A194&lt;VLOOKUP(I$5,NFI,5,0),1,0)*Data_NFI_t[[#This Row],[Hygiene Kit]],0)</f>
        <v>0</v>
      </c>
      <c r="Y194" s="131">
        <f>IF(NFI_Expiration=1,IF($A194&lt;VLOOKUP(J$5,NFI,5,0),1,0)*Data_NFI_t[[#This Row],[NFI Core Kit]],0)</f>
        <v>0</v>
      </c>
      <c r="Z194" s="112">
        <f>IF(NFI_Expiration=1,IF($A194&lt;VLOOKUP(K$5,NFI,5,0),1,0)*Data_NFI_t[[#This Row],[Sanitary Kit]],0)</f>
        <v>0</v>
      </c>
      <c r="AA194" s="112">
        <f>IF(NFI_Expiration=1,IF($A194&lt;VLOOKUP(L$5,NFI,5,0),1,0)*Data_NFI_t[[#This Row],[Mosquito net]],0)</f>
        <v>0</v>
      </c>
      <c r="AB194" s="112">
        <f>IF(NFI_Expiration=1,IF($A194&lt;VLOOKUP(M$5,NFI,5,0),1,0)*Data_NFI_t[[#This Row],[Tarpaulin]],0)</f>
        <v>0</v>
      </c>
      <c r="AC194" s="112">
        <f>IF(NFI_Expiration=1,IF($A194&lt;VLOOKUP(N$5,NFI,5,0),1,0)*Data_NFI_t[[#This Row],[Blanket]],0)</f>
        <v>0</v>
      </c>
      <c r="AD194" s="112">
        <f>IF(NFI_Expiration=1,IF($A194&lt;VLOOKUP(O$5,NFI,5,0),1,0)*Data_NFI_t[[#This Row],[Kitchen Set]],0)</f>
        <v>0</v>
      </c>
      <c r="AE194" s="112">
        <f>IF(NFI_Expiration=1,IF($A194&lt;VLOOKUP(P$5,NFI,5,0),1,0)*Data_NFI_t[[#This Row],[Complementary Kit]],0)</f>
        <v>0</v>
      </c>
      <c r="AF194" s="112">
        <f>IF(NFI_Expiration=1,IF($A194&lt;VLOOKUP(Q$5,NFI,5,0),1,0)*Data_NFI_t[[#This Row],[Plastic Bucket]],0)</f>
        <v>0</v>
      </c>
      <c r="AG194" s="112">
        <f>IF(NFI_Expiration=1,IF($A194&lt;VLOOKUP(R$5,NFI,5,0),1,0)*Data_NFI_t[[#This Row],[Jerry Can]],0)</f>
        <v>0</v>
      </c>
      <c r="AH194" s="131">
        <f>IF(NFI_Expiration=1,IF($A194&lt;VLOOKUP(S$5,NFI,5,0),1,0)*Data_NFI_t[[#This Row],[Plastic Mat]],0)*IF(Data_NFI_t[[#This Row],[Distribution Date]]&gt;"01-06-2015",1,2.5)</f>
        <v>0</v>
      </c>
      <c r="AI194" s="901">
        <f>IF(NFI_Expiration=1,IF($A194&lt;VLOOKUP(T$5,NFI,5,0),1,0)*Data_NFI_t[[#This Row],[Adult Clothes]],0)</f>
        <v>0</v>
      </c>
      <c r="AJ194" s="131">
        <f>IF(NFI_Expiration=1,IF($A194&lt;VLOOKUP(U$5,NFI,5,0),1,0)*Data_NFI_t[[#This Row],[Children Clothes]],0)</f>
        <v>0</v>
      </c>
      <c r="AK194" s="131">
        <f>IF(NFI_Expiration=1,IF($A194&lt;VLOOKUP(V$5,NFI,5,0),1,0)*Data_NFI_t[[#This Row],[Sewing Kit]],0)</f>
        <v>0</v>
      </c>
      <c r="AL194" s="901">
        <f>IF(NFI_Expiration=1,IF($A194&lt;VLOOKUP(V$5,NFI,5,0),1,0)*Data_NFI_t[[#This Row],[Solar Lantern]],0)</f>
        <v>0</v>
      </c>
      <c r="AM194" s="131" t="str">
        <f ca="1">IFERROR(OFFSET(Camp_List[P_Code],MATCH(Data_NFI_t[[#This Row],[Camp Name]],Camp_List[Camp Name],0)-1,0,1,1),"")</f>
        <v>MMR012CMP018</v>
      </c>
      <c r="AN194" s="513" t="str">
        <f ca="1">IFERROR(OFFSET(Camp_List[Status],MATCH(Data_NFI_t[[#This Row],[Camp Name]],Camp_List[Camp Name],0)-1,0,1,1),"")</f>
        <v>Open</v>
      </c>
      <c r="AO194" s="131"/>
    </row>
    <row r="195" spans="1:41" s="90" customFormat="1" ht="19.5" customHeight="1" x14ac:dyDescent="0.25">
      <c r="A195" s="242">
        <f t="shared" si="4"/>
        <v>44.233333333333334</v>
      </c>
      <c r="B195" s="242">
        <f>YEAR(Data_NFI_t[[#This Row],[Distribution Date]])</f>
        <v>2013</v>
      </c>
      <c r="C195" s="913">
        <v>41529</v>
      </c>
      <c r="D195" s="489" t="s">
        <v>285</v>
      </c>
      <c r="E195" s="488" t="s">
        <v>285</v>
      </c>
      <c r="F195" s="489" t="s">
        <v>7</v>
      </c>
      <c r="G195" s="790" t="s">
        <v>1002</v>
      </c>
      <c r="H195" s="790" t="s">
        <v>626</v>
      </c>
      <c r="I195" s="790"/>
      <c r="J195" s="51"/>
      <c r="K195" s="51"/>
      <c r="L195" s="51">
        <v>62</v>
      </c>
      <c r="M195" s="51"/>
      <c r="N195" s="51">
        <v>62</v>
      </c>
      <c r="O195" s="51">
        <v>31</v>
      </c>
      <c r="P195" s="51">
        <v>31</v>
      </c>
      <c r="Q195" s="51">
        <v>31</v>
      </c>
      <c r="R195" s="511"/>
      <c r="S195" s="51">
        <v>62</v>
      </c>
      <c r="T195" s="51"/>
      <c r="U195" s="51"/>
      <c r="V195" s="51"/>
      <c r="W195" s="51"/>
      <c r="X195" s="131">
        <f>IF(NFI_Expiration=1,IF($A195&lt;VLOOKUP(I$5,NFI,5,0),1,0)*Data_NFI_t[[#This Row],[Hygiene Kit]],0)</f>
        <v>0</v>
      </c>
      <c r="Y195" s="131">
        <f>IF(NFI_Expiration=1,IF($A195&lt;VLOOKUP(J$5,NFI,5,0),1,0)*Data_NFI_t[[#This Row],[NFI Core Kit]],0)</f>
        <v>0</v>
      </c>
      <c r="Z195" s="112">
        <f>IF(NFI_Expiration=1,IF($A195&lt;VLOOKUP(K$5,NFI,5,0),1,0)*Data_NFI_t[[#This Row],[Sanitary Kit]],0)</f>
        <v>0</v>
      </c>
      <c r="AA195" s="112">
        <f>IF(NFI_Expiration=1,IF($A195&lt;VLOOKUP(L$5,NFI,5,0),1,0)*Data_NFI_t[[#This Row],[Mosquito net]],0)</f>
        <v>0</v>
      </c>
      <c r="AB195" s="112">
        <f>IF(NFI_Expiration=1,IF($A195&lt;VLOOKUP(M$5,NFI,5,0),1,0)*Data_NFI_t[[#This Row],[Tarpaulin]],0)</f>
        <v>0</v>
      </c>
      <c r="AC195" s="112">
        <f>IF(NFI_Expiration=1,IF($A195&lt;VLOOKUP(N$5,NFI,5,0),1,0)*Data_NFI_t[[#This Row],[Blanket]],0)</f>
        <v>0</v>
      </c>
      <c r="AD195" s="112">
        <f>IF(NFI_Expiration=1,IF($A195&lt;VLOOKUP(O$5,NFI,5,0),1,0)*Data_NFI_t[[#This Row],[Kitchen Set]],0)</f>
        <v>0</v>
      </c>
      <c r="AE195" s="112">
        <f>IF(NFI_Expiration=1,IF($A195&lt;VLOOKUP(P$5,NFI,5,0),1,0)*Data_NFI_t[[#This Row],[Complementary Kit]],0)</f>
        <v>0</v>
      </c>
      <c r="AF195" s="112">
        <f>IF(NFI_Expiration=1,IF($A195&lt;VLOOKUP(Q$5,NFI,5,0),1,0)*Data_NFI_t[[#This Row],[Plastic Bucket]],0)</f>
        <v>0</v>
      </c>
      <c r="AG195" s="112">
        <f>IF(NFI_Expiration=1,IF($A195&lt;VLOOKUP(R$5,NFI,5,0),1,0)*Data_NFI_t[[#This Row],[Jerry Can]],0)</f>
        <v>0</v>
      </c>
      <c r="AH195" s="131">
        <f>IF(NFI_Expiration=1,IF($A195&lt;VLOOKUP(S$5,NFI,5,0),1,0)*Data_NFI_t[[#This Row],[Plastic Mat]],0)*IF(Data_NFI_t[[#This Row],[Distribution Date]]&gt;"01-06-2015",1,2.5)</f>
        <v>0</v>
      </c>
      <c r="AI195" s="901">
        <f>IF(NFI_Expiration=1,IF($A195&lt;VLOOKUP(T$5,NFI,5,0),1,0)*Data_NFI_t[[#This Row],[Adult Clothes]],0)</f>
        <v>0</v>
      </c>
      <c r="AJ195" s="131">
        <f>IF(NFI_Expiration=1,IF($A195&lt;VLOOKUP(U$5,NFI,5,0),1,0)*Data_NFI_t[[#This Row],[Children Clothes]],0)</f>
        <v>0</v>
      </c>
      <c r="AK195" s="131">
        <f>IF(NFI_Expiration=1,IF($A195&lt;VLOOKUP(V$5,NFI,5,0),1,0)*Data_NFI_t[[#This Row],[Sewing Kit]],0)</f>
        <v>0</v>
      </c>
      <c r="AL195" s="901">
        <f>IF(NFI_Expiration=1,IF($A195&lt;VLOOKUP(V$5,NFI,5,0),1,0)*Data_NFI_t[[#This Row],[Solar Lantern]],0)</f>
        <v>0</v>
      </c>
      <c r="AM195" s="131" t="str">
        <f ca="1">IFERROR(OFFSET(Camp_List[P_Code],MATCH(Data_NFI_t[[#This Row],[Camp Name]],Camp_List[Camp Name],0)-1,0,1,1),"")</f>
        <v>MMR012CMP117</v>
      </c>
      <c r="AN195" s="513" t="str">
        <f ca="1">IFERROR(OFFSET(Camp_List[Status],MATCH(Data_NFI_t[[#This Row],[Camp Name]],Camp_List[Camp Name],0)-1,0,1,1),"")</f>
        <v>Relocated</v>
      </c>
      <c r="AO195" s="131"/>
    </row>
    <row r="196" spans="1:41" s="90" customFormat="1" ht="19.5" customHeight="1" x14ac:dyDescent="0.25">
      <c r="A196" s="242">
        <f t="shared" si="4"/>
        <v>44.766666666666666</v>
      </c>
      <c r="B196" s="242">
        <f>YEAR(Data_NFI_t[[#This Row],[Distribution Date]])</f>
        <v>2013</v>
      </c>
      <c r="C196" s="913">
        <v>41513</v>
      </c>
      <c r="D196" s="489" t="s">
        <v>285</v>
      </c>
      <c r="E196" s="488" t="s">
        <v>285</v>
      </c>
      <c r="F196" s="489" t="s">
        <v>7</v>
      </c>
      <c r="G196" s="790" t="s">
        <v>14</v>
      </c>
      <c r="H196" s="790" t="s">
        <v>40</v>
      </c>
      <c r="I196" s="790"/>
      <c r="J196" s="51"/>
      <c r="K196" s="51"/>
      <c r="L196" s="51">
        <v>1652</v>
      </c>
      <c r="M196" s="51">
        <v>99</v>
      </c>
      <c r="N196" s="51">
        <v>1652</v>
      </c>
      <c r="O196" s="51">
        <v>826</v>
      </c>
      <c r="P196" s="51">
        <v>826</v>
      </c>
      <c r="Q196" s="51">
        <v>826</v>
      </c>
      <c r="R196" s="511"/>
      <c r="S196" s="51">
        <v>1652</v>
      </c>
      <c r="T196" s="51"/>
      <c r="U196" s="51"/>
      <c r="V196" s="51"/>
      <c r="W196" s="51"/>
      <c r="X196" s="131">
        <f>IF(NFI_Expiration=1,IF($A196&lt;VLOOKUP(I$5,NFI,5,0),1,0)*Data_NFI_t[[#This Row],[Hygiene Kit]],0)</f>
        <v>0</v>
      </c>
      <c r="Y196" s="131">
        <f>IF(NFI_Expiration=1,IF($A196&lt;VLOOKUP(J$5,NFI,5,0),1,0)*Data_NFI_t[[#This Row],[NFI Core Kit]],0)</f>
        <v>0</v>
      </c>
      <c r="Z196" s="112">
        <f>IF(NFI_Expiration=1,IF($A196&lt;VLOOKUP(K$5,NFI,5,0),1,0)*Data_NFI_t[[#This Row],[Sanitary Kit]],0)</f>
        <v>0</v>
      </c>
      <c r="AA196" s="112">
        <f>IF(NFI_Expiration=1,IF($A196&lt;VLOOKUP(L$5,NFI,5,0),1,0)*Data_NFI_t[[#This Row],[Mosquito net]],0)</f>
        <v>0</v>
      </c>
      <c r="AB196" s="112">
        <f>IF(NFI_Expiration=1,IF($A196&lt;VLOOKUP(M$5,NFI,5,0),1,0)*Data_NFI_t[[#This Row],[Tarpaulin]],0)</f>
        <v>0</v>
      </c>
      <c r="AC196" s="112">
        <f>IF(NFI_Expiration=1,IF($A196&lt;VLOOKUP(N$5,NFI,5,0),1,0)*Data_NFI_t[[#This Row],[Blanket]],0)</f>
        <v>0</v>
      </c>
      <c r="AD196" s="112">
        <f>IF(NFI_Expiration=1,IF($A196&lt;VLOOKUP(O$5,NFI,5,0),1,0)*Data_NFI_t[[#This Row],[Kitchen Set]],0)</f>
        <v>0</v>
      </c>
      <c r="AE196" s="112">
        <f>IF(NFI_Expiration=1,IF($A196&lt;VLOOKUP(P$5,NFI,5,0),1,0)*Data_NFI_t[[#This Row],[Complementary Kit]],0)</f>
        <v>0</v>
      </c>
      <c r="AF196" s="112">
        <f>IF(NFI_Expiration=1,IF($A196&lt;VLOOKUP(Q$5,NFI,5,0),1,0)*Data_NFI_t[[#This Row],[Plastic Bucket]],0)</f>
        <v>0</v>
      </c>
      <c r="AG196" s="112">
        <f>IF(NFI_Expiration=1,IF($A196&lt;VLOOKUP(R$5,NFI,5,0),1,0)*Data_NFI_t[[#This Row],[Jerry Can]],0)</f>
        <v>0</v>
      </c>
      <c r="AH196" s="131">
        <f>IF(NFI_Expiration=1,IF($A196&lt;VLOOKUP(S$5,NFI,5,0),1,0)*Data_NFI_t[[#This Row],[Plastic Mat]],0)*IF(Data_NFI_t[[#This Row],[Distribution Date]]&gt;"01-06-2015",1,2.5)</f>
        <v>0</v>
      </c>
      <c r="AI196" s="901">
        <f>IF(NFI_Expiration=1,IF($A196&lt;VLOOKUP(T$5,NFI,5,0),1,0)*Data_NFI_t[[#This Row],[Adult Clothes]],0)</f>
        <v>0</v>
      </c>
      <c r="AJ196" s="131">
        <f>IF(NFI_Expiration=1,IF($A196&lt;VLOOKUP(U$5,NFI,5,0),1,0)*Data_NFI_t[[#This Row],[Children Clothes]],0)</f>
        <v>0</v>
      </c>
      <c r="AK196" s="131">
        <f>IF(NFI_Expiration=1,IF($A196&lt;VLOOKUP(V$5,NFI,5,0),1,0)*Data_NFI_t[[#This Row],[Sewing Kit]],0)</f>
        <v>0</v>
      </c>
      <c r="AL196" s="901">
        <f>IF(NFI_Expiration=1,IF($A196&lt;VLOOKUP(V$5,NFI,5,0),1,0)*Data_NFI_t[[#This Row],[Solar Lantern]],0)</f>
        <v>0</v>
      </c>
      <c r="AM196" s="131" t="str">
        <f ca="1">IFERROR(OFFSET(Camp_List[P_Code],MATCH(Data_NFI_t[[#This Row],[Camp Name]],Camp_List[Camp Name],0)-1,0,1,1),"")</f>
        <v>MMR012CMP016</v>
      </c>
      <c r="AN196" s="513" t="str">
        <f ca="1">IFERROR(OFFSET(Camp_List[Status],MATCH(Data_NFI_t[[#This Row],[Camp Name]],Camp_List[Camp Name],0)-1,0,1,1),"")</f>
        <v>Open</v>
      </c>
      <c r="AO196" s="131"/>
    </row>
    <row r="197" spans="1:41" s="90" customFormat="1" ht="19.5" customHeight="1" x14ac:dyDescent="0.25">
      <c r="A197" s="242">
        <f t="shared" si="4"/>
        <v>45.233333333333334</v>
      </c>
      <c r="B197" s="242">
        <f>YEAR(Data_NFI_t[[#This Row],[Distribution Date]])</f>
        <v>2013</v>
      </c>
      <c r="C197" s="913">
        <v>41499</v>
      </c>
      <c r="D197" s="489" t="s">
        <v>285</v>
      </c>
      <c r="E197" s="488" t="s">
        <v>285</v>
      </c>
      <c r="F197" s="489" t="s">
        <v>7</v>
      </c>
      <c r="G197" s="790" t="s">
        <v>14</v>
      </c>
      <c r="H197" s="790" t="s">
        <v>41</v>
      </c>
      <c r="I197" s="790"/>
      <c r="J197" s="51"/>
      <c r="K197" s="51"/>
      <c r="L197" s="51">
        <v>0</v>
      </c>
      <c r="M197" s="51">
        <v>203</v>
      </c>
      <c r="N197" s="51">
        <v>0</v>
      </c>
      <c r="O197" s="51"/>
      <c r="P197" s="51"/>
      <c r="Q197" s="51"/>
      <c r="R197" s="511"/>
      <c r="S197" s="51">
        <v>448</v>
      </c>
      <c r="T197" s="51"/>
      <c r="U197" s="51"/>
      <c r="V197" s="51"/>
      <c r="W197" s="51"/>
      <c r="X197" s="131">
        <f>IF(NFI_Expiration=1,IF($A197&lt;VLOOKUP(I$5,NFI,5,0),1,0)*Data_NFI_t[[#This Row],[Hygiene Kit]],0)</f>
        <v>0</v>
      </c>
      <c r="Y197" s="131">
        <f>IF(NFI_Expiration=1,IF($A197&lt;VLOOKUP(J$5,NFI,5,0),1,0)*Data_NFI_t[[#This Row],[NFI Core Kit]],0)</f>
        <v>0</v>
      </c>
      <c r="Z197" s="112">
        <f>IF(NFI_Expiration=1,IF($A197&lt;VLOOKUP(K$5,NFI,5,0),1,0)*Data_NFI_t[[#This Row],[Sanitary Kit]],0)</f>
        <v>0</v>
      </c>
      <c r="AA197" s="112">
        <f>IF(NFI_Expiration=1,IF($A197&lt;VLOOKUP(L$5,NFI,5,0),1,0)*Data_NFI_t[[#This Row],[Mosquito net]],0)</f>
        <v>0</v>
      </c>
      <c r="AB197" s="112">
        <f>IF(NFI_Expiration=1,IF($A197&lt;VLOOKUP(M$5,NFI,5,0),1,0)*Data_NFI_t[[#This Row],[Tarpaulin]],0)</f>
        <v>0</v>
      </c>
      <c r="AC197" s="112">
        <f>IF(NFI_Expiration=1,IF($A197&lt;VLOOKUP(N$5,NFI,5,0),1,0)*Data_NFI_t[[#This Row],[Blanket]],0)</f>
        <v>0</v>
      </c>
      <c r="AD197" s="112">
        <f>IF(NFI_Expiration=1,IF($A197&lt;VLOOKUP(O$5,NFI,5,0),1,0)*Data_NFI_t[[#This Row],[Kitchen Set]],0)</f>
        <v>0</v>
      </c>
      <c r="AE197" s="112">
        <f>IF(NFI_Expiration=1,IF($A197&lt;VLOOKUP(P$5,NFI,5,0),1,0)*Data_NFI_t[[#This Row],[Complementary Kit]],0)</f>
        <v>0</v>
      </c>
      <c r="AF197" s="112">
        <f>IF(NFI_Expiration=1,IF($A197&lt;VLOOKUP(Q$5,NFI,5,0),1,0)*Data_NFI_t[[#This Row],[Plastic Bucket]],0)</f>
        <v>0</v>
      </c>
      <c r="AG197" s="112">
        <f>IF(NFI_Expiration=1,IF($A197&lt;VLOOKUP(R$5,NFI,5,0),1,0)*Data_NFI_t[[#This Row],[Jerry Can]],0)</f>
        <v>0</v>
      </c>
      <c r="AH197" s="131">
        <f>IF(NFI_Expiration=1,IF($A197&lt;VLOOKUP(S$5,NFI,5,0),1,0)*Data_NFI_t[[#This Row],[Plastic Mat]],0)*IF(Data_NFI_t[[#This Row],[Distribution Date]]&gt;"01-06-2015",1,2.5)</f>
        <v>0</v>
      </c>
      <c r="AI197" s="901">
        <f>IF(NFI_Expiration=1,IF($A197&lt;VLOOKUP(T$5,NFI,5,0),1,0)*Data_NFI_t[[#This Row],[Adult Clothes]],0)</f>
        <v>0</v>
      </c>
      <c r="AJ197" s="131">
        <f>IF(NFI_Expiration=1,IF($A197&lt;VLOOKUP(U$5,NFI,5,0),1,0)*Data_NFI_t[[#This Row],[Children Clothes]],0)</f>
        <v>0</v>
      </c>
      <c r="AK197" s="131">
        <f>IF(NFI_Expiration=1,IF($A197&lt;VLOOKUP(V$5,NFI,5,0),1,0)*Data_NFI_t[[#This Row],[Sewing Kit]],0)</f>
        <v>0</v>
      </c>
      <c r="AL197" s="901">
        <f>IF(NFI_Expiration=1,IF($A197&lt;VLOOKUP(V$5,NFI,5,0),1,0)*Data_NFI_t[[#This Row],[Solar Lantern]],0)</f>
        <v>0</v>
      </c>
      <c r="AM197" s="131" t="str">
        <f ca="1">IFERROR(OFFSET(Camp_List[P_Code],MATCH(Data_NFI_t[[#This Row],[Camp Name]],Camp_List[Camp Name],0)-1,0,1,1),"")</f>
        <v/>
      </c>
      <c r="AN197" s="513" t="str">
        <f ca="1">IFERROR(OFFSET(Camp_List[Status],MATCH(Data_NFI_t[[#This Row],[Camp Name]],Camp_List[Camp Name],0)-1,0,1,1),"")</f>
        <v/>
      </c>
      <c r="AO197" s="131"/>
    </row>
    <row r="198" spans="1:41" s="90" customFormat="1" ht="19.5" customHeight="1" x14ac:dyDescent="0.25">
      <c r="A198" s="242">
        <f t="shared" si="4"/>
        <v>45.4</v>
      </c>
      <c r="B198" s="242">
        <f>YEAR(Data_NFI_t[[#This Row],[Distribution Date]])</f>
        <v>2013</v>
      </c>
      <c r="C198" s="913">
        <v>41494</v>
      </c>
      <c r="D198" s="489" t="s">
        <v>285</v>
      </c>
      <c r="E198" s="488" t="s">
        <v>285</v>
      </c>
      <c r="F198" s="489" t="s">
        <v>7</v>
      </c>
      <c r="G198" s="790" t="s">
        <v>866</v>
      </c>
      <c r="H198" s="790" t="s">
        <v>37</v>
      </c>
      <c r="I198" s="790"/>
      <c r="J198" s="51">
        <v>44</v>
      </c>
      <c r="K198" s="51"/>
      <c r="L198" s="51">
        <v>88</v>
      </c>
      <c r="M198" s="51">
        <v>44</v>
      </c>
      <c r="N198" s="51">
        <v>88</v>
      </c>
      <c r="O198" s="51">
        <v>44</v>
      </c>
      <c r="P198" s="51">
        <v>44</v>
      </c>
      <c r="Q198" s="51">
        <v>44</v>
      </c>
      <c r="R198" s="511"/>
      <c r="S198" s="51">
        <v>88</v>
      </c>
      <c r="T198" s="51"/>
      <c r="U198" s="51"/>
      <c r="V198" s="51"/>
      <c r="W198" s="51"/>
      <c r="X198" s="131">
        <f>IF(NFI_Expiration=1,IF($A198&lt;VLOOKUP(I$5,NFI,5,0),1,0)*Data_NFI_t[[#This Row],[Hygiene Kit]],0)</f>
        <v>0</v>
      </c>
      <c r="Y198" s="131">
        <f>IF(NFI_Expiration=1,IF($A198&lt;VLOOKUP(J$5,NFI,5,0),1,0)*Data_NFI_t[[#This Row],[NFI Core Kit]],0)</f>
        <v>0</v>
      </c>
      <c r="Z198" s="112">
        <f>IF(NFI_Expiration=1,IF($A198&lt;VLOOKUP(K$5,NFI,5,0),1,0)*Data_NFI_t[[#This Row],[Sanitary Kit]],0)</f>
        <v>0</v>
      </c>
      <c r="AA198" s="112">
        <f>IF(NFI_Expiration=1,IF($A198&lt;VLOOKUP(L$5,NFI,5,0),1,0)*Data_NFI_t[[#This Row],[Mosquito net]],0)</f>
        <v>0</v>
      </c>
      <c r="AB198" s="112">
        <f>IF(NFI_Expiration=1,IF($A198&lt;VLOOKUP(M$5,NFI,5,0),1,0)*Data_NFI_t[[#This Row],[Tarpaulin]],0)</f>
        <v>0</v>
      </c>
      <c r="AC198" s="112">
        <f>IF(NFI_Expiration=1,IF($A198&lt;VLOOKUP(N$5,NFI,5,0),1,0)*Data_NFI_t[[#This Row],[Blanket]],0)</f>
        <v>0</v>
      </c>
      <c r="AD198" s="112">
        <f>IF(NFI_Expiration=1,IF($A198&lt;VLOOKUP(O$5,NFI,5,0),1,0)*Data_NFI_t[[#This Row],[Kitchen Set]],0)</f>
        <v>0</v>
      </c>
      <c r="AE198" s="112">
        <f>IF(NFI_Expiration=1,IF($A198&lt;VLOOKUP(P$5,NFI,5,0),1,0)*Data_NFI_t[[#This Row],[Complementary Kit]],0)</f>
        <v>0</v>
      </c>
      <c r="AF198" s="112">
        <f>IF(NFI_Expiration=1,IF($A198&lt;VLOOKUP(Q$5,NFI,5,0),1,0)*Data_NFI_t[[#This Row],[Plastic Bucket]],0)</f>
        <v>0</v>
      </c>
      <c r="AG198" s="112">
        <f>IF(NFI_Expiration=1,IF($A198&lt;VLOOKUP(R$5,NFI,5,0),1,0)*Data_NFI_t[[#This Row],[Jerry Can]],0)</f>
        <v>0</v>
      </c>
      <c r="AH198" s="131">
        <f>IF(NFI_Expiration=1,IF($A198&lt;VLOOKUP(S$5,NFI,5,0),1,0)*Data_NFI_t[[#This Row],[Plastic Mat]],0)*IF(Data_NFI_t[[#This Row],[Distribution Date]]&gt;"01-06-2015",1,2.5)</f>
        <v>0</v>
      </c>
      <c r="AI198" s="901">
        <f>IF(NFI_Expiration=1,IF($A198&lt;VLOOKUP(T$5,NFI,5,0),1,0)*Data_NFI_t[[#This Row],[Adult Clothes]],0)</f>
        <v>0</v>
      </c>
      <c r="AJ198" s="131">
        <f>IF(NFI_Expiration=1,IF($A198&lt;VLOOKUP(U$5,NFI,5,0),1,0)*Data_NFI_t[[#This Row],[Children Clothes]],0)</f>
        <v>0</v>
      </c>
      <c r="AK198" s="131">
        <f>IF(NFI_Expiration=1,IF($A198&lt;VLOOKUP(V$5,NFI,5,0),1,0)*Data_NFI_t[[#This Row],[Sewing Kit]],0)</f>
        <v>0</v>
      </c>
      <c r="AL198" s="901">
        <f>IF(NFI_Expiration=1,IF($A198&lt;VLOOKUP(V$5,NFI,5,0),1,0)*Data_NFI_t[[#This Row],[Solar Lantern]],0)</f>
        <v>0</v>
      </c>
      <c r="AM198" s="131" t="str">
        <f ca="1">IFERROR(OFFSET(Camp_List[P_Code],MATCH(Data_NFI_t[[#This Row],[Camp Name]],Camp_List[Camp Name],0)-1,0,1,1),"")</f>
        <v>MMR012CMP013</v>
      </c>
      <c r="AN198" s="513" t="str">
        <f ca="1">IFERROR(OFFSET(Camp_List[Status],MATCH(Data_NFI_t[[#This Row],[Camp Name]],Camp_List[Camp Name],0)-1,0,1,1),"")</f>
        <v>Relocated</v>
      </c>
      <c r="AO198" s="131"/>
    </row>
    <row r="199" spans="1:41" s="90" customFormat="1" ht="19.5" customHeight="1" x14ac:dyDescent="0.25">
      <c r="A199" s="242">
        <f t="shared" si="4"/>
        <v>45.4</v>
      </c>
      <c r="B199" s="242">
        <f>YEAR(Data_NFI_t[[#This Row],[Distribution Date]])</f>
        <v>2013</v>
      </c>
      <c r="C199" s="913">
        <v>41494</v>
      </c>
      <c r="D199" s="489" t="s">
        <v>285</v>
      </c>
      <c r="E199" s="488" t="s">
        <v>285</v>
      </c>
      <c r="F199" s="489" t="s">
        <v>7</v>
      </c>
      <c r="G199" s="790" t="s">
        <v>866</v>
      </c>
      <c r="H199" s="790" t="s">
        <v>38</v>
      </c>
      <c r="I199" s="790"/>
      <c r="J199" s="51">
        <v>755</v>
      </c>
      <c r="K199" s="51"/>
      <c r="L199" s="51">
        <v>1510</v>
      </c>
      <c r="M199" s="51">
        <v>755</v>
      </c>
      <c r="N199" s="51">
        <v>1510</v>
      </c>
      <c r="O199" s="51">
        <v>755</v>
      </c>
      <c r="P199" s="51">
        <v>755</v>
      </c>
      <c r="Q199" s="51">
        <v>755</v>
      </c>
      <c r="R199" s="511"/>
      <c r="S199" s="51">
        <v>1510</v>
      </c>
      <c r="T199" s="51"/>
      <c r="U199" s="51"/>
      <c r="V199" s="51"/>
      <c r="W199" s="51"/>
      <c r="X199" s="131">
        <f>IF(NFI_Expiration=1,IF($A199&lt;VLOOKUP(I$5,NFI,5,0),1,0)*Data_NFI_t[[#This Row],[Hygiene Kit]],0)</f>
        <v>0</v>
      </c>
      <c r="Y199" s="131">
        <f>IF(NFI_Expiration=1,IF($A199&lt;VLOOKUP(J$5,NFI,5,0),1,0)*Data_NFI_t[[#This Row],[NFI Core Kit]],0)</f>
        <v>0</v>
      </c>
      <c r="Z199" s="112">
        <f>IF(NFI_Expiration=1,IF($A199&lt;VLOOKUP(K$5,NFI,5,0),1,0)*Data_NFI_t[[#This Row],[Sanitary Kit]],0)</f>
        <v>0</v>
      </c>
      <c r="AA199" s="112">
        <f>IF(NFI_Expiration=1,IF($A199&lt;VLOOKUP(L$5,NFI,5,0),1,0)*Data_NFI_t[[#This Row],[Mosquito net]],0)</f>
        <v>0</v>
      </c>
      <c r="AB199" s="112">
        <f>IF(NFI_Expiration=1,IF($A199&lt;VLOOKUP(M$5,NFI,5,0),1,0)*Data_NFI_t[[#This Row],[Tarpaulin]],0)</f>
        <v>0</v>
      </c>
      <c r="AC199" s="112">
        <f>IF(NFI_Expiration=1,IF($A199&lt;VLOOKUP(N$5,NFI,5,0),1,0)*Data_NFI_t[[#This Row],[Blanket]],0)</f>
        <v>0</v>
      </c>
      <c r="AD199" s="112">
        <f>IF(NFI_Expiration=1,IF($A199&lt;VLOOKUP(O$5,NFI,5,0),1,0)*Data_NFI_t[[#This Row],[Kitchen Set]],0)</f>
        <v>0</v>
      </c>
      <c r="AE199" s="112">
        <f>IF(NFI_Expiration=1,IF($A199&lt;VLOOKUP(P$5,NFI,5,0),1,0)*Data_NFI_t[[#This Row],[Complementary Kit]],0)</f>
        <v>0</v>
      </c>
      <c r="AF199" s="112">
        <f>IF(NFI_Expiration=1,IF($A199&lt;VLOOKUP(Q$5,NFI,5,0),1,0)*Data_NFI_t[[#This Row],[Plastic Bucket]],0)</f>
        <v>0</v>
      </c>
      <c r="AG199" s="112">
        <f>IF(NFI_Expiration=1,IF($A199&lt;VLOOKUP(R$5,NFI,5,0),1,0)*Data_NFI_t[[#This Row],[Jerry Can]],0)</f>
        <v>0</v>
      </c>
      <c r="AH199" s="131">
        <f>IF(NFI_Expiration=1,IF($A199&lt;VLOOKUP(S$5,NFI,5,0),1,0)*Data_NFI_t[[#This Row],[Plastic Mat]],0)*IF(Data_NFI_t[[#This Row],[Distribution Date]]&gt;"01-06-2015",1,2.5)</f>
        <v>0</v>
      </c>
      <c r="AI199" s="901">
        <f>IF(NFI_Expiration=1,IF($A199&lt;VLOOKUP(T$5,NFI,5,0),1,0)*Data_NFI_t[[#This Row],[Adult Clothes]],0)</f>
        <v>0</v>
      </c>
      <c r="AJ199" s="131">
        <f>IF(NFI_Expiration=1,IF($A199&lt;VLOOKUP(U$5,NFI,5,0),1,0)*Data_NFI_t[[#This Row],[Children Clothes]],0)</f>
        <v>0</v>
      </c>
      <c r="AK199" s="131">
        <f>IF(NFI_Expiration=1,IF($A199&lt;VLOOKUP(V$5,NFI,5,0),1,0)*Data_NFI_t[[#This Row],[Sewing Kit]],0)</f>
        <v>0</v>
      </c>
      <c r="AL199" s="901">
        <f>IF(NFI_Expiration=1,IF($A199&lt;VLOOKUP(V$5,NFI,5,0),1,0)*Data_NFI_t[[#This Row],[Solar Lantern]],0)</f>
        <v>0</v>
      </c>
      <c r="AM199" s="131" t="str">
        <f ca="1">IFERROR(OFFSET(Camp_List[P_Code],MATCH(Data_NFI_t[[#This Row],[Camp Name]],Camp_List[Camp Name],0)-1,0,1,1),"")</f>
        <v>MMR012CMP014</v>
      </c>
      <c r="AN199" s="513" t="str">
        <f ca="1">IFERROR(OFFSET(Camp_List[Status],MATCH(Data_NFI_t[[#This Row],[Camp Name]],Camp_List[Camp Name],0)-1,0,1,1),"")</f>
        <v>Open</v>
      </c>
      <c r="AO199" s="131"/>
    </row>
    <row r="200" spans="1:41" s="90" customFormat="1" ht="19.5" customHeight="1" x14ac:dyDescent="0.25">
      <c r="A200" s="242">
        <f t="shared" si="4"/>
        <v>46.366666666666667</v>
      </c>
      <c r="B200" s="242">
        <f>YEAR(Data_NFI_t[[#This Row],[Distribution Date]])</f>
        <v>2013</v>
      </c>
      <c r="C200" s="913">
        <v>41465</v>
      </c>
      <c r="D200" s="489" t="s">
        <v>285</v>
      </c>
      <c r="E200" s="488" t="s">
        <v>285</v>
      </c>
      <c r="F200" s="489" t="s">
        <v>7</v>
      </c>
      <c r="G200" s="790" t="s">
        <v>11</v>
      </c>
      <c r="H200" s="790" t="s">
        <v>27</v>
      </c>
      <c r="I200" s="790"/>
      <c r="J200" s="51"/>
      <c r="K200" s="51"/>
      <c r="L200" s="51">
        <v>240</v>
      </c>
      <c r="M200" s="51"/>
      <c r="N200" s="51">
        <v>240</v>
      </c>
      <c r="O200" s="51">
        <v>120</v>
      </c>
      <c r="P200" s="51">
        <v>120</v>
      </c>
      <c r="Q200" s="51">
        <v>120</v>
      </c>
      <c r="R200" s="511"/>
      <c r="S200" s="51">
        <v>240</v>
      </c>
      <c r="T200" s="51"/>
      <c r="U200" s="51"/>
      <c r="V200" s="51"/>
      <c r="W200" s="51"/>
      <c r="X200" s="131">
        <f>IF(NFI_Expiration=1,IF($A200&lt;VLOOKUP(I$5,NFI,5,0),1,0)*Data_NFI_t[[#This Row],[Hygiene Kit]],0)</f>
        <v>0</v>
      </c>
      <c r="Y200" s="131">
        <f>IF(NFI_Expiration=1,IF($A200&lt;VLOOKUP(J$5,NFI,5,0),1,0)*Data_NFI_t[[#This Row],[NFI Core Kit]],0)</f>
        <v>0</v>
      </c>
      <c r="Z200" s="112">
        <f>IF(NFI_Expiration=1,IF($A200&lt;VLOOKUP(K$5,NFI,5,0),1,0)*Data_NFI_t[[#This Row],[Sanitary Kit]],0)</f>
        <v>0</v>
      </c>
      <c r="AA200" s="112">
        <f>IF(NFI_Expiration=1,IF($A200&lt;VLOOKUP(L$5,NFI,5,0),1,0)*Data_NFI_t[[#This Row],[Mosquito net]],0)</f>
        <v>0</v>
      </c>
      <c r="AB200" s="112">
        <f>IF(NFI_Expiration=1,IF($A200&lt;VLOOKUP(M$5,NFI,5,0),1,0)*Data_NFI_t[[#This Row],[Tarpaulin]],0)</f>
        <v>0</v>
      </c>
      <c r="AC200" s="112">
        <f>IF(NFI_Expiration=1,IF($A200&lt;VLOOKUP(N$5,NFI,5,0),1,0)*Data_NFI_t[[#This Row],[Blanket]],0)</f>
        <v>0</v>
      </c>
      <c r="AD200" s="112">
        <f>IF(NFI_Expiration=1,IF($A200&lt;VLOOKUP(O$5,NFI,5,0),1,0)*Data_NFI_t[[#This Row],[Kitchen Set]],0)</f>
        <v>0</v>
      </c>
      <c r="AE200" s="112">
        <f>IF(NFI_Expiration=1,IF($A200&lt;VLOOKUP(P$5,NFI,5,0),1,0)*Data_NFI_t[[#This Row],[Complementary Kit]],0)</f>
        <v>0</v>
      </c>
      <c r="AF200" s="112">
        <f>IF(NFI_Expiration=1,IF($A200&lt;VLOOKUP(Q$5,NFI,5,0),1,0)*Data_NFI_t[[#This Row],[Plastic Bucket]],0)</f>
        <v>0</v>
      </c>
      <c r="AG200" s="112">
        <f>IF(NFI_Expiration=1,IF($A200&lt;VLOOKUP(R$5,NFI,5,0),1,0)*Data_NFI_t[[#This Row],[Jerry Can]],0)</f>
        <v>0</v>
      </c>
      <c r="AH200" s="131">
        <f>IF(NFI_Expiration=1,IF($A200&lt;VLOOKUP(S$5,NFI,5,0),1,0)*Data_NFI_t[[#This Row],[Plastic Mat]],0)*IF(Data_NFI_t[[#This Row],[Distribution Date]]&gt;"01-06-2015",1,2.5)</f>
        <v>0</v>
      </c>
      <c r="AI200" s="901">
        <f>IF(NFI_Expiration=1,IF($A200&lt;VLOOKUP(T$5,NFI,5,0),1,0)*Data_NFI_t[[#This Row],[Adult Clothes]],0)</f>
        <v>0</v>
      </c>
      <c r="AJ200" s="131">
        <f>IF(NFI_Expiration=1,IF($A200&lt;VLOOKUP(U$5,NFI,5,0),1,0)*Data_NFI_t[[#This Row],[Children Clothes]],0)</f>
        <v>0</v>
      </c>
      <c r="AK200" s="131">
        <f>IF(NFI_Expiration=1,IF($A200&lt;VLOOKUP(V$5,NFI,5,0),1,0)*Data_NFI_t[[#This Row],[Sewing Kit]],0)</f>
        <v>0</v>
      </c>
      <c r="AL200" s="901">
        <f>IF(NFI_Expiration=1,IF($A200&lt;VLOOKUP(V$5,NFI,5,0),1,0)*Data_NFI_t[[#This Row],[Solar Lantern]],0)</f>
        <v>0</v>
      </c>
      <c r="AM200" s="131" t="str">
        <f ca="1">IFERROR(OFFSET(Camp_List[P_Code],MATCH(Data_NFI_t[[#This Row],[Camp Name]],Camp_List[Camp Name],0)-1,0,1,1),"")</f>
        <v>MMR012CMP003</v>
      </c>
      <c r="AN200" s="513" t="str">
        <f ca="1">IFERROR(OFFSET(Camp_List[Status],MATCH(Data_NFI_t[[#This Row],[Camp Name]],Camp_List[Camp Name],0)-1,0,1,1),"")</f>
        <v>Returned</v>
      </c>
      <c r="AO200" s="131"/>
    </row>
    <row r="201" spans="1:41" s="90" customFormat="1" ht="19.5" customHeight="1" x14ac:dyDescent="0.25">
      <c r="A201" s="242">
        <f t="shared" si="4"/>
        <v>46.366666666666667</v>
      </c>
      <c r="B201" s="242">
        <f>YEAR(Data_NFI_t[[#This Row],[Distribution Date]])</f>
        <v>2013</v>
      </c>
      <c r="C201" s="913">
        <v>41465</v>
      </c>
      <c r="D201" s="489" t="s">
        <v>285</v>
      </c>
      <c r="E201" s="488" t="s">
        <v>285</v>
      </c>
      <c r="F201" s="489" t="s">
        <v>7</v>
      </c>
      <c r="G201" s="790" t="s">
        <v>11</v>
      </c>
      <c r="H201" s="790" t="s">
        <v>26</v>
      </c>
      <c r="I201" s="790"/>
      <c r="J201" s="51"/>
      <c r="K201" s="51"/>
      <c r="L201" s="51">
        <v>428</v>
      </c>
      <c r="M201" s="51"/>
      <c r="N201" s="51">
        <v>428</v>
      </c>
      <c r="O201" s="51">
        <v>214</v>
      </c>
      <c r="P201" s="51">
        <v>214</v>
      </c>
      <c r="Q201" s="51">
        <v>214</v>
      </c>
      <c r="R201" s="511"/>
      <c r="S201" s="51">
        <v>428</v>
      </c>
      <c r="T201" s="51"/>
      <c r="U201" s="51"/>
      <c r="V201" s="51"/>
      <c r="W201" s="51"/>
      <c r="X201" s="131">
        <f>IF(NFI_Expiration=1,IF($A201&lt;VLOOKUP(I$5,NFI,5,0),1,0)*Data_NFI_t[[#This Row],[Hygiene Kit]],0)</f>
        <v>0</v>
      </c>
      <c r="Y201" s="131">
        <f>IF(NFI_Expiration=1,IF($A201&lt;VLOOKUP(J$5,NFI,5,0),1,0)*Data_NFI_t[[#This Row],[NFI Core Kit]],0)</f>
        <v>0</v>
      </c>
      <c r="Z201" s="112">
        <f>IF(NFI_Expiration=1,IF($A201&lt;VLOOKUP(K$5,NFI,5,0),1,0)*Data_NFI_t[[#This Row],[Sanitary Kit]],0)</f>
        <v>0</v>
      </c>
      <c r="AA201" s="112">
        <f>IF(NFI_Expiration=1,IF($A201&lt;VLOOKUP(L$5,NFI,5,0),1,0)*Data_NFI_t[[#This Row],[Mosquito net]],0)</f>
        <v>0</v>
      </c>
      <c r="AB201" s="112">
        <f>IF(NFI_Expiration=1,IF($A201&lt;VLOOKUP(M$5,NFI,5,0),1,0)*Data_NFI_t[[#This Row],[Tarpaulin]],0)</f>
        <v>0</v>
      </c>
      <c r="AC201" s="112">
        <f>IF(NFI_Expiration=1,IF($A201&lt;VLOOKUP(N$5,NFI,5,0),1,0)*Data_NFI_t[[#This Row],[Blanket]],0)</f>
        <v>0</v>
      </c>
      <c r="AD201" s="112">
        <f>IF(NFI_Expiration=1,IF($A201&lt;VLOOKUP(O$5,NFI,5,0),1,0)*Data_NFI_t[[#This Row],[Kitchen Set]],0)</f>
        <v>0</v>
      </c>
      <c r="AE201" s="112">
        <f>IF(NFI_Expiration=1,IF($A201&lt;VLOOKUP(P$5,NFI,5,0),1,0)*Data_NFI_t[[#This Row],[Complementary Kit]],0)</f>
        <v>0</v>
      </c>
      <c r="AF201" s="112">
        <f>IF(NFI_Expiration=1,IF($A201&lt;VLOOKUP(Q$5,NFI,5,0),1,0)*Data_NFI_t[[#This Row],[Plastic Bucket]],0)</f>
        <v>0</v>
      </c>
      <c r="AG201" s="112">
        <f>IF(NFI_Expiration=1,IF($A201&lt;VLOOKUP(R$5,NFI,5,0),1,0)*Data_NFI_t[[#This Row],[Jerry Can]],0)</f>
        <v>0</v>
      </c>
      <c r="AH201" s="131">
        <f>IF(NFI_Expiration=1,IF($A201&lt;VLOOKUP(S$5,NFI,5,0),1,0)*Data_NFI_t[[#This Row],[Plastic Mat]],0)*IF(Data_NFI_t[[#This Row],[Distribution Date]]&gt;"01-06-2015",1,2.5)</f>
        <v>0</v>
      </c>
      <c r="AI201" s="901">
        <f>IF(NFI_Expiration=1,IF($A201&lt;VLOOKUP(T$5,NFI,5,0),1,0)*Data_NFI_t[[#This Row],[Adult Clothes]],0)</f>
        <v>0</v>
      </c>
      <c r="AJ201" s="131">
        <f>IF(NFI_Expiration=1,IF($A201&lt;VLOOKUP(U$5,NFI,5,0),1,0)*Data_NFI_t[[#This Row],[Children Clothes]],0)</f>
        <v>0</v>
      </c>
      <c r="AK201" s="131">
        <f>IF(NFI_Expiration=1,IF($A201&lt;VLOOKUP(V$5,NFI,5,0),1,0)*Data_NFI_t[[#This Row],[Sewing Kit]],0)</f>
        <v>0</v>
      </c>
      <c r="AL201" s="901">
        <f>IF(NFI_Expiration=1,IF($A201&lt;VLOOKUP(V$5,NFI,5,0),1,0)*Data_NFI_t[[#This Row],[Solar Lantern]],0)</f>
        <v>0</v>
      </c>
      <c r="AM201" s="131" t="str">
        <f ca="1">IFERROR(OFFSET(Camp_List[P_Code],MATCH(Data_NFI_t[[#This Row],[Camp Name]],Camp_List[Camp Name],0)-1,0,1,1),"")</f>
        <v>MMR012CMP002</v>
      </c>
      <c r="AN201" s="513" t="str">
        <f ca="1">IFERROR(OFFSET(Camp_List[Status],MATCH(Data_NFI_t[[#This Row],[Camp Name]],Camp_List[Camp Name],0)-1,0,1,1),"")</f>
        <v>Returned</v>
      </c>
      <c r="AO201" s="131"/>
    </row>
    <row r="202" spans="1:41" s="90" customFormat="1" ht="19.5" customHeight="1" x14ac:dyDescent="0.25">
      <c r="A202" s="242">
        <f t="shared" si="4"/>
        <v>46.4</v>
      </c>
      <c r="B202" s="242">
        <f>YEAR(Data_NFI_t[[#This Row],[Distribution Date]])</f>
        <v>2013</v>
      </c>
      <c r="C202" s="913">
        <v>41464</v>
      </c>
      <c r="D202" s="489" t="s">
        <v>285</v>
      </c>
      <c r="E202" s="488" t="s">
        <v>285</v>
      </c>
      <c r="F202" s="489" t="s">
        <v>7</v>
      </c>
      <c r="G202" s="790" t="s">
        <v>11</v>
      </c>
      <c r="H202" s="790" t="s">
        <v>30</v>
      </c>
      <c r="I202" s="790"/>
      <c r="J202" s="51"/>
      <c r="K202" s="51"/>
      <c r="L202" s="51">
        <v>290</v>
      </c>
      <c r="M202" s="51">
        <v>1312</v>
      </c>
      <c r="N202" s="51">
        <v>290</v>
      </c>
      <c r="O202" s="51">
        <v>145</v>
      </c>
      <c r="P202" s="51">
        <v>145</v>
      </c>
      <c r="Q202" s="51">
        <v>145</v>
      </c>
      <c r="R202" s="511"/>
      <c r="S202" s="51">
        <v>290</v>
      </c>
      <c r="T202" s="51"/>
      <c r="U202" s="51"/>
      <c r="V202" s="51"/>
      <c r="W202" s="51"/>
      <c r="X202" s="131">
        <f>IF(NFI_Expiration=1,IF($A202&lt;VLOOKUP(I$5,NFI,5,0),1,0)*Data_NFI_t[[#This Row],[Hygiene Kit]],0)</f>
        <v>0</v>
      </c>
      <c r="Y202" s="131">
        <f>IF(NFI_Expiration=1,IF($A202&lt;VLOOKUP(J$5,NFI,5,0),1,0)*Data_NFI_t[[#This Row],[NFI Core Kit]],0)</f>
        <v>0</v>
      </c>
      <c r="Z202" s="112">
        <f>IF(NFI_Expiration=1,IF($A202&lt;VLOOKUP(K$5,NFI,5,0),1,0)*Data_NFI_t[[#This Row],[Sanitary Kit]],0)</f>
        <v>0</v>
      </c>
      <c r="AA202" s="112">
        <f>IF(NFI_Expiration=1,IF($A202&lt;VLOOKUP(L$5,NFI,5,0),1,0)*Data_NFI_t[[#This Row],[Mosquito net]],0)</f>
        <v>0</v>
      </c>
      <c r="AB202" s="112">
        <f>IF(NFI_Expiration=1,IF($A202&lt;VLOOKUP(M$5,NFI,5,0),1,0)*Data_NFI_t[[#This Row],[Tarpaulin]],0)</f>
        <v>0</v>
      </c>
      <c r="AC202" s="112">
        <f>IF(NFI_Expiration=1,IF($A202&lt;VLOOKUP(N$5,NFI,5,0),1,0)*Data_NFI_t[[#This Row],[Blanket]],0)</f>
        <v>0</v>
      </c>
      <c r="AD202" s="112">
        <f>IF(NFI_Expiration=1,IF($A202&lt;VLOOKUP(O$5,NFI,5,0),1,0)*Data_NFI_t[[#This Row],[Kitchen Set]],0)</f>
        <v>0</v>
      </c>
      <c r="AE202" s="112">
        <f>IF(NFI_Expiration=1,IF($A202&lt;VLOOKUP(P$5,NFI,5,0),1,0)*Data_NFI_t[[#This Row],[Complementary Kit]],0)</f>
        <v>0</v>
      </c>
      <c r="AF202" s="112">
        <f>IF(NFI_Expiration=1,IF($A202&lt;VLOOKUP(Q$5,NFI,5,0),1,0)*Data_NFI_t[[#This Row],[Plastic Bucket]],0)</f>
        <v>0</v>
      </c>
      <c r="AG202" s="112">
        <f>IF(NFI_Expiration=1,IF($A202&lt;VLOOKUP(R$5,NFI,5,0),1,0)*Data_NFI_t[[#This Row],[Jerry Can]],0)</f>
        <v>0</v>
      </c>
      <c r="AH202" s="131">
        <f>IF(NFI_Expiration=1,IF($A202&lt;VLOOKUP(S$5,NFI,5,0),1,0)*Data_NFI_t[[#This Row],[Plastic Mat]],0)*IF(Data_NFI_t[[#This Row],[Distribution Date]]&gt;"01-06-2015",1,2.5)</f>
        <v>0</v>
      </c>
      <c r="AI202" s="901">
        <f>IF(NFI_Expiration=1,IF($A202&lt;VLOOKUP(T$5,NFI,5,0),1,0)*Data_NFI_t[[#This Row],[Adult Clothes]],0)</f>
        <v>0</v>
      </c>
      <c r="AJ202" s="131">
        <f>IF(NFI_Expiration=1,IF($A202&lt;VLOOKUP(U$5,NFI,5,0),1,0)*Data_NFI_t[[#This Row],[Children Clothes]],0)</f>
        <v>0</v>
      </c>
      <c r="AK202" s="131">
        <f>IF(NFI_Expiration=1,IF($A202&lt;VLOOKUP(V$5,NFI,5,0),1,0)*Data_NFI_t[[#This Row],[Sewing Kit]],0)</f>
        <v>0</v>
      </c>
      <c r="AL202" s="901">
        <f>IF(NFI_Expiration=1,IF($A202&lt;VLOOKUP(V$5,NFI,5,0),1,0)*Data_NFI_t[[#This Row],[Solar Lantern]],0)</f>
        <v>0</v>
      </c>
      <c r="AM202" s="131" t="str">
        <f ca="1">IFERROR(OFFSET(Camp_List[P_Code],MATCH(Data_NFI_t[[#This Row],[Camp Name]],Camp_List[Camp Name],0)-1,0,1,1),"")</f>
        <v>MMR012CMP006</v>
      </c>
      <c r="AN202" s="513" t="str">
        <f ca="1">IFERROR(OFFSET(Camp_List[Status],MATCH(Data_NFI_t[[#This Row],[Camp Name]],Camp_List[Camp Name],0)-1,0,1,1),"")</f>
        <v>Returned</v>
      </c>
      <c r="AO202" s="131"/>
    </row>
    <row r="203" spans="1:41" s="90" customFormat="1" ht="19.5" customHeight="1" x14ac:dyDescent="0.25">
      <c r="A203" s="242">
        <f t="shared" si="4"/>
        <v>46.4</v>
      </c>
      <c r="B203" s="242">
        <f>YEAR(Data_NFI_t[[#This Row],[Distribution Date]])</f>
        <v>2013</v>
      </c>
      <c r="C203" s="913">
        <v>41464</v>
      </c>
      <c r="D203" s="489" t="s">
        <v>285</v>
      </c>
      <c r="E203" s="488" t="s">
        <v>285</v>
      </c>
      <c r="F203" s="489" t="s">
        <v>7</v>
      </c>
      <c r="G203" s="790" t="s">
        <v>11</v>
      </c>
      <c r="H203" s="790" t="s">
        <v>25</v>
      </c>
      <c r="I203" s="790"/>
      <c r="J203" s="51"/>
      <c r="K203" s="51"/>
      <c r="L203" s="51">
        <v>130</v>
      </c>
      <c r="M203" s="51">
        <v>108</v>
      </c>
      <c r="N203" s="51">
        <v>130</v>
      </c>
      <c r="O203" s="51">
        <v>65</v>
      </c>
      <c r="P203" s="51">
        <v>65</v>
      </c>
      <c r="Q203" s="51">
        <v>65</v>
      </c>
      <c r="R203" s="511"/>
      <c r="S203" s="51">
        <v>130</v>
      </c>
      <c r="T203" s="51"/>
      <c r="U203" s="51"/>
      <c r="V203" s="51"/>
      <c r="W203" s="51"/>
      <c r="X203" s="131">
        <f>IF(NFI_Expiration=1,IF($A203&lt;VLOOKUP(I$5,NFI,5,0),1,0)*Data_NFI_t[[#This Row],[Hygiene Kit]],0)</f>
        <v>0</v>
      </c>
      <c r="Y203" s="131">
        <f>IF(NFI_Expiration=1,IF($A203&lt;VLOOKUP(J$5,NFI,5,0),1,0)*Data_NFI_t[[#This Row],[NFI Core Kit]],0)</f>
        <v>0</v>
      </c>
      <c r="Z203" s="112">
        <f>IF(NFI_Expiration=1,IF($A203&lt;VLOOKUP(K$5,NFI,5,0),1,0)*Data_NFI_t[[#This Row],[Sanitary Kit]],0)</f>
        <v>0</v>
      </c>
      <c r="AA203" s="112">
        <f>IF(NFI_Expiration=1,IF($A203&lt;VLOOKUP(L$5,NFI,5,0),1,0)*Data_NFI_t[[#This Row],[Mosquito net]],0)</f>
        <v>0</v>
      </c>
      <c r="AB203" s="112">
        <f>IF(NFI_Expiration=1,IF($A203&lt;VLOOKUP(M$5,NFI,5,0),1,0)*Data_NFI_t[[#This Row],[Tarpaulin]],0)</f>
        <v>0</v>
      </c>
      <c r="AC203" s="112">
        <f>IF(NFI_Expiration=1,IF($A203&lt;VLOOKUP(N$5,NFI,5,0),1,0)*Data_NFI_t[[#This Row],[Blanket]],0)</f>
        <v>0</v>
      </c>
      <c r="AD203" s="112">
        <f>IF(NFI_Expiration=1,IF($A203&lt;VLOOKUP(O$5,NFI,5,0),1,0)*Data_NFI_t[[#This Row],[Kitchen Set]],0)</f>
        <v>0</v>
      </c>
      <c r="AE203" s="112">
        <f>IF(NFI_Expiration=1,IF($A203&lt;VLOOKUP(P$5,NFI,5,0),1,0)*Data_NFI_t[[#This Row],[Complementary Kit]],0)</f>
        <v>0</v>
      </c>
      <c r="AF203" s="112">
        <f>IF(NFI_Expiration=1,IF($A203&lt;VLOOKUP(Q$5,NFI,5,0),1,0)*Data_NFI_t[[#This Row],[Plastic Bucket]],0)</f>
        <v>0</v>
      </c>
      <c r="AG203" s="112">
        <f>IF(NFI_Expiration=1,IF($A203&lt;VLOOKUP(R$5,NFI,5,0),1,0)*Data_NFI_t[[#This Row],[Jerry Can]],0)</f>
        <v>0</v>
      </c>
      <c r="AH203" s="131">
        <f>IF(NFI_Expiration=1,IF($A203&lt;VLOOKUP(S$5,NFI,5,0),1,0)*Data_NFI_t[[#This Row],[Plastic Mat]],0)*IF(Data_NFI_t[[#This Row],[Distribution Date]]&gt;"01-06-2015",1,2.5)</f>
        <v>0</v>
      </c>
      <c r="AI203" s="901">
        <f>IF(NFI_Expiration=1,IF($A203&lt;VLOOKUP(T$5,NFI,5,0),1,0)*Data_NFI_t[[#This Row],[Adult Clothes]],0)</f>
        <v>0</v>
      </c>
      <c r="AJ203" s="131">
        <f>IF(NFI_Expiration=1,IF($A203&lt;VLOOKUP(U$5,NFI,5,0),1,0)*Data_NFI_t[[#This Row],[Children Clothes]],0)</f>
        <v>0</v>
      </c>
      <c r="AK203" s="131">
        <f>IF(NFI_Expiration=1,IF($A203&lt;VLOOKUP(V$5,NFI,5,0),1,0)*Data_NFI_t[[#This Row],[Sewing Kit]],0)</f>
        <v>0</v>
      </c>
      <c r="AL203" s="901">
        <f>IF(NFI_Expiration=1,IF($A203&lt;VLOOKUP(V$5,NFI,5,0),1,0)*Data_NFI_t[[#This Row],[Solar Lantern]],0)</f>
        <v>0</v>
      </c>
      <c r="AM203" s="131" t="str">
        <f ca="1">IFERROR(OFFSET(Camp_List[P_Code],MATCH(Data_NFI_t[[#This Row],[Camp Name]],Camp_List[Camp Name],0)-1,0,1,1),"")</f>
        <v>MMR012CMP001</v>
      </c>
      <c r="AN203" s="513" t="str">
        <f ca="1">IFERROR(OFFSET(Camp_List[Status],MATCH(Data_NFI_t[[#This Row],[Camp Name]],Camp_List[Camp Name],0)-1,0,1,1),"")</f>
        <v>Returned</v>
      </c>
      <c r="AO203" s="131"/>
    </row>
    <row r="204" spans="1:41" s="90" customFormat="1" ht="19.5" customHeight="1" x14ac:dyDescent="0.25">
      <c r="A204" s="242">
        <f t="shared" si="4"/>
        <v>46.4</v>
      </c>
      <c r="B204" s="242">
        <f>YEAR(Data_NFI_t[[#This Row],[Distribution Date]])</f>
        <v>2013</v>
      </c>
      <c r="C204" s="913">
        <v>41464</v>
      </c>
      <c r="D204" s="489" t="s">
        <v>285</v>
      </c>
      <c r="E204" s="488" t="s">
        <v>285</v>
      </c>
      <c r="F204" s="489" t="s">
        <v>7</v>
      </c>
      <c r="G204" s="790" t="s">
        <v>11</v>
      </c>
      <c r="H204" s="790" t="s">
        <v>32</v>
      </c>
      <c r="I204" s="790"/>
      <c r="J204" s="51"/>
      <c r="K204" s="51"/>
      <c r="L204" s="51">
        <v>490</v>
      </c>
      <c r="M204" s="51"/>
      <c r="N204" s="51">
        <v>490</v>
      </c>
      <c r="O204" s="51">
        <v>245</v>
      </c>
      <c r="P204" s="51">
        <v>245</v>
      </c>
      <c r="Q204" s="51">
        <v>245</v>
      </c>
      <c r="R204" s="511"/>
      <c r="S204" s="51">
        <v>490</v>
      </c>
      <c r="T204" s="51"/>
      <c r="U204" s="51"/>
      <c r="V204" s="51"/>
      <c r="W204" s="51"/>
      <c r="X204" s="131">
        <f>IF(NFI_Expiration=1,IF($A204&lt;VLOOKUP(I$5,NFI,5,0),1,0)*Data_NFI_t[[#This Row],[Hygiene Kit]],0)</f>
        <v>0</v>
      </c>
      <c r="Y204" s="131">
        <f>IF(NFI_Expiration=1,IF($A204&lt;VLOOKUP(J$5,NFI,5,0),1,0)*Data_NFI_t[[#This Row],[NFI Core Kit]],0)</f>
        <v>0</v>
      </c>
      <c r="Z204" s="112">
        <f>IF(NFI_Expiration=1,IF($A204&lt;VLOOKUP(K$5,NFI,5,0),1,0)*Data_NFI_t[[#This Row],[Sanitary Kit]],0)</f>
        <v>0</v>
      </c>
      <c r="AA204" s="112">
        <f>IF(NFI_Expiration=1,IF($A204&lt;VLOOKUP(L$5,NFI,5,0),1,0)*Data_NFI_t[[#This Row],[Mosquito net]],0)</f>
        <v>0</v>
      </c>
      <c r="AB204" s="112">
        <f>IF(NFI_Expiration=1,IF($A204&lt;VLOOKUP(M$5,NFI,5,0),1,0)*Data_NFI_t[[#This Row],[Tarpaulin]],0)</f>
        <v>0</v>
      </c>
      <c r="AC204" s="112">
        <f>IF(NFI_Expiration=1,IF($A204&lt;VLOOKUP(N$5,NFI,5,0),1,0)*Data_NFI_t[[#This Row],[Blanket]],0)</f>
        <v>0</v>
      </c>
      <c r="AD204" s="112">
        <f>IF(NFI_Expiration=1,IF($A204&lt;VLOOKUP(O$5,NFI,5,0),1,0)*Data_NFI_t[[#This Row],[Kitchen Set]],0)</f>
        <v>0</v>
      </c>
      <c r="AE204" s="112">
        <f>IF(NFI_Expiration=1,IF($A204&lt;VLOOKUP(P$5,NFI,5,0),1,0)*Data_NFI_t[[#This Row],[Complementary Kit]],0)</f>
        <v>0</v>
      </c>
      <c r="AF204" s="112">
        <f>IF(NFI_Expiration=1,IF($A204&lt;VLOOKUP(Q$5,NFI,5,0),1,0)*Data_NFI_t[[#This Row],[Plastic Bucket]],0)</f>
        <v>0</v>
      </c>
      <c r="AG204" s="112">
        <f>IF(NFI_Expiration=1,IF($A204&lt;VLOOKUP(R$5,NFI,5,0),1,0)*Data_NFI_t[[#This Row],[Jerry Can]],0)</f>
        <v>0</v>
      </c>
      <c r="AH204" s="131">
        <f>IF(NFI_Expiration=1,IF($A204&lt;VLOOKUP(S$5,NFI,5,0),1,0)*Data_NFI_t[[#This Row],[Plastic Mat]],0)*IF(Data_NFI_t[[#This Row],[Distribution Date]]&gt;"01-06-2015",1,2.5)</f>
        <v>0</v>
      </c>
      <c r="AI204" s="901">
        <f>IF(NFI_Expiration=1,IF($A204&lt;VLOOKUP(T$5,NFI,5,0),1,0)*Data_NFI_t[[#This Row],[Adult Clothes]],0)</f>
        <v>0</v>
      </c>
      <c r="AJ204" s="131">
        <f>IF(NFI_Expiration=1,IF($A204&lt;VLOOKUP(U$5,NFI,5,0),1,0)*Data_NFI_t[[#This Row],[Children Clothes]],0)</f>
        <v>0</v>
      </c>
      <c r="AK204" s="131">
        <f>IF(NFI_Expiration=1,IF($A204&lt;VLOOKUP(V$5,NFI,5,0),1,0)*Data_NFI_t[[#This Row],[Sewing Kit]],0)</f>
        <v>0</v>
      </c>
      <c r="AL204" s="901">
        <f>IF(NFI_Expiration=1,IF($A204&lt;VLOOKUP(V$5,NFI,5,0),1,0)*Data_NFI_t[[#This Row],[Solar Lantern]],0)</f>
        <v>0</v>
      </c>
      <c r="AM204" s="131" t="str">
        <f ca="1">IFERROR(OFFSET(Camp_List[P_Code],MATCH(Data_NFI_t[[#This Row],[Camp Name]],Camp_List[Camp Name],0)-1,0,1,1),"")</f>
        <v>MMR012CMP008</v>
      </c>
      <c r="AN204" s="513" t="str">
        <f ca="1">IFERROR(OFFSET(Camp_List[Status],MATCH(Data_NFI_t[[#This Row],[Camp Name]],Camp_List[Camp Name],0)-1,0,1,1),"")</f>
        <v>Returned</v>
      </c>
      <c r="AO204" s="131"/>
    </row>
    <row r="205" spans="1:41" s="90" customFormat="1" ht="19.5" customHeight="1" x14ac:dyDescent="0.25">
      <c r="A205" s="242">
        <f t="shared" si="4"/>
        <v>46.4</v>
      </c>
      <c r="B205" s="242">
        <f>YEAR(Data_NFI_t[[#This Row],[Distribution Date]])</f>
        <v>2013</v>
      </c>
      <c r="C205" s="913">
        <v>41464</v>
      </c>
      <c r="D205" s="489" t="s">
        <v>285</v>
      </c>
      <c r="E205" s="488" t="s">
        <v>285</v>
      </c>
      <c r="F205" s="489" t="s">
        <v>7</v>
      </c>
      <c r="G205" s="790" t="s">
        <v>11</v>
      </c>
      <c r="H205" s="790" t="s">
        <v>31</v>
      </c>
      <c r="I205" s="790"/>
      <c r="J205" s="51">
        <v>33</v>
      </c>
      <c r="K205" s="51"/>
      <c r="L205" s="51">
        <v>66</v>
      </c>
      <c r="M205" s="51">
        <v>33</v>
      </c>
      <c r="N205" s="51">
        <v>66</v>
      </c>
      <c r="O205" s="51">
        <v>33</v>
      </c>
      <c r="P205" s="51">
        <v>33</v>
      </c>
      <c r="Q205" s="51">
        <v>33</v>
      </c>
      <c r="R205" s="511"/>
      <c r="S205" s="51">
        <v>66</v>
      </c>
      <c r="T205" s="51"/>
      <c r="U205" s="51"/>
      <c r="V205" s="51"/>
      <c r="W205" s="51"/>
      <c r="X205" s="131">
        <f>IF(NFI_Expiration=1,IF($A205&lt;VLOOKUP(I$5,NFI,5,0),1,0)*Data_NFI_t[[#This Row],[Hygiene Kit]],0)</f>
        <v>0</v>
      </c>
      <c r="Y205" s="131">
        <f>IF(NFI_Expiration=1,IF($A205&lt;VLOOKUP(J$5,NFI,5,0),1,0)*Data_NFI_t[[#This Row],[NFI Core Kit]],0)</f>
        <v>0</v>
      </c>
      <c r="Z205" s="112">
        <f>IF(NFI_Expiration=1,IF($A205&lt;VLOOKUP(K$5,NFI,5,0),1,0)*Data_NFI_t[[#This Row],[Sanitary Kit]],0)</f>
        <v>0</v>
      </c>
      <c r="AA205" s="112">
        <f>IF(NFI_Expiration=1,IF($A205&lt;VLOOKUP(L$5,NFI,5,0),1,0)*Data_NFI_t[[#This Row],[Mosquito net]],0)</f>
        <v>0</v>
      </c>
      <c r="AB205" s="112">
        <f>IF(NFI_Expiration=1,IF($A205&lt;VLOOKUP(M$5,NFI,5,0),1,0)*Data_NFI_t[[#This Row],[Tarpaulin]],0)</f>
        <v>0</v>
      </c>
      <c r="AC205" s="112">
        <f>IF(NFI_Expiration=1,IF($A205&lt;VLOOKUP(N$5,NFI,5,0),1,0)*Data_NFI_t[[#This Row],[Blanket]],0)</f>
        <v>0</v>
      </c>
      <c r="AD205" s="112">
        <f>IF(NFI_Expiration=1,IF($A205&lt;VLOOKUP(O$5,NFI,5,0),1,0)*Data_NFI_t[[#This Row],[Kitchen Set]],0)</f>
        <v>0</v>
      </c>
      <c r="AE205" s="112">
        <f>IF(NFI_Expiration=1,IF($A205&lt;VLOOKUP(P$5,NFI,5,0),1,0)*Data_NFI_t[[#This Row],[Complementary Kit]],0)</f>
        <v>0</v>
      </c>
      <c r="AF205" s="112">
        <f>IF(NFI_Expiration=1,IF($A205&lt;VLOOKUP(Q$5,NFI,5,0),1,0)*Data_NFI_t[[#This Row],[Plastic Bucket]],0)</f>
        <v>0</v>
      </c>
      <c r="AG205" s="112">
        <f>IF(NFI_Expiration=1,IF($A205&lt;VLOOKUP(R$5,NFI,5,0),1,0)*Data_NFI_t[[#This Row],[Jerry Can]],0)</f>
        <v>0</v>
      </c>
      <c r="AH205" s="131">
        <f>IF(NFI_Expiration=1,IF($A205&lt;VLOOKUP(S$5,NFI,5,0),1,0)*Data_NFI_t[[#This Row],[Plastic Mat]],0)*IF(Data_NFI_t[[#This Row],[Distribution Date]]&gt;"01-06-2015",1,2.5)</f>
        <v>0</v>
      </c>
      <c r="AI205" s="901">
        <f>IF(NFI_Expiration=1,IF($A205&lt;VLOOKUP(T$5,NFI,5,0),1,0)*Data_NFI_t[[#This Row],[Adult Clothes]],0)</f>
        <v>0</v>
      </c>
      <c r="AJ205" s="131">
        <f>IF(NFI_Expiration=1,IF($A205&lt;VLOOKUP(U$5,NFI,5,0),1,0)*Data_NFI_t[[#This Row],[Children Clothes]],0)</f>
        <v>0</v>
      </c>
      <c r="AK205" s="131">
        <f>IF(NFI_Expiration=1,IF($A205&lt;VLOOKUP(V$5,NFI,5,0),1,0)*Data_NFI_t[[#This Row],[Sewing Kit]],0)</f>
        <v>0</v>
      </c>
      <c r="AL205" s="901">
        <f>IF(NFI_Expiration=1,IF($A205&lt;VLOOKUP(V$5,NFI,5,0),1,0)*Data_NFI_t[[#This Row],[Solar Lantern]],0)</f>
        <v>0</v>
      </c>
      <c r="AM205" s="131" t="str">
        <f ca="1">IFERROR(OFFSET(Camp_List[P_Code],MATCH(Data_NFI_t[[#This Row],[Camp Name]],Camp_List[Camp Name],0)-1,0,1,1),"")</f>
        <v>MMR012CMP007</v>
      </c>
      <c r="AN205" s="513" t="str">
        <f ca="1">IFERROR(OFFSET(Camp_List[Status],MATCH(Data_NFI_t[[#This Row],[Camp Name]],Camp_List[Camp Name],0)-1,0,1,1),"")</f>
        <v>Close</v>
      </c>
      <c r="AO205" s="131"/>
    </row>
    <row r="206" spans="1:41" s="90" customFormat="1" ht="19.5" customHeight="1" x14ac:dyDescent="0.25">
      <c r="A206" s="242">
        <f t="shared" si="4"/>
        <v>46.4</v>
      </c>
      <c r="B206" s="242">
        <f>YEAR(Data_NFI_t[[#This Row],[Distribution Date]])</f>
        <v>2013</v>
      </c>
      <c r="C206" s="913">
        <v>41464</v>
      </c>
      <c r="D206" s="489" t="s">
        <v>285</v>
      </c>
      <c r="E206" s="488" t="s">
        <v>285</v>
      </c>
      <c r="F206" s="489" t="s">
        <v>7</v>
      </c>
      <c r="G206" s="790" t="s">
        <v>11</v>
      </c>
      <c r="H206" s="790" t="s">
        <v>31</v>
      </c>
      <c r="I206" s="790"/>
      <c r="J206" s="51"/>
      <c r="K206" s="51"/>
      <c r="L206" s="51"/>
      <c r="M206" s="51"/>
      <c r="N206" s="51"/>
      <c r="O206" s="51"/>
      <c r="P206" s="51"/>
      <c r="Q206" s="51"/>
      <c r="R206" s="511"/>
      <c r="S206" s="51"/>
      <c r="T206" s="51"/>
      <c r="U206" s="51"/>
      <c r="V206" s="51"/>
      <c r="W206" s="51"/>
      <c r="X206" s="131">
        <f>IF(NFI_Expiration=1,IF($A206&lt;VLOOKUP(I$5,NFI,5,0),1,0)*Data_NFI_t[[#This Row],[Hygiene Kit]],0)</f>
        <v>0</v>
      </c>
      <c r="Y206" s="131">
        <f>IF(NFI_Expiration=1,IF($A206&lt;VLOOKUP(J$5,NFI,5,0),1,0)*Data_NFI_t[[#This Row],[NFI Core Kit]],0)</f>
        <v>0</v>
      </c>
      <c r="Z206" s="112">
        <f>IF(NFI_Expiration=1,IF($A206&lt;VLOOKUP(K$5,NFI,5,0),1,0)*Data_NFI_t[[#This Row],[Sanitary Kit]],0)</f>
        <v>0</v>
      </c>
      <c r="AA206" s="112">
        <f>IF(NFI_Expiration=1,IF($A206&lt;VLOOKUP(L$5,NFI,5,0),1,0)*Data_NFI_t[[#This Row],[Mosquito net]],0)</f>
        <v>0</v>
      </c>
      <c r="AB206" s="112">
        <f>IF(NFI_Expiration=1,IF($A206&lt;VLOOKUP(M$5,NFI,5,0),1,0)*Data_NFI_t[[#This Row],[Tarpaulin]],0)</f>
        <v>0</v>
      </c>
      <c r="AC206" s="112">
        <f>IF(NFI_Expiration=1,IF($A206&lt;VLOOKUP(N$5,NFI,5,0),1,0)*Data_NFI_t[[#This Row],[Blanket]],0)</f>
        <v>0</v>
      </c>
      <c r="AD206" s="112">
        <f>IF(NFI_Expiration=1,IF($A206&lt;VLOOKUP(O$5,NFI,5,0),1,0)*Data_NFI_t[[#This Row],[Kitchen Set]],0)</f>
        <v>0</v>
      </c>
      <c r="AE206" s="112">
        <f>IF(NFI_Expiration=1,IF($A206&lt;VLOOKUP(P$5,NFI,5,0),1,0)*Data_NFI_t[[#This Row],[Complementary Kit]],0)</f>
        <v>0</v>
      </c>
      <c r="AF206" s="112">
        <f>IF(NFI_Expiration=1,IF($A206&lt;VLOOKUP(Q$5,NFI,5,0),1,0)*Data_NFI_t[[#This Row],[Plastic Bucket]],0)</f>
        <v>0</v>
      </c>
      <c r="AG206" s="112">
        <f>IF(NFI_Expiration=1,IF($A206&lt;VLOOKUP(R$5,NFI,5,0),1,0)*Data_NFI_t[[#This Row],[Jerry Can]],0)</f>
        <v>0</v>
      </c>
      <c r="AH206" s="131">
        <f>IF(NFI_Expiration=1,IF($A206&lt;VLOOKUP(S$5,NFI,5,0),1,0)*Data_NFI_t[[#This Row],[Plastic Mat]],0)*IF(Data_NFI_t[[#This Row],[Distribution Date]]&gt;"01-06-2015",1,2.5)</f>
        <v>0</v>
      </c>
      <c r="AI206" s="901">
        <f>IF(NFI_Expiration=1,IF($A206&lt;VLOOKUP(T$5,NFI,5,0),1,0)*Data_NFI_t[[#This Row],[Adult Clothes]],0)</f>
        <v>0</v>
      </c>
      <c r="AJ206" s="131">
        <f>IF(NFI_Expiration=1,IF($A206&lt;VLOOKUP(U$5,NFI,5,0),1,0)*Data_NFI_t[[#This Row],[Children Clothes]],0)</f>
        <v>0</v>
      </c>
      <c r="AK206" s="131">
        <f>IF(NFI_Expiration=1,IF($A206&lt;VLOOKUP(V$5,NFI,5,0),1,0)*Data_NFI_t[[#This Row],[Sewing Kit]],0)</f>
        <v>0</v>
      </c>
      <c r="AL206" s="901">
        <f>IF(NFI_Expiration=1,IF($A206&lt;VLOOKUP(V$5,NFI,5,0),1,0)*Data_NFI_t[[#This Row],[Solar Lantern]],0)</f>
        <v>0</v>
      </c>
      <c r="AM206" s="131" t="str">
        <f ca="1">IFERROR(OFFSET(Camp_List[P_Code],MATCH(Data_NFI_t[[#This Row],[Camp Name]],Camp_List[Camp Name],0)-1,0,1,1),"")</f>
        <v>MMR012CMP007</v>
      </c>
      <c r="AN206" s="513" t="str">
        <f ca="1">IFERROR(OFFSET(Camp_List[Status],MATCH(Data_NFI_t[[#This Row],[Camp Name]],Camp_List[Camp Name],0)-1,0,1,1),"")</f>
        <v>Close</v>
      </c>
      <c r="AO206" s="131"/>
    </row>
    <row r="207" spans="1:41" s="90" customFormat="1" ht="19.5" customHeight="1" x14ac:dyDescent="0.25">
      <c r="A207" s="242">
        <f t="shared" si="4"/>
        <v>46.5</v>
      </c>
      <c r="B207" s="242">
        <f>YEAR(Data_NFI_t[[#This Row],[Distribution Date]])</f>
        <v>2013</v>
      </c>
      <c r="C207" s="913">
        <v>41461</v>
      </c>
      <c r="D207" s="489" t="s">
        <v>285</v>
      </c>
      <c r="E207" s="488" t="s">
        <v>285</v>
      </c>
      <c r="F207" s="489" t="s">
        <v>7</v>
      </c>
      <c r="G207" s="790" t="s">
        <v>1002</v>
      </c>
      <c r="H207" s="790" t="s">
        <v>33</v>
      </c>
      <c r="I207" s="790"/>
      <c r="J207" s="51"/>
      <c r="K207" s="51"/>
      <c r="L207" s="51">
        <v>600</v>
      </c>
      <c r="M207" s="51">
        <v>5</v>
      </c>
      <c r="N207" s="51">
        <v>600</v>
      </c>
      <c r="O207" s="51">
        <v>300</v>
      </c>
      <c r="P207" s="51">
        <v>300</v>
      </c>
      <c r="Q207" s="51">
        <v>300</v>
      </c>
      <c r="R207" s="511"/>
      <c r="S207" s="51">
        <v>600</v>
      </c>
      <c r="T207" s="51"/>
      <c r="U207" s="51"/>
      <c r="V207" s="51"/>
      <c r="W207" s="51"/>
      <c r="X207" s="131">
        <f>IF(NFI_Expiration=1,IF($A207&lt;VLOOKUP(I$5,NFI,5,0),1,0)*Data_NFI_t[[#This Row],[Hygiene Kit]],0)</f>
        <v>0</v>
      </c>
      <c r="Y207" s="131">
        <f>IF(NFI_Expiration=1,IF($A207&lt;VLOOKUP(J$5,NFI,5,0),1,0)*Data_NFI_t[[#This Row],[NFI Core Kit]],0)</f>
        <v>0</v>
      </c>
      <c r="Z207" s="112">
        <f>IF(NFI_Expiration=1,IF($A207&lt;VLOOKUP(K$5,NFI,5,0),1,0)*Data_NFI_t[[#This Row],[Sanitary Kit]],0)</f>
        <v>0</v>
      </c>
      <c r="AA207" s="112">
        <f>IF(NFI_Expiration=1,IF($A207&lt;VLOOKUP(L$5,NFI,5,0),1,0)*Data_NFI_t[[#This Row],[Mosquito net]],0)</f>
        <v>0</v>
      </c>
      <c r="AB207" s="112">
        <f>IF(NFI_Expiration=1,IF($A207&lt;VLOOKUP(M$5,NFI,5,0),1,0)*Data_NFI_t[[#This Row],[Tarpaulin]],0)</f>
        <v>0</v>
      </c>
      <c r="AC207" s="112">
        <f>IF(NFI_Expiration=1,IF($A207&lt;VLOOKUP(N$5,NFI,5,0),1,0)*Data_NFI_t[[#This Row],[Blanket]],0)</f>
        <v>0</v>
      </c>
      <c r="AD207" s="112">
        <f>IF(NFI_Expiration=1,IF($A207&lt;VLOOKUP(O$5,NFI,5,0),1,0)*Data_NFI_t[[#This Row],[Kitchen Set]],0)</f>
        <v>0</v>
      </c>
      <c r="AE207" s="112">
        <f>IF(NFI_Expiration=1,IF($A207&lt;VLOOKUP(P$5,NFI,5,0),1,0)*Data_NFI_t[[#This Row],[Complementary Kit]],0)</f>
        <v>0</v>
      </c>
      <c r="AF207" s="112">
        <f>IF(NFI_Expiration=1,IF($A207&lt;VLOOKUP(Q$5,NFI,5,0),1,0)*Data_NFI_t[[#This Row],[Plastic Bucket]],0)</f>
        <v>0</v>
      </c>
      <c r="AG207" s="112">
        <f>IF(NFI_Expiration=1,IF($A207&lt;VLOOKUP(R$5,NFI,5,0),1,0)*Data_NFI_t[[#This Row],[Jerry Can]],0)</f>
        <v>0</v>
      </c>
      <c r="AH207" s="131">
        <f>IF(NFI_Expiration=1,IF($A207&lt;VLOOKUP(S$5,NFI,5,0),1,0)*Data_NFI_t[[#This Row],[Plastic Mat]],0)*IF(Data_NFI_t[[#This Row],[Distribution Date]]&gt;"01-06-2015",1,2.5)</f>
        <v>0</v>
      </c>
      <c r="AI207" s="901">
        <f>IF(NFI_Expiration=1,IF($A207&lt;VLOOKUP(T$5,NFI,5,0),1,0)*Data_NFI_t[[#This Row],[Adult Clothes]],0)</f>
        <v>0</v>
      </c>
      <c r="AJ207" s="131">
        <f>IF(NFI_Expiration=1,IF($A207&lt;VLOOKUP(U$5,NFI,5,0),1,0)*Data_NFI_t[[#This Row],[Children Clothes]],0)</f>
        <v>0</v>
      </c>
      <c r="AK207" s="131">
        <f>IF(NFI_Expiration=1,IF($A207&lt;VLOOKUP(V$5,NFI,5,0),1,0)*Data_NFI_t[[#This Row],[Sewing Kit]],0)</f>
        <v>0</v>
      </c>
      <c r="AL207" s="901">
        <f>IF(NFI_Expiration=1,IF($A207&lt;VLOOKUP(V$5,NFI,5,0),1,0)*Data_NFI_t[[#This Row],[Solar Lantern]],0)</f>
        <v>0</v>
      </c>
      <c r="AM207" s="131" t="str">
        <f ca="1">IFERROR(OFFSET(Camp_List[P_Code],MATCH(Data_NFI_t[[#This Row],[Camp Name]],Camp_List[Camp Name],0)-1,0,1,1),"")</f>
        <v>MMR012CMP009</v>
      </c>
      <c r="AN207" s="513" t="str">
        <f ca="1">IFERROR(OFFSET(Camp_List[Status],MATCH(Data_NFI_t[[#This Row],[Camp Name]],Camp_List[Camp Name],0)-1,0,1,1),"")</f>
        <v>Returned</v>
      </c>
      <c r="AO207" s="131"/>
    </row>
    <row r="208" spans="1:41" s="90" customFormat="1" ht="19.5" customHeight="1" x14ac:dyDescent="0.25">
      <c r="A208" s="242">
        <f t="shared" si="4"/>
        <v>46.5</v>
      </c>
      <c r="B208" s="242">
        <f>YEAR(Data_NFI_t[[#This Row],[Distribution Date]])</f>
        <v>2013</v>
      </c>
      <c r="C208" s="913">
        <v>41461</v>
      </c>
      <c r="D208" s="489" t="s">
        <v>285</v>
      </c>
      <c r="E208" s="488" t="s">
        <v>285</v>
      </c>
      <c r="F208" s="489" t="s">
        <v>7</v>
      </c>
      <c r="G208" s="790" t="s">
        <v>11</v>
      </c>
      <c r="H208" s="790" t="s">
        <v>29</v>
      </c>
      <c r="I208" s="790"/>
      <c r="J208" s="51"/>
      <c r="K208" s="51"/>
      <c r="L208" s="51">
        <v>458</v>
      </c>
      <c r="M208" s="51"/>
      <c r="N208" s="51">
        <v>458</v>
      </c>
      <c r="O208" s="51">
        <v>229</v>
      </c>
      <c r="P208" s="51">
        <v>229</v>
      </c>
      <c r="Q208" s="51">
        <v>229</v>
      </c>
      <c r="R208" s="511"/>
      <c r="S208" s="51">
        <v>458</v>
      </c>
      <c r="T208" s="51"/>
      <c r="U208" s="51"/>
      <c r="V208" s="51"/>
      <c r="W208" s="51"/>
      <c r="X208" s="131">
        <f>IF(NFI_Expiration=1,IF($A208&lt;VLOOKUP(I$5,NFI,5,0),1,0)*Data_NFI_t[[#This Row],[Hygiene Kit]],0)</f>
        <v>0</v>
      </c>
      <c r="Y208" s="131">
        <f>IF(NFI_Expiration=1,IF($A208&lt;VLOOKUP(J$5,NFI,5,0),1,0)*Data_NFI_t[[#This Row],[NFI Core Kit]],0)</f>
        <v>0</v>
      </c>
      <c r="Z208" s="112">
        <f>IF(NFI_Expiration=1,IF($A208&lt;VLOOKUP(K$5,NFI,5,0),1,0)*Data_NFI_t[[#This Row],[Sanitary Kit]],0)</f>
        <v>0</v>
      </c>
      <c r="AA208" s="112">
        <f>IF(NFI_Expiration=1,IF($A208&lt;VLOOKUP(L$5,NFI,5,0),1,0)*Data_NFI_t[[#This Row],[Mosquito net]],0)</f>
        <v>0</v>
      </c>
      <c r="AB208" s="112">
        <f>IF(NFI_Expiration=1,IF($A208&lt;VLOOKUP(M$5,NFI,5,0),1,0)*Data_NFI_t[[#This Row],[Tarpaulin]],0)</f>
        <v>0</v>
      </c>
      <c r="AC208" s="112">
        <f>IF(NFI_Expiration=1,IF($A208&lt;VLOOKUP(N$5,NFI,5,0),1,0)*Data_NFI_t[[#This Row],[Blanket]],0)</f>
        <v>0</v>
      </c>
      <c r="AD208" s="112">
        <f>IF(NFI_Expiration=1,IF($A208&lt;VLOOKUP(O$5,NFI,5,0),1,0)*Data_NFI_t[[#This Row],[Kitchen Set]],0)</f>
        <v>0</v>
      </c>
      <c r="AE208" s="112">
        <f>IF(NFI_Expiration=1,IF($A208&lt;VLOOKUP(P$5,NFI,5,0),1,0)*Data_NFI_t[[#This Row],[Complementary Kit]],0)</f>
        <v>0</v>
      </c>
      <c r="AF208" s="112">
        <f>IF(NFI_Expiration=1,IF($A208&lt;VLOOKUP(Q$5,NFI,5,0),1,0)*Data_NFI_t[[#This Row],[Plastic Bucket]],0)</f>
        <v>0</v>
      </c>
      <c r="AG208" s="112">
        <f>IF(NFI_Expiration=1,IF($A208&lt;VLOOKUP(R$5,NFI,5,0),1,0)*Data_NFI_t[[#This Row],[Jerry Can]],0)</f>
        <v>0</v>
      </c>
      <c r="AH208" s="131">
        <f>IF(NFI_Expiration=1,IF($A208&lt;VLOOKUP(S$5,NFI,5,0),1,0)*Data_NFI_t[[#This Row],[Plastic Mat]],0)*IF(Data_NFI_t[[#This Row],[Distribution Date]]&gt;"01-06-2015",1,2.5)</f>
        <v>0</v>
      </c>
      <c r="AI208" s="901">
        <f>IF(NFI_Expiration=1,IF($A208&lt;VLOOKUP(T$5,NFI,5,0),1,0)*Data_NFI_t[[#This Row],[Adult Clothes]],0)</f>
        <v>0</v>
      </c>
      <c r="AJ208" s="131">
        <f>IF(NFI_Expiration=1,IF($A208&lt;VLOOKUP(U$5,NFI,5,0),1,0)*Data_NFI_t[[#This Row],[Children Clothes]],0)</f>
        <v>0</v>
      </c>
      <c r="AK208" s="131">
        <f>IF(NFI_Expiration=1,IF($A208&lt;VLOOKUP(V$5,NFI,5,0),1,0)*Data_NFI_t[[#This Row],[Sewing Kit]],0)</f>
        <v>0</v>
      </c>
      <c r="AL208" s="901">
        <f>IF(NFI_Expiration=1,IF($A208&lt;VLOOKUP(V$5,NFI,5,0),1,0)*Data_NFI_t[[#This Row],[Solar Lantern]],0)</f>
        <v>0</v>
      </c>
      <c r="AM208" s="131" t="str">
        <f ca="1">IFERROR(OFFSET(Camp_List[P_Code],MATCH(Data_NFI_t[[#This Row],[Camp Name]],Camp_List[Camp Name],0)-1,0,1,1),"")</f>
        <v>MMR012CMP005</v>
      </c>
      <c r="AN208" s="513" t="str">
        <f ca="1">IFERROR(OFFSET(Camp_List[Status],MATCH(Data_NFI_t[[#This Row],[Camp Name]],Camp_List[Camp Name],0)-1,0,1,1),"")</f>
        <v>Returned</v>
      </c>
      <c r="AO208" s="131"/>
    </row>
    <row r="209" spans="1:41" s="90" customFormat="1" ht="19.5" customHeight="1" x14ac:dyDescent="0.25">
      <c r="A209" s="242">
        <f t="shared" si="4"/>
        <v>46.5</v>
      </c>
      <c r="B209" s="242">
        <f>YEAR(Data_NFI_t[[#This Row],[Distribution Date]])</f>
        <v>2013</v>
      </c>
      <c r="C209" s="913">
        <v>41461</v>
      </c>
      <c r="D209" s="489" t="s">
        <v>285</v>
      </c>
      <c r="E209" s="488" t="s">
        <v>285</v>
      </c>
      <c r="F209" s="489" t="s">
        <v>7</v>
      </c>
      <c r="G209" s="790" t="s">
        <v>1002</v>
      </c>
      <c r="H209" s="790" t="s">
        <v>34</v>
      </c>
      <c r="I209" s="790"/>
      <c r="J209" s="51"/>
      <c r="K209" s="51"/>
      <c r="L209" s="51">
        <v>730</v>
      </c>
      <c r="M209" s="51"/>
      <c r="N209" s="51">
        <v>730</v>
      </c>
      <c r="O209" s="51">
        <v>365</v>
      </c>
      <c r="P209" s="51">
        <v>365</v>
      </c>
      <c r="Q209" s="51">
        <v>365</v>
      </c>
      <c r="R209" s="511"/>
      <c r="S209" s="51">
        <v>730</v>
      </c>
      <c r="T209" s="51"/>
      <c r="U209" s="51"/>
      <c r="V209" s="51"/>
      <c r="W209" s="51"/>
      <c r="X209" s="131">
        <f>IF(NFI_Expiration=1,IF($A209&lt;VLOOKUP(I$5,NFI,5,0),1,0)*Data_NFI_t[[#This Row],[Hygiene Kit]],0)</f>
        <v>0</v>
      </c>
      <c r="Y209" s="131">
        <f>IF(NFI_Expiration=1,IF($A209&lt;VLOOKUP(J$5,NFI,5,0),1,0)*Data_NFI_t[[#This Row],[NFI Core Kit]],0)</f>
        <v>0</v>
      </c>
      <c r="Z209" s="112">
        <f>IF(NFI_Expiration=1,IF($A209&lt;VLOOKUP(K$5,NFI,5,0),1,0)*Data_NFI_t[[#This Row],[Sanitary Kit]],0)</f>
        <v>0</v>
      </c>
      <c r="AA209" s="112">
        <f>IF(NFI_Expiration=1,IF($A209&lt;VLOOKUP(L$5,NFI,5,0),1,0)*Data_NFI_t[[#This Row],[Mosquito net]],0)</f>
        <v>0</v>
      </c>
      <c r="AB209" s="112">
        <f>IF(NFI_Expiration=1,IF($A209&lt;VLOOKUP(M$5,NFI,5,0),1,0)*Data_NFI_t[[#This Row],[Tarpaulin]],0)</f>
        <v>0</v>
      </c>
      <c r="AC209" s="112">
        <f>IF(NFI_Expiration=1,IF($A209&lt;VLOOKUP(N$5,NFI,5,0),1,0)*Data_NFI_t[[#This Row],[Blanket]],0)</f>
        <v>0</v>
      </c>
      <c r="AD209" s="112">
        <f>IF(NFI_Expiration=1,IF($A209&lt;VLOOKUP(O$5,NFI,5,0),1,0)*Data_NFI_t[[#This Row],[Kitchen Set]],0)</f>
        <v>0</v>
      </c>
      <c r="AE209" s="112">
        <f>IF(NFI_Expiration=1,IF($A209&lt;VLOOKUP(P$5,NFI,5,0),1,0)*Data_NFI_t[[#This Row],[Complementary Kit]],0)</f>
        <v>0</v>
      </c>
      <c r="AF209" s="112">
        <f>IF(NFI_Expiration=1,IF($A209&lt;VLOOKUP(Q$5,NFI,5,0),1,0)*Data_NFI_t[[#This Row],[Plastic Bucket]],0)</f>
        <v>0</v>
      </c>
      <c r="AG209" s="112">
        <f>IF(NFI_Expiration=1,IF($A209&lt;VLOOKUP(R$5,NFI,5,0),1,0)*Data_NFI_t[[#This Row],[Jerry Can]],0)</f>
        <v>0</v>
      </c>
      <c r="AH209" s="131">
        <f>IF(NFI_Expiration=1,IF($A209&lt;VLOOKUP(S$5,NFI,5,0),1,0)*Data_NFI_t[[#This Row],[Plastic Mat]],0)*IF(Data_NFI_t[[#This Row],[Distribution Date]]&gt;"01-06-2015",1,2.5)</f>
        <v>0</v>
      </c>
      <c r="AI209" s="901">
        <f>IF(NFI_Expiration=1,IF($A209&lt;VLOOKUP(T$5,NFI,5,0),1,0)*Data_NFI_t[[#This Row],[Adult Clothes]],0)</f>
        <v>0</v>
      </c>
      <c r="AJ209" s="131">
        <f>IF(NFI_Expiration=1,IF($A209&lt;VLOOKUP(U$5,NFI,5,0),1,0)*Data_NFI_t[[#This Row],[Children Clothes]],0)</f>
        <v>0</v>
      </c>
      <c r="AK209" s="131">
        <f>IF(NFI_Expiration=1,IF($A209&lt;VLOOKUP(V$5,NFI,5,0),1,0)*Data_NFI_t[[#This Row],[Sewing Kit]],0)</f>
        <v>0</v>
      </c>
      <c r="AL209" s="901">
        <f>IF(NFI_Expiration=1,IF($A209&lt;VLOOKUP(V$5,NFI,5,0),1,0)*Data_NFI_t[[#This Row],[Solar Lantern]],0)</f>
        <v>0</v>
      </c>
      <c r="AM209" s="131" t="str">
        <f ca="1">IFERROR(OFFSET(Camp_List[P_Code],MATCH(Data_NFI_t[[#This Row],[Camp Name]],Camp_List[Camp Name],0)-1,0,1,1),"")</f>
        <v>MMR012CMP010</v>
      </c>
      <c r="AN209" s="513" t="str">
        <f ca="1">IFERROR(OFFSET(Camp_List[Status],MATCH(Data_NFI_t[[#This Row],[Camp Name]],Camp_List[Camp Name],0)-1,0,1,1),"")</f>
        <v>Returned</v>
      </c>
      <c r="AO209" s="131"/>
    </row>
    <row r="210" spans="1:41" s="90" customFormat="1" ht="19.5" customHeight="1" x14ac:dyDescent="0.25">
      <c r="A210" s="242">
        <f t="shared" si="4"/>
        <v>46.666666666666664</v>
      </c>
      <c r="B210" s="242">
        <f>YEAR(Data_NFI_t[[#This Row],[Distribution Date]])</f>
        <v>2013</v>
      </c>
      <c r="C210" s="913">
        <v>41456</v>
      </c>
      <c r="D210" s="489" t="s">
        <v>285</v>
      </c>
      <c r="E210" s="488" t="s">
        <v>285</v>
      </c>
      <c r="F210" s="489" t="s">
        <v>7</v>
      </c>
      <c r="G210" s="790" t="s">
        <v>15</v>
      </c>
      <c r="H210" s="790" t="s">
        <v>48</v>
      </c>
      <c r="I210" s="790"/>
      <c r="J210" s="51"/>
      <c r="K210" s="51"/>
      <c r="L210" s="51">
        <v>224</v>
      </c>
      <c r="M210" s="51">
        <v>400</v>
      </c>
      <c r="N210" s="51">
        <v>224</v>
      </c>
      <c r="O210" s="51">
        <v>112</v>
      </c>
      <c r="P210" s="51">
        <v>112</v>
      </c>
      <c r="Q210" s="51">
        <v>112</v>
      </c>
      <c r="R210" s="511"/>
      <c r="S210" s="51">
        <v>224</v>
      </c>
      <c r="T210" s="51"/>
      <c r="U210" s="51"/>
      <c r="V210" s="51"/>
      <c r="W210" s="51"/>
      <c r="X210" s="131">
        <f>IF(NFI_Expiration=1,IF($A210&lt;VLOOKUP(I$5,NFI,5,0),1,0)*Data_NFI_t[[#This Row],[Hygiene Kit]],0)</f>
        <v>0</v>
      </c>
      <c r="Y210" s="131">
        <f>IF(NFI_Expiration=1,IF($A210&lt;VLOOKUP(J$5,NFI,5,0),1,0)*Data_NFI_t[[#This Row],[NFI Core Kit]],0)</f>
        <v>0</v>
      </c>
      <c r="Z210" s="112">
        <f>IF(NFI_Expiration=1,IF($A210&lt;VLOOKUP(K$5,NFI,5,0),1,0)*Data_NFI_t[[#This Row],[Sanitary Kit]],0)</f>
        <v>0</v>
      </c>
      <c r="AA210" s="112">
        <f>IF(NFI_Expiration=1,IF($A210&lt;VLOOKUP(L$5,NFI,5,0),1,0)*Data_NFI_t[[#This Row],[Mosquito net]],0)</f>
        <v>0</v>
      </c>
      <c r="AB210" s="112">
        <f>IF(NFI_Expiration=1,IF($A210&lt;VLOOKUP(M$5,NFI,5,0),1,0)*Data_NFI_t[[#This Row],[Tarpaulin]],0)</f>
        <v>0</v>
      </c>
      <c r="AC210" s="112">
        <f>IF(NFI_Expiration=1,IF($A210&lt;VLOOKUP(N$5,NFI,5,0),1,0)*Data_NFI_t[[#This Row],[Blanket]],0)</f>
        <v>0</v>
      </c>
      <c r="AD210" s="112">
        <f>IF(NFI_Expiration=1,IF($A210&lt;VLOOKUP(O$5,NFI,5,0),1,0)*Data_NFI_t[[#This Row],[Kitchen Set]],0)</f>
        <v>0</v>
      </c>
      <c r="AE210" s="112">
        <f>IF(NFI_Expiration=1,IF($A210&lt;VLOOKUP(P$5,NFI,5,0),1,0)*Data_NFI_t[[#This Row],[Complementary Kit]],0)</f>
        <v>0</v>
      </c>
      <c r="AF210" s="112">
        <f>IF(NFI_Expiration=1,IF($A210&lt;VLOOKUP(Q$5,NFI,5,0),1,0)*Data_NFI_t[[#This Row],[Plastic Bucket]],0)</f>
        <v>0</v>
      </c>
      <c r="AG210" s="112">
        <f>IF(NFI_Expiration=1,IF($A210&lt;VLOOKUP(R$5,NFI,5,0),1,0)*Data_NFI_t[[#This Row],[Jerry Can]],0)</f>
        <v>0</v>
      </c>
      <c r="AH210" s="131">
        <f>IF(NFI_Expiration=1,IF($A210&lt;VLOOKUP(S$5,NFI,5,0),1,0)*Data_NFI_t[[#This Row],[Plastic Mat]],0)*IF(Data_NFI_t[[#This Row],[Distribution Date]]&gt;"01-06-2015",1,2.5)</f>
        <v>0</v>
      </c>
      <c r="AI210" s="901">
        <f>IF(NFI_Expiration=1,IF($A210&lt;VLOOKUP(T$5,NFI,5,0),1,0)*Data_NFI_t[[#This Row],[Adult Clothes]],0)</f>
        <v>0</v>
      </c>
      <c r="AJ210" s="131">
        <f>IF(NFI_Expiration=1,IF($A210&lt;VLOOKUP(U$5,NFI,5,0),1,0)*Data_NFI_t[[#This Row],[Children Clothes]],0)</f>
        <v>0</v>
      </c>
      <c r="AK210" s="131">
        <f>IF(NFI_Expiration=1,IF($A210&lt;VLOOKUP(V$5,NFI,5,0),1,0)*Data_NFI_t[[#This Row],[Sewing Kit]],0)</f>
        <v>0</v>
      </c>
      <c r="AL210" s="901">
        <f>IF(NFI_Expiration=1,IF($A210&lt;VLOOKUP(V$5,NFI,5,0),1,0)*Data_NFI_t[[#This Row],[Solar Lantern]],0)</f>
        <v>0</v>
      </c>
      <c r="AM210" s="131" t="str">
        <f ca="1">IFERROR(OFFSET(Camp_List[P_Code],MATCH(Data_NFI_t[[#This Row],[Camp Name]],Camp_List[Camp Name],0)-1,0,1,1),"")</f>
        <v>MMR012CMP024</v>
      </c>
      <c r="AN210" s="513" t="str">
        <f ca="1">IFERROR(OFFSET(Camp_List[Status],MATCH(Data_NFI_t[[#This Row],[Camp Name]],Camp_List[Camp Name],0)-1,0,1,1),"")</f>
        <v>Returned</v>
      </c>
      <c r="AO210" s="131"/>
    </row>
    <row r="211" spans="1:41" s="90" customFormat="1" ht="19.5" customHeight="1" x14ac:dyDescent="0.25">
      <c r="A211" s="242">
        <f t="shared" si="4"/>
        <v>46.666666666666664</v>
      </c>
      <c r="B211" s="242">
        <f>YEAR(Data_NFI_t[[#This Row],[Distribution Date]])</f>
        <v>2013</v>
      </c>
      <c r="C211" s="913">
        <v>41456</v>
      </c>
      <c r="D211" s="489" t="s">
        <v>285</v>
      </c>
      <c r="E211" s="488" t="s">
        <v>285</v>
      </c>
      <c r="F211" s="489" t="s">
        <v>7</v>
      </c>
      <c r="G211" s="790" t="s">
        <v>15</v>
      </c>
      <c r="H211" s="790" t="s">
        <v>51</v>
      </c>
      <c r="I211" s="790"/>
      <c r="J211" s="51"/>
      <c r="K211" s="51"/>
      <c r="L211" s="51">
        <v>232</v>
      </c>
      <c r="M211" s="51">
        <v>220</v>
      </c>
      <c r="N211" s="51">
        <v>232</v>
      </c>
      <c r="O211" s="51">
        <v>116</v>
      </c>
      <c r="P211" s="51">
        <v>116</v>
      </c>
      <c r="Q211" s="51">
        <v>116</v>
      </c>
      <c r="R211" s="511"/>
      <c r="S211" s="51">
        <v>232</v>
      </c>
      <c r="T211" s="51"/>
      <c r="U211" s="51"/>
      <c r="V211" s="51"/>
      <c r="W211" s="51"/>
      <c r="X211" s="131">
        <f>IF(NFI_Expiration=1,IF($A211&lt;VLOOKUP(I$5,NFI,5,0),1,0)*Data_NFI_t[[#This Row],[Hygiene Kit]],0)</f>
        <v>0</v>
      </c>
      <c r="Y211" s="131">
        <f>IF(NFI_Expiration=1,IF($A211&lt;VLOOKUP(J$5,NFI,5,0),1,0)*Data_NFI_t[[#This Row],[NFI Core Kit]],0)</f>
        <v>0</v>
      </c>
      <c r="Z211" s="112">
        <f>IF(NFI_Expiration=1,IF($A211&lt;VLOOKUP(K$5,NFI,5,0),1,0)*Data_NFI_t[[#This Row],[Sanitary Kit]],0)</f>
        <v>0</v>
      </c>
      <c r="AA211" s="112">
        <f>IF(NFI_Expiration=1,IF($A211&lt;VLOOKUP(L$5,NFI,5,0),1,0)*Data_NFI_t[[#This Row],[Mosquito net]],0)</f>
        <v>0</v>
      </c>
      <c r="AB211" s="112">
        <f>IF(NFI_Expiration=1,IF($A211&lt;VLOOKUP(M$5,NFI,5,0),1,0)*Data_NFI_t[[#This Row],[Tarpaulin]],0)</f>
        <v>0</v>
      </c>
      <c r="AC211" s="112">
        <f>IF(NFI_Expiration=1,IF($A211&lt;VLOOKUP(N$5,NFI,5,0),1,0)*Data_NFI_t[[#This Row],[Blanket]],0)</f>
        <v>0</v>
      </c>
      <c r="AD211" s="112">
        <f>IF(NFI_Expiration=1,IF($A211&lt;VLOOKUP(O$5,NFI,5,0),1,0)*Data_NFI_t[[#This Row],[Kitchen Set]],0)</f>
        <v>0</v>
      </c>
      <c r="AE211" s="112">
        <f>IF(NFI_Expiration=1,IF($A211&lt;VLOOKUP(P$5,NFI,5,0),1,0)*Data_NFI_t[[#This Row],[Complementary Kit]],0)</f>
        <v>0</v>
      </c>
      <c r="AF211" s="112">
        <f>IF(NFI_Expiration=1,IF($A211&lt;VLOOKUP(Q$5,NFI,5,0),1,0)*Data_NFI_t[[#This Row],[Plastic Bucket]],0)</f>
        <v>0</v>
      </c>
      <c r="AG211" s="112">
        <f>IF(NFI_Expiration=1,IF($A211&lt;VLOOKUP(R$5,NFI,5,0),1,0)*Data_NFI_t[[#This Row],[Jerry Can]],0)</f>
        <v>0</v>
      </c>
      <c r="AH211" s="131">
        <f>IF(NFI_Expiration=1,IF($A211&lt;VLOOKUP(S$5,NFI,5,0),1,0)*Data_NFI_t[[#This Row],[Plastic Mat]],0)*IF(Data_NFI_t[[#This Row],[Distribution Date]]&gt;"01-06-2015",1,2.5)</f>
        <v>0</v>
      </c>
      <c r="AI211" s="901">
        <f>IF(NFI_Expiration=1,IF($A211&lt;VLOOKUP(T$5,NFI,5,0),1,0)*Data_NFI_t[[#This Row],[Adult Clothes]],0)</f>
        <v>0</v>
      </c>
      <c r="AJ211" s="131">
        <f>IF(NFI_Expiration=1,IF($A211&lt;VLOOKUP(U$5,NFI,5,0),1,0)*Data_NFI_t[[#This Row],[Children Clothes]],0)</f>
        <v>0</v>
      </c>
      <c r="AK211" s="131">
        <f>IF(NFI_Expiration=1,IF($A211&lt;VLOOKUP(V$5,NFI,5,0),1,0)*Data_NFI_t[[#This Row],[Sewing Kit]],0)</f>
        <v>0</v>
      </c>
      <c r="AL211" s="901">
        <f>IF(NFI_Expiration=1,IF($A211&lt;VLOOKUP(V$5,NFI,5,0),1,0)*Data_NFI_t[[#This Row],[Solar Lantern]],0)</f>
        <v>0</v>
      </c>
      <c r="AM211" s="131" t="str">
        <f ca="1">IFERROR(OFFSET(Camp_List[P_Code],MATCH(Data_NFI_t[[#This Row],[Camp Name]],Camp_List[Camp Name],0)-1,0,1,1),"")</f>
        <v>MMR012CMP027</v>
      </c>
      <c r="AN211" s="513" t="str">
        <f ca="1">IFERROR(OFFSET(Camp_List[Status],MATCH(Data_NFI_t[[#This Row],[Camp Name]],Camp_List[Camp Name],0)-1,0,1,1),"")</f>
        <v>Returned</v>
      </c>
      <c r="AO211" s="131"/>
    </row>
    <row r="212" spans="1:41" s="90" customFormat="1" ht="19.5" customHeight="1" x14ac:dyDescent="0.25">
      <c r="A212" s="242">
        <f t="shared" si="4"/>
        <v>46.666666666666664</v>
      </c>
      <c r="B212" s="242">
        <f>YEAR(Data_NFI_t[[#This Row],[Distribution Date]])</f>
        <v>2013</v>
      </c>
      <c r="C212" s="913">
        <v>41456</v>
      </c>
      <c r="D212" s="489" t="s">
        <v>285</v>
      </c>
      <c r="E212" s="488" t="s">
        <v>285</v>
      </c>
      <c r="F212" s="489" t="s">
        <v>7</v>
      </c>
      <c r="G212" s="790" t="s">
        <v>15</v>
      </c>
      <c r="H212" s="790" t="s">
        <v>50</v>
      </c>
      <c r="I212" s="790"/>
      <c r="J212" s="51"/>
      <c r="K212" s="51"/>
      <c r="L212" s="51">
        <v>460</v>
      </c>
      <c r="M212" s="51">
        <v>145</v>
      </c>
      <c r="N212" s="51">
        <v>460</v>
      </c>
      <c r="O212" s="51">
        <v>230</v>
      </c>
      <c r="P212" s="51">
        <v>230</v>
      </c>
      <c r="Q212" s="51">
        <v>230</v>
      </c>
      <c r="R212" s="511"/>
      <c r="S212" s="51">
        <v>460</v>
      </c>
      <c r="T212" s="51"/>
      <c r="U212" s="51"/>
      <c r="V212" s="51"/>
      <c r="W212" s="51"/>
      <c r="X212" s="131">
        <f>IF(NFI_Expiration=1,IF($A212&lt;VLOOKUP(I$5,NFI,5,0),1,0)*Data_NFI_t[[#This Row],[Hygiene Kit]],0)</f>
        <v>0</v>
      </c>
      <c r="Y212" s="131">
        <f>IF(NFI_Expiration=1,IF($A212&lt;VLOOKUP(J$5,NFI,5,0),1,0)*Data_NFI_t[[#This Row],[NFI Core Kit]],0)</f>
        <v>0</v>
      </c>
      <c r="Z212" s="112">
        <f>IF(NFI_Expiration=1,IF($A212&lt;VLOOKUP(K$5,NFI,5,0),1,0)*Data_NFI_t[[#This Row],[Sanitary Kit]],0)</f>
        <v>0</v>
      </c>
      <c r="AA212" s="112">
        <f>IF(NFI_Expiration=1,IF($A212&lt;VLOOKUP(L$5,NFI,5,0),1,0)*Data_NFI_t[[#This Row],[Mosquito net]],0)</f>
        <v>0</v>
      </c>
      <c r="AB212" s="112">
        <f>IF(NFI_Expiration=1,IF($A212&lt;VLOOKUP(M$5,NFI,5,0),1,0)*Data_NFI_t[[#This Row],[Tarpaulin]],0)</f>
        <v>0</v>
      </c>
      <c r="AC212" s="112">
        <f>IF(NFI_Expiration=1,IF($A212&lt;VLOOKUP(N$5,NFI,5,0),1,0)*Data_NFI_t[[#This Row],[Blanket]],0)</f>
        <v>0</v>
      </c>
      <c r="AD212" s="112">
        <f>IF(NFI_Expiration=1,IF($A212&lt;VLOOKUP(O$5,NFI,5,0),1,0)*Data_NFI_t[[#This Row],[Kitchen Set]],0)</f>
        <v>0</v>
      </c>
      <c r="AE212" s="112">
        <f>IF(NFI_Expiration=1,IF($A212&lt;VLOOKUP(P$5,NFI,5,0),1,0)*Data_NFI_t[[#This Row],[Complementary Kit]],0)</f>
        <v>0</v>
      </c>
      <c r="AF212" s="112">
        <f>IF(NFI_Expiration=1,IF($A212&lt;VLOOKUP(Q$5,NFI,5,0),1,0)*Data_NFI_t[[#This Row],[Plastic Bucket]],0)</f>
        <v>0</v>
      </c>
      <c r="AG212" s="112">
        <f>IF(NFI_Expiration=1,IF($A212&lt;VLOOKUP(R$5,NFI,5,0),1,0)*Data_NFI_t[[#This Row],[Jerry Can]],0)</f>
        <v>0</v>
      </c>
      <c r="AH212" s="131">
        <f>IF(NFI_Expiration=1,IF($A212&lt;VLOOKUP(S$5,NFI,5,0),1,0)*Data_NFI_t[[#This Row],[Plastic Mat]],0)*IF(Data_NFI_t[[#This Row],[Distribution Date]]&gt;"01-06-2015",1,2.5)</f>
        <v>0</v>
      </c>
      <c r="AI212" s="901">
        <f>IF(NFI_Expiration=1,IF($A212&lt;VLOOKUP(T$5,NFI,5,0),1,0)*Data_NFI_t[[#This Row],[Adult Clothes]],0)</f>
        <v>0</v>
      </c>
      <c r="AJ212" s="131">
        <f>IF(NFI_Expiration=1,IF($A212&lt;VLOOKUP(U$5,NFI,5,0),1,0)*Data_NFI_t[[#This Row],[Children Clothes]],0)</f>
        <v>0</v>
      </c>
      <c r="AK212" s="131">
        <f>IF(NFI_Expiration=1,IF($A212&lt;VLOOKUP(V$5,NFI,5,0),1,0)*Data_NFI_t[[#This Row],[Sewing Kit]],0)</f>
        <v>0</v>
      </c>
      <c r="AL212" s="901">
        <f>IF(NFI_Expiration=1,IF($A212&lt;VLOOKUP(V$5,NFI,5,0),1,0)*Data_NFI_t[[#This Row],[Solar Lantern]],0)</f>
        <v>0</v>
      </c>
      <c r="AM212" s="131" t="str">
        <f ca="1">IFERROR(OFFSET(Camp_List[P_Code],MATCH(Data_NFI_t[[#This Row],[Camp Name]],Camp_List[Camp Name],0)-1,0,1,1),"")</f>
        <v>MMR012CMP026</v>
      </c>
      <c r="AN212" s="513" t="str">
        <f ca="1">IFERROR(OFFSET(Camp_List[Status],MATCH(Data_NFI_t[[#This Row],[Camp Name]],Camp_List[Camp Name],0)-1,0,1,1),"")</f>
        <v>Returned</v>
      </c>
      <c r="AO212" s="131"/>
    </row>
    <row r="213" spans="1:41" s="90" customFormat="1" ht="19.5" customHeight="1" x14ac:dyDescent="0.25">
      <c r="A213" s="242">
        <f t="shared" si="4"/>
        <v>46.666666666666664</v>
      </c>
      <c r="B213" s="242">
        <f>YEAR(Data_NFI_t[[#This Row],[Distribution Date]])</f>
        <v>2013</v>
      </c>
      <c r="C213" s="913">
        <v>41456</v>
      </c>
      <c r="D213" s="489" t="s">
        <v>285</v>
      </c>
      <c r="E213" s="488" t="s">
        <v>285</v>
      </c>
      <c r="F213" s="489" t="s">
        <v>7</v>
      </c>
      <c r="G213" s="790" t="s">
        <v>15</v>
      </c>
      <c r="H213" s="790" t="s">
        <v>54</v>
      </c>
      <c r="I213" s="790"/>
      <c r="J213" s="51"/>
      <c r="K213" s="51"/>
      <c r="L213" s="51">
        <v>318</v>
      </c>
      <c r="M213" s="51">
        <v>4</v>
      </c>
      <c r="N213" s="51">
        <v>318</v>
      </c>
      <c r="O213" s="51">
        <v>159</v>
      </c>
      <c r="P213" s="51">
        <v>159</v>
      </c>
      <c r="Q213" s="51">
        <v>159</v>
      </c>
      <c r="R213" s="511"/>
      <c r="S213" s="51">
        <v>318</v>
      </c>
      <c r="T213" s="51"/>
      <c r="U213" s="51"/>
      <c r="V213" s="51"/>
      <c r="W213" s="51"/>
      <c r="X213" s="131">
        <f>IF(NFI_Expiration=1,IF($A213&lt;VLOOKUP(I$5,NFI,5,0),1,0)*Data_NFI_t[[#This Row],[Hygiene Kit]],0)</f>
        <v>0</v>
      </c>
      <c r="Y213" s="131">
        <f>IF(NFI_Expiration=1,IF($A213&lt;VLOOKUP(J$5,NFI,5,0),1,0)*Data_NFI_t[[#This Row],[NFI Core Kit]],0)</f>
        <v>0</v>
      </c>
      <c r="Z213" s="112">
        <f>IF(NFI_Expiration=1,IF($A213&lt;VLOOKUP(K$5,NFI,5,0),1,0)*Data_NFI_t[[#This Row],[Sanitary Kit]],0)</f>
        <v>0</v>
      </c>
      <c r="AA213" s="112">
        <f>IF(NFI_Expiration=1,IF($A213&lt;VLOOKUP(L$5,NFI,5,0),1,0)*Data_NFI_t[[#This Row],[Mosquito net]],0)</f>
        <v>0</v>
      </c>
      <c r="AB213" s="112">
        <f>IF(NFI_Expiration=1,IF($A213&lt;VLOOKUP(M$5,NFI,5,0),1,0)*Data_NFI_t[[#This Row],[Tarpaulin]],0)</f>
        <v>0</v>
      </c>
      <c r="AC213" s="112">
        <f>IF(NFI_Expiration=1,IF($A213&lt;VLOOKUP(N$5,NFI,5,0),1,0)*Data_NFI_t[[#This Row],[Blanket]],0)</f>
        <v>0</v>
      </c>
      <c r="AD213" s="112">
        <f>IF(NFI_Expiration=1,IF($A213&lt;VLOOKUP(O$5,NFI,5,0),1,0)*Data_NFI_t[[#This Row],[Kitchen Set]],0)</f>
        <v>0</v>
      </c>
      <c r="AE213" s="112">
        <f>IF(NFI_Expiration=1,IF($A213&lt;VLOOKUP(P$5,NFI,5,0),1,0)*Data_NFI_t[[#This Row],[Complementary Kit]],0)</f>
        <v>0</v>
      </c>
      <c r="AF213" s="112">
        <f>IF(NFI_Expiration=1,IF($A213&lt;VLOOKUP(Q$5,NFI,5,0),1,0)*Data_NFI_t[[#This Row],[Plastic Bucket]],0)</f>
        <v>0</v>
      </c>
      <c r="AG213" s="112">
        <f>IF(NFI_Expiration=1,IF($A213&lt;VLOOKUP(R$5,NFI,5,0),1,0)*Data_NFI_t[[#This Row],[Jerry Can]],0)</f>
        <v>0</v>
      </c>
      <c r="AH213" s="131">
        <f>IF(NFI_Expiration=1,IF($A213&lt;VLOOKUP(S$5,NFI,5,0),1,0)*Data_NFI_t[[#This Row],[Plastic Mat]],0)*IF(Data_NFI_t[[#This Row],[Distribution Date]]&gt;"01-06-2015",1,2.5)</f>
        <v>0</v>
      </c>
      <c r="AI213" s="901">
        <f>IF(NFI_Expiration=1,IF($A213&lt;VLOOKUP(T$5,NFI,5,0),1,0)*Data_NFI_t[[#This Row],[Adult Clothes]],0)</f>
        <v>0</v>
      </c>
      <c r="AJ213" s="131">
        <f>IF(NFI_Expiration=1,IF($A213&lt;VLOOKUP(U$5,NFI,5,0),1,0)*Data_NFI_t[[#This Row],[Children Clothes]],0)</f>
        <v>0</v>
      </c>
      <c r="AK213" s="131">
        <f>IF(NFI_Expiration=1,IF($A213&lt;VLOOKUP(V$5,NFI,5,0),1,0)*Data_NFI_t[[#This Row],[Sewing Kit]],0)</f>
        <v>0</v>
      </c>
      <c r="AL213" s="901">
        <f>IF(NFI_Expiration=1,IF($A213&lt;VLOOKUP(V$5,NFI,5,0),1,0)*Data_NFI_t[[#This Row],[Solar Lantern]],0)</f>
        <v>0</v>
      </c>
      <c r="AM213" s="131" t="str">
        <f ca="1">IFERROR(OFFSET(Camp_List[P_Code],MATCH(Data_NFI_t[[#This Row],[Camp Name]],Camp_List[Camp Name],0)-1,0,1,1),"")</f>
        <v>MMR012CMP030</v>
      </c>
      <c r="AN213" s="513" t="str">
        <f ca="1">IFERROR(OFFSET(Camp_List[Status],MATCH(Data_NFI_t[[#This Row],[Camp Name]],Camp_List[Camp Name],0)-1,0,1,1),"")</f>
        <v>Relocated</v>
      </c>
      <c r="AO213" s="131"/>
    </row>
    <row r="214" spans="1:41" s="90" customFormat="1" ht="19.5" customHeight="1" x14ac:dyDescent="0.25">
      <c r="A214" s="242">
        <f t="shared" si="4"/>
        <v>46.666666666666664</v>
      </c>
      <c r="B214" s="242">
        <f>YEAR(Data_NFI_t[[#This Row],[Distribution Date]])</f>
        <v>2013</v>
      </c>
      <c r="C214" s="913">
        <v>41456</v>
      </c>
      <c r="D214" s="489" t="s">
        <v>516</v>
      </c>
      <c r="E214" s="488" t="s">
        <v>285</v>
      </c>
      <c r="F214" s="489" t="s">
        <v>7</v>
      </c>
      <c r="G214" s="790" t="s">
        <v>15</v>
      </c>
      <c r="H214" s="790" t="s">
        <v>44</v>
      </c>
      <c r="I214" s="790"/>
      <c r="J214" s="51"/>
      <c r="K214" s="51">
        <v>60</v>
      </c>
      <c r="L214" s="51"/>
      <c r="M214" s="51"/>
      <c r="N214" s="51"/>
      <c r="O214" s="51"/>
      <c r="P214" s="51"/>
      <c r="Q214" s="51"/>
      <c r="R214" s="511"/>
      <c r="S214" s="51"/>
      <c r="T214" s="51"/>
      <c r="U214" s="51"/>
      <c r="V214" s="51"/>
      <c r="W214" s="51"/>
      <c r="X214" s="131">
        <f>IF(NFI_Expiration=1,IF($A214&lt;VLOOKUP(I$5,NFI,5,0),1,0)*Data_NFI_t[[#This Row],[Hygiene Kit]],0)</f>
        <v>0</v>
      </c>
      <c r="Y214" s="131">
        <f>IF(NFI_Expiration=1,IF($A214&lt;VLOOKUP(J$5,NFI,5,0),1,0)*Data_NFI_t[[#This Row],[NFI Core Kit]],0)</f>
        <v>0</v>
      </c>
      <c r="Z214" s="112">
        <f>IF(NFI_Expiration=1,IF($A214&lt;VLOOKUP(K$5,NFI,5,0),1,0)*Data_NFI_t[[#This Row],[Sanitary Kit]],0)</f>
        <v>0</v>
      </c>
      <c r="AA214" s="112">
        <f>IF(NFI_Expiration=1,IF($A214&lt;VLOOKUP(L$5,NFI,5,0),1,0)*Data_NFI_t[[#This Row],[Mosquito net]],0)</f>
        <v>0</v>
      </c>
      <c r="AB214" s="112">
        <f>IF(NFI_Expiration=1,IF($A214&lt;VLOOKUP(M$5,NFI,5,0),1,0)*Data_NFI_t[[#This Row],[Tarpaulin]],0)</f>
        <v>0</v>
      </c>
      <c r="AC214" s="112">
        <f>IF(NFI_Expiration=1,IF($A214&lt;VLOOKUP(N$5,NFI,5,0),1,0)*Data_NFI_t[[#This Row],[Blanket]],0)</f>
        <v>0</v>
      </c>
      <c r="AD214" s="112">
        <f>IF(NFI_Expiration=1,IF($A214&lt;VLOOKUP(O$5,NFI,5,0),1,0)*Data_NFI_t[[#This Row],[Kitchen Set]],0)</f>
        <v>0</v>
      </c>
      <c r="AE214" s="112">
        <f>IF(NFI_Expiration=1,IF($A214&lt;VLOOKUP(P$5,NFI,5,0),1,0)*Data_NFI_t[[#This Row],[Complementary Kit]],0)</f>
        <v>0</v>
      </c>
      <c r="AF214" s="112">
        <f>IF(NFI_Expiration=1,IF($A214&lt;VLOOKUP(Q$5,NFI,5,0),1,0)*Data_NFI_t[[#This Row],[Plastic Bucket]],0)</f>
        <v>0</v>
      </c>
      <c r="AG214" s="112">
        <f>IF(NFI_Expiration=1,IF($A214&lt;VLOOKUP(R$5,NFI,5,0),1,0)*Data_NFI_t[[#This Row],[Jerry Can]],0)</f>
        <v>0</v>
      </c>
      <c r="AH214" s="131">
        <f>IF(NFI_Expiration=1,IF($A214&lt;VLOOKUP(S$5,NFI,5,0),1,0)*Data_NFI_t[[#This Row],[Plastic Mat]],0)*IF(Data_NFI_t[[#This Row],[Distribution Date]]&gt;"01-06-2015",1,2.5)</f>
        <v>0</v>
      </c>
      <c r="AI214" s="901">
        <f>IF(NFI_Expiration=1,IF($A214&lt;VLOOKUP(T$5,NFI,5,0),1,0)*Data_NFI_t[[#This Row],[Adult Clothes]],0)</f>
        <v>0</v>
      </c>
      <c r="AJ214" s="131">
        <f>IF(NFI_Expiration=1,IF($A214&lt;VLOOKUP(U$5,NFI,5,0),1,0)*Data_NFI_t[[#This Row],[Children Clothes]],0)</f>
        <v>0</v>
      </c>
      <c r="AK214" s="131">
        <f>IF(NFI_Expiration=1,IF($A214&lt;VLOOKUP(V$5,NFI,5,0),1,0)*Data_NFI_t[[#This Row],[Sewing Kit]],0)</f>
        <v>0</v>
      </c>
      <c r="AL214" s="901">
        <f>IF(NFI_Expiration=1,IF($A214&lt;VLOOKUP(V$5,NFI,5,0),1,0)*Data_NFI_t[[#This Row],[Solar Lantern]],0)</f>
        <v>0</v>
      </c>
      <c r="AM214" s="131" t="str">
        <f ca="1">IFERROR(OFFSET(Camp_List[P_Code],MATCH(Data_NFI_t[[#This Row],[Camp Name]],Camp_List[Camp Name],0)-1,0,1,1),"")</f>
        <v>MMR012CMP020</v>
      </c>
      <c r="AN214" s="513" t="str">
        <f ca="1">IFERROR(OFFSET(Camp_List[Status],MATCH(Data_NFI_t[[#This Row],[Camp Name]],Camp_List[Camp Name],0)-1,0,1,1),"")</f>
        <v>Returned</v>
      </c>
      <c r="AO214" s="131"/>
    </row>
    <row r="215" spans="1:41" s="90" customFormat="1" ht="19.5" customHeight="1" x14ac:dyDescent="0.25">
      <c r="A215" s="242">
        <f t="shared" ref="A215:A278" si="5">IF(ISBLANK(C215),"",(Report_Date-C215)/30)</f>
        <v>46.666666666666664</v>
      </c>
      <c r="B215" s="242">
        <f>YEAR(Data_NFI_t[[#This Row],[Distribution Date]])</f>
        <v>2013</v>
      </c>
      <c r="C215" s="913">
        <v>41456</v>
      </c>
      <c r="D215" s="489" t="s">
        <v>285</v>
      </c>
      <c r="E215" s="488" t="s">
        <v>285</v>
      </c>
      <c r="F215" s="489" t="s">
        <v>7</v>
      </c>
      <c r="G215" s="790" t="s">
        <v>15</v>
      </c>
      <c r="H215" s="790" t="s">
        <v>44</v>
      </c>
      <c r="I215" s="790"/>
      <c r="J215" s="51"/>
      <c r="K215" s="51"/>
      <c r="L215" s="51">
        <v>166</v>
      </c>
      <c r="M215" s="51">
        <v>81</v>
      </c>
      <c r="N215" s="51">
        <v>166</v>
      </c>
      <c r="O215" s="51">
        <v>83</v>
      </c>
      <c r="P215" s="51">
        <v>83</v>
      </c>
      <c r="Q215" s="51">
        <v>83</v>
      </c>
      <c r="R215" s="511"/>
      <c r="S215" s="51">
        <v>166</v>
      </c>
      <c r="T215" s="51"/>
      <c r="U215" s="51"/>
      <c r="V215" s="51"/>
      <c r="W215" s="51"/>
      <c r="X215" s="131">
        <f>IF(NFI_Expiration=1,IF($A215&lt;VLOOKUP(I$5,NFI,5,0),1,0)*Data_NFI_t[[#This Row],[Hygiene Kit]],0)</f>
        <v>0</v>
      </c>
      <c r="Y215" s="131">
        <f>IF(NFI_Expiration=1,IF($A215&lt;VLOOKUP(J$5,NFI,5,0),1,0)*Data_NFI_t[[#This Row],[NFI Core Kit]],0)</f>
        <v>0</v>
      </c>
      <c r="Z215" s="112">
        <f>IF(NFI_Expiration=1,IF($A215&lt;VLOOKUP(K$5,NFI,5,0),1,0)*Data_NFI_t[[#This Row],[Sanitary Kit]],0)</f>
        <v>0</v>
      </c>
      <c r="AA215" s="112">
        <f>IF(NFI_Expiration=1,IF($A215&lt;VLOOKUP(L$5,NFI,5,0),1,0)*Data_NFI_t[[#This Row],[Mosquito net]],0)</f>
        <v>0</v>
      </c>
      <c r="AB215" s="112">
        <f>IF(NFI_Expiration=1,IF($A215&lt;VLOOKUP(M$5,NFI,5,0),1,0)*Data_NFI_t[[#This Row],[Tarpaulin]],0)</f>
        <v>0</v>
      </c>
      <c r="AC215" s="112">
        <f>IF(NFI_Expiration=1,IF($A215&lt;VLOOKUP(N$5,NFI,5,0),1,0)*Data_NFI_t[[#This Row],[Blanket]],0)</f>
        <v>0</v>
      </c>
      <c r="AD215" s="112">
        <f>IF(NFI_Expiration=1,IF($A215&lt;VLOOKUP(O$5,NFI,5,0),1,0)*Data_NFI_t[[#This Row],[Kitchen Set]],0)</f>
        <v>0</v>
      </c>
      <c r="AE215" s="112">
        <f>IF(NFI_Expiration=1,IF($A215&lt;VLOOKUP(P$5,NFI,5,0),1,0)*Data_NFI_t[[#This Row],[Complementary Kit]],0)</f>
        <v>0</v>
      </c>
      <c r="AF215" s="112">
        <f>IF(NFI_Expiration=1,IF($A215&lt;VLOOKUP(Q$5,NFI,5,0),1,0)*Data_NFI_t[[#This Row],[Plastic Bucket]],0)</f>
        <v>0</v>
      </c>
      <c r="AG215" s="112">
        <f>IF(NFI_Expiration=1,IF($A215&lt;VLOOKUP(R$5,NFI,5,0),1,0)*Data_NFI_t[[#This Row],[Jerry Can]],0)</f>
        <v>0</v>
      </c>
      <c r="AH215" s="131">
        <f>IF(NFI_Expiration=1,IF($A215&lt;VLOOKUP(S$5,NFI,5,0),1,0)*Data_NFI_t[[#This Row],[Plastic Mat]],0)*IF(Data_NFI_t[[#This Row],[Distribution Date]]&gt;"01-06-2015",1,2.5)</f>
        <v>0</v>
      </c>
      <c r="AI215" s="901">
        <f>IF(NFI_Expiration=1,IF($A215&lt;VLOOKUP(T$5,NFI,5,0),1,0)*Data_NFI_t[[#This Row],[Adult Clothes]],0)</f>
        <v>0</v>
      </c>
      <c r="AJ215" s="131">
        <f>IF(NFI_Expiration=1,IF($A215&lt;VLOOKUP(U$5,NFI,5,0),1,0)*Data_NFI_t[[#This Row],[Children Clothes]],0)</f>
        <v>0</v>
      </c>
      <c r="AK215" s="131">
        <f>IF(NFI_Expiration=1,IF($A215&lt;VLOOKUP(V$5,NFI,5,0),1,0)*Data_NFI_t[[#This Row],[Sewing Kit]],0)</f>
        <v>0</v>
      </c>
      <c r="AL215" s="901">
        <f>IF(NFI_Expiration=1,IF($A215&lt;VLOOKUP(V$5,NFI,5,0),1,0)*Data_NFI_t[[#This Row],[Solar Lantern]],0)</f>
        <v>0</v>
      </c>
      <c r="AM215" s="131" t="str">
        <f ca="1">IFERROR(OFFSET(Camp_List[P_Code],MATCH(Data_NFI_t[[#This Row],[Camp Name]],Camp_List[Camp Name],0)-1,0,1,1),"")</f>
        <v>MMR012CMP020</v>
      </c>
      <c r="AN215" s="513" t="str">
        <f ca="1">IFERROR(OFFSET(Camp_List[Status],MATCH(Data_NFI_t[[#This Row],[Camp Name]],Camp_List[Camp Name],0)-1,0,1,1),"")</f>
        <v>Returned</v>
      </c>
      <c r="AO215" s="131"/>
    </row>
    <row r="216" spans="1:41" s="90" customFormat="1" ht="19.5" customHeight="1" x14ac:dyDescent="0.25">
      <c r="A216" s="242">
        <f t="shared" si="5"/>
        <v>46.666666666666664</v>
      </c>
      <c r="B216" s="242">
        <f>YEAR(Data_NFI_t[[#This Row],[Distribution Date]])</f>
        <v>2013</v>
      </c>
      <c r="C216" s="913">
        <v>41456</v>
      </c>
      <c r="D216" s="489" t="s">
        <v>285</v>
      </c>
      <c r="E216" s="488" t="s">
        <v>285</v>
      </c>
      <c r="F216" s="489" t="s">
        <v>7</v>
      </c>
      <c r="G216" s="790" t="s">
        <v>15</v>
      </c>
      <c r="H216" s="790" t="s">
        <v>47</v>
      </c>
      <c r="I216" s="790"/>
      <c r="J216" s="51"/>
      <c r="K216" s="51"/>
      <c r="L216" s="51">
        <v>326</v>
      </c>
      <c r="M216" s="51">
        <v>326</v>
      </c>
      <c r="N216" s="51">
        <v>326</v>
      </c>
      <c r="O216" s="51">
        <v>163</v>
      </c>
      <c r="P216" s="51">
        <v>163</v>
      </c>
      <c r="Q216" s="51">
        <v>163</v>
      </c>
      <c r="R216" s="511"/>
      <c r="S216" s="51">
        <v>326</v>
      </c>
      <c r="T216" s="51"/>
      <c r="U216" s="51"/>
      <c r="V216" s="51"/>
      <c r="W216" s="51"/>
      <c r="X216" s="131">
        <f>IF(NFI_Expiration=1,IF($A216&lt;VLOOKUP(I$5,NFI,5,0),1,0)*Data_NFI_t[[#This Row],[Hygiene Kit]],0)</f>
        <v>0</v>
      </c>
      <c r="Y216" s="131">
        <f>IF(NFI_Expiration=1,IF($A216&lt;VLOOKUP(J$5,NFI,5,0),1,0)*Data_NFI_t[[#This Row],[NFI Core Kit]],0)</f>
        <v>0</v>
      </c>
      <c r="Z216" s="112">
        <f>IF(NFI_Expiration=1,IF($A216&lt;VLOOKUP(K$5,NFI,5,0),1,0)*Data_NFI_t[[#This Row],[Sanitary Kit]],0)</f>
        <v>0</v>
      </c>
      <c r="AA216" s="112">
        <f>IF(NFI_Expiration=1,IF($A216&lt;VLOOKUP(L$5,NFI,5,0),1,0)*Data_NFI_t[[#This Row],[Mosquito net]],0)</f>
        <v>0</v>
      </c>
      <c r="AB216" s="112">
        <f>IF(NFI_Expiration=1,IF($A216&lt;VLOOKUP(M$5,NFI,5,0),1,0)*Data_NFI_t[[#This Row],[Tarpaulin]],0)</f>
        <v>0</v>
      </c>
      <c r="AC216" s="112">
        <f>IF(NFI_Expiration=1,IF($A216&lt;VLOOKUP(N$5,NFI,5,0),1,0)*Data_NFI_t[[#This Row],[Blanket]],0)</f>
        <v>0</v>
      </c>
      <c r="AD216" s="112">
        <f>IF(NFI_Expiration=1,IF($A216&lt;VLOOKUP(O$5,NFI,5,0),1,0)*Data_NFI_t[[#This Row],[Kitchen Set]],0)</f>
        <v>0</v>
      </c>
      <c r="AE216" s="112">
        <f>IF(NFI_Expiration=1,IF($A216&lt;VLOOKUP(P$5,NFI,5,0),1,0)*Data_NFI_t[[#This Row],[Complementary Kit]],0)</f>
        <v>0</v>
      </c>
      <c r="AF216" s="112">
        <f>IF(NFI_Expiration=1,IF($A216&lt;VLOOKUP(Q$5,NFI,5,0),1,0)*Data_NFI_t[[#This Row],[Plastic Bucket]],0)</f>
        <v>0</v>
      </c>
      <c r="AG216" s="112">
        <f>IF(NFI_Expiration=1,IF($A216&lt;VLOOKUP(R$5,NFI,5,0),1,0)*Data_NFI_t[[#This Row],[Jerry Can]],0)</f>
        <v>0</v>
      </c>
      <c r="AH216" s="131">
        <f>IF(NFI_Expiration=1,IF($A216&lt;VLOOKUP(S$5,NFI,5,0),1,0)*Data_NFI_t[[#This Row],[Plastic Mat]],0)*IF(Data_NFI_t[[#This Row],[Distribution Date]]&gt;"01-06-2015",1,2.5)</f>
        <v>0</v>
      </c>
      <c r="AI216" s="901">
        <f>IF(NFI_Expiration=1,IF($A216&lt;VLOOKUP(T$5,NFI,5,0),1,0)*Data_NFI_t[[#This Row],[Adult Clothes]],0)</f>
        <v>0</v>
      </c>
      <c r="AJ216" s="131">
        <f>IF(NFI_Expiration=1,IF($A216&lt;VLOOKUP(U$5,NFI,5,0),1,0)*Data_NFI_t[[#This Row],[Children Clothes]],0)</f>
        <v>0</v>
      </c>
      <c r="AK216" s="131">
        <f>IF(NFI_Expiration=1,IF($A216&lt;VLOOKUP(V$5,NFI,5,0),1,0)*Data_NFI_t[[#This Row],[Sewing Kit]],0)</f>
        <v>0</v>
      </c>
      <c r="AL216" s="901">
        <f>IF(NFI_Expiration=1,IF($A216&lt;VLOOKUP(V$5,NFI,5,0),1,0)*Data_NFI_t[[#This Row],[Solar Lantern]],0)</f>
        <v>0</v>
      </c>
      <c r="AM216" s="131" t="str">
        <f ca="1">IFERROR(OFFSET(Camp_List[P_Code],MATCH(Data_NFI_t[[#This Row],[Camp Name]],Camp_List[Camp Name],0)-1,0,1,1),"")</f>
        <v>MMR012CMP023</v>
      </c>
      <c r="AN216" s="513" t="str">
        <f ca="1">IFERROR(OFFSET(Camp_List[Status],MATCH(Data_NFI_t[[#This Row],[Camp Name]],Camp_List[Camp Name],0)-1,0,1,1),"")</f>
        <v>Open</v>
      </c>
      <c r="AO216" s="131"/>
    </row>
    <row r="217" spans="1:41" s="90" customFormat="1" ht="19.5" customHeight="1" x14ac:dyDescent="0.25">
      <c r="A217" s="242">
        <f t="shared" si="5"/>
        <v>46.666666666666664</v>
      </c>
      <c r="B217" s="242">
        <f>YEAR(Data_NFI_t[[#This Row],[Distribution Date]])</f>
        <v>2013</v>
      </c>
      <c r="C217" s="913">
        <v>41456</v>
      </c>
      <c r="D217" s="489" t="s">
        <v>285</v>
      </c>
      <c r="E217" s="488" t="s">
        <v>285</v>
      </c>
      <c r="F217" s="489" t="s">
        <v>7</v>
      </c>
      <c r="G217" s="790" t="s">
        <v>15</v>
      </c>
      <c r="H217" s="790" t="s">
        <v>53</v>
      </c>
      <c r="I217" s="790"/>
      <c r="J217" s="51"/>
      <c r="K217" s="51"/>
      <c r="L217" s="51">
        <v>290</v>
      </c>
      <c r="M217" s="51"/>
      <c r="N217" s="51">
        <v>290</v>
      </c>
      <c r="O217" s="51">
        <v>145</v>
      </c>
      <c r="P217" s="51">
        <v>145</v>
      </c>
      <c r="Q217" s="51">
        <v>145</v>
      </c>
      <c r="R217" s="511"/>
      <c r="S217" s="51">
        <v>290</v>
      </c>
      <c r="T217" s="51"/>
      <c r="U217" s="51"/>
      <c r="V217" s="51"/>
      <c r="W217" s="51"/>
      <c r="X217" s="131">
        <f>IF(NFI_Expiration=1,IF($A217&lt;VLOOKUP(I$5,NFI,5,0),1,0)*Data_NFI_t[[#This Row],[Hygiene Kit]],0)</f>
        <v>0</v>
      </c>
      <c r="Y217" s="131">
        <f>IF(NFI_Expiration=1,IF($A217&lt;VLOOKUP(J$5,NFI,5,0),1,0)*Data_NFI_t[[#This Row],[NFI Core Kit]],0)</f>
        <v>0</v>
      </c>
      <c r="Z217" s="112">
        <f>IF(NFI_Expiration=1,IF($A217&lt;VLOOKUP(K$5,NFI,5,0),1,0)*Data_NFI_t[[#This Row],[Sanitary Kit]],0)</f>
        <v>0</v>
      </c>
      <c r="AA217" s="112">
        <f>IF(NFI_Expiration=1,IF($A217&lt;VLOOKUP(L$5,NFI,5,0),1,0)*Data_NFI_t[[#This Row],[Mosquito net]],0)</f>
        <v>0</v>
      </c>
      <c r="AB217" s="112">
        <f>IF(NFI_Expiration=1,IF($A217&lt;VLOOKUP(M$5,NFI,5,0),1,0)*Data_NFI_t[[#This Row],[Tarpaulin]],0)</f>
        <v>0</v>
      </c>
      <c r="AC217" s="112">
        <f>IF(NFI_Expiration=1,IF($A217&lt;VLOOKUP(N$5,NFI,5,0),1,0)*Data_NFI_t[[#This Row],[Blanket]],0)</f>
        <v>0</v>
      </c>
      <c r="AD217" s="112">
        <f>IF(NFI_Expiration=1,IF($A217&lt;VLOOKUP(O$5,NFI,5,0),1,0)*Data_NFI_t[[#This Row],[Kitchen Set]],0)</f>
        <v>0</v>
      </c>
      <c r="AE217" s="112">
        <f>IF(NFI_Expiration=1,IF($A217&lt;VLOOKUP(P$5,NFI,5,0),1,0)*Data_NFI_t[[#This Row],[Complementary Kit]],0)</f>
        <v>0</v>
      </c>
      <c r="AF217" s="112">
        <f>IF(NFI_Expiration=1,IF($A217&lt;VLOOKUP(Q$5,NFI,5,0),1,0)*Data_NFI_t[[#This Row],[Plastic Bucket]],0)</f>
        <v>0</v>
      </c>
      <c r="AG217" s="112">
        <f>IF(NFI_Expiration=1,IF($A217&lt;VLOOKUP(R$5,NFI,5,0),1,0)*Data_NFI_t[[#This Row],[Jerry Can]],0)</f>
        <v>0</v>
      </c>
      <c r="AH217" s="131">
        <f>IF(NFI_Expiration=1,IF($A217&lt;VLOOKUP(S$5,NFI,5,0),1,0)*Data_NFI_t[[#This Row],[Plastic Mat]],0)*IF(Data_NFI_t[[#This Row],[Distribution Date]]&gt;"01-06-2015",1,2.5)</f>
        <v>0</v>
      </c>
      <c r="AI217" s="901">
        <f>IF(NFI_Expiration=1,IF($A217&lt;VLOOKUP(T$5,NFI,5,0),1,0)*Data_NFI_t[[#This Row],[Adult Clothes]],0)</f>
        <v>0</v>
      </c>
      <c r="AJ217" s="131">
        <f>IF(NFI_Expiration=1,IF($A217&lt;VLOOKUP(U$5,NFI,5,0),1,0)*Data_NFI_t[[#This Row],[Children Clothes]],0)</f>
        <v>0</v>
      </c>
      <c r="AK217" s="131">
        <f>IF(NFI_Expiration=1,IF($A217&lt;VLOOKUP(V$5,NFI,5,0),1,0)*Data_NFI_t[[#This Row],[Sewing Kit]],0)</f>
        <v>0</v>
      </c>
      <c r="AL217" s="901">
        <f>IF(NFI_Expiration=1,IF($A217&lt;VLOOKUP(V$5,NFI,5,0),1,0)*Data_NFI_t[[#This Row],[Solar Lantern]],0)</f>
        <v>0</v>
      </c>
      <c r="AM217" s="131" t="str">
        <f ca="1">IFERROR(OFFSET(Camp_List[P_Code],MATCH(Data_NFI_t[[#This Row],[Camp Name]],Camp_List[Camp Name],0)-1,0,1,1),"")</f>
        <v>MMR012CMP029</v>
      </c>
      <c r="AN217" s="513" t="str">
        <f ca="1">IFERROR(OFFSET(Camp_List[Status],MATCH(Data_NFI_t[[#This Row],[Camp Name]],Camp_List[Camp Name],0)-1,0,1,1),"")</f>
        <v>Returned</v>
      </c>
      <c r="AO217" s="131"/>
    </row>
    <row r="218" spans="1:41" s="90" customFormat="1" ht="19.5" customHeight="1" x14ac:dyDescent="0.25">
      <c r="A218" s="242">
        <f t="shared" si="5"/>
        <v>46.666666666666664</v>
      </c>
      <c r="B218" s="242">
        <f>YEAR(Data_NFI_t[[#This Row],[Distribution Date]])</f>
        <v>2013</v>
      </c>
      <c r="C218" s="913">
        <v>41456</v>
      </c>
      <c r="D218" s="489" t="s">
        <v>285</v>
      </c>
      <c r="E218" s="488" t="s">
        <v>285</v>
      </c>
      <c r="F218" s="489" t="s">
        <v>7</v>
      </c>
      <c r="G218" s="790" t="s">
        <v>15</v>
      </c>
      <c r="H218" s="790" t="s">
        <v>45</v>
      </c>
      <c r="I218" s="790"/>
      <c r="J218" s="51"/>
      <c r="K218" s="51"/>
      <c r="L218" s="51">
        <v>190</v>
      </c>
      <c r="M218" s="51"/>
      <c r="N218" s="51">
        <v>190</v>
      </c>
      <c r="O218" s="51">
        <v>95</v>
      </c>
      <c r="P218" s="51">
        <v>95</v>
      </c>
      <c r="Q218" s="51">
        <v>95</v>
      </c>
      <c r="R218" s="511"/>
      <c r="S218" s="51">
        <v>190</v>
      </c>
      <c r="T218" s="51"/>
      <c r="U218" s="51"/>
      <c r="V218" s="51"/>
      <c r="W218" s="51"/>
      <c r="X218" s="131">
        <f>IF(NFI_Expiration=1,IF($A218&lt;VLOOKUP(I$5,NFI,5,0),1,0)*Data_NFI_t[[#This Row],[Hygiene Kit]],0)</f>
        <v>0</v>
      </c>
      <c r="Y218" s="131">
        <f>IF(NFI_Expiration=1,IF($A218&lt;VLOOKUP(J$5,NFI,5,0),1,0)*Data_NFI_t[[#This Row],[NFI Core Kit]],0)</f>
        <v>0</v>
      </c>
      <c r="Z218" s="112">
        <f>IF(NFI_Expiration=1,IF($A218&lt;VLOOKUP(K$5,NFI,5,0),1,0)*Data_NFI_t[[#This Row],[Sanitary Kit]],0)</f>
        <v>0</v>
      </c>
      <c r="AA218" s="112">
        <f>IF(NFI_Expiration=1,IF($A218&lt;VLOOKUP(L$5,NFI,5,0),1,0)*Data_NFI_t[[#This Row],[Mosquito net]],0)</f>
        <v>0</v>
      </c>
      <c r="AB218" s="112">
        <f>IF(NFI_Expiration=1,IF($A218&lt;VLOOKUP(M$5,NFI,5,0),1,0)*Data_NFI_t[[#This Row],[Tarpaulin]],0)</f>
        <v>0</v>
      </c>
      <c r="AC218" s="112">
        <f>IF(NFI_Expiration=1,IF($A218&lt;VLOOKUP(N$5,NFI,5,0),1,0)*Data_NFI_t[[#This Row],[Blanket]],0)</f>
        <v>0</v>
      </c>
      <c r="AD218" s="112">
        <f>IF(NFI_Expiration=1,IF($A218&lt;VLOOKUP(O$5,NFI,5,0),1,0)*Data_NFI_t[[#This Row],[Kitchen Set]],0)</f>
        <v>0</v>
      </c>
      <c r="AE218" s="112">
        <f>IF(NFI_Expiration=1,IF($A218&lt;VLOOKUP(P$5,NFI,5,0),1,0)*Data_NFI_t[[#This Row],[Complementary Kit]],0)</f>
        <v>0</v>
      </c>
      <c r="AF218" s="112">
        <f>IF(NFI_Expiration=1,IF($A218&lt;VLOOKUP(Q$5,NFI,5,0),1,0)*Data_NFI_t[[#This Row],[Plastic Bucket]],0)</f>
        <v>0</v>
      </c>
      <c r="AG218" s="112">
        <f>IF(NFI_Expiration=1,IF($A218&lt;VLOOKUP(R$5,NFI,5,0),1,0)*Data_NFI_t[[#This Row],[Jerry Can]],0)</f>
        <v>0</v>
      </c>
      <c r="AH218" s="131">
        <f>IF(NFI_Expiration=1,IF($A218&lt;VLOOKUP(S$5,NFI,5,0),1,0)*Data_NFI_t[[#This Row],[Plastic Mat]],0)*IF(Data_NFI_t[[#This Row],[Distribution Date]]&gt;"01-06-2015",1,2.5)</f>
        <v>0</v>
      </c>
      <c r="AI218" s="901">
        <f>IF(NFI_Expiration=1,IF($A218&lt;VLOOKUP(T$5,NFI,5,0),1,0)*Data_NFI_t[[#This Row],[Adult Clothes]],0)</f>
        <v>0</v>
      </c>
      <c r="AJ218" s="131">
        <f>IF(NFI_Expiration=1,IF($A218&lt;VLOOKUP(U$5,NFI,5,0),1,0)*Data_NFI_t[[#This Row],[Children Clothes]],0)</f>
        <v>0</v>
      </c>
      <c r="AK218" s="131">
        <f>IF(NFI_Expiration=1,IF($A218&lt;VLOOKUP(V$5,NFI,5,0),1,0)*Data_NFI_t[[#This Row],[Sewing Kit]],0)</f>
        <v>0</v>
      </c>
      <c r="AL218" s="901">
        <f>IF(NFI_Expiration=1,IF($A218&lt;VLOOKUP(V$5,NFI,5,0),1,0)*Data_NFI_t[[#This Row],[Solar Lantern]],0)</f>
        <v>0</v>
      </c>
      <c r="AM218" s="131" t="str">
        <f ca="1">IFERROR(OFFSET(Camp_List[P_Code],MATCH(Data_NFI_t[[#This Row],[Camp Name]],Camp_List[Camp Name],0)-1,0,1,1),"")</f>
        <v>MMR012CMP021</v>
      </c>
      <c r="AN218" s="513" t="str">
        <f ca="1">IFERROR(OFFSET(Camp_List[Status],MATCH(Data_NFI_t[[#This Row],[Camp Name]],Camp_List[Camp Name],0)-1,0,1,1),"")</f>
        <v>Returned</v>
      </c>
      <c r="AO218" s="131"/>
    </row>
    <row r="219" spans="1:41" s="90" customFormat="1" ht="19.5" customHeight="1" x14ac:dyDescent="0.25">
      <c r="A219" s="242">
        <f t="shared" si="5"/>
        <v>46.666666666666664</v>
      </c>
      <c r="B219" s="242">
        <f>YEAR(Data_NFI_t[[#This Row],[Distribution Date]])</f>
        <v>2013</v>
      </c>
      <c r="C219" s="913">
        <v>41456</v>
      </c>
      <c r="D219" s="489" t="s">
        <v>285</v>
      </c>
      <c r="E219" s="488" t="s">
        <v>285</v>
      </c>
      <c r="F219" s="489" t="s">
        <v>7</v>
      </c>
      <c r="G219" s="790" t="s">
        <v>15</v>
      </c>
      <c r="H219" s="790" t="s">
        <v>52</v>
      </c>
      <c r="I219" s="790"/>
      <c r="J219" s="51"/>
      <c r="K219" s="51"/>
      <c r="L219" s="51">
        <v>216</v>
      </c>
      <c r="M219" s="51"/>
      <c r="N219" s="51">
        <v>216</v>
      </c>
      <c r="O219" s="51">
        <v>108</v>
      </c>
      <c r="P219" s="51">
        <v>108</v>
      </c>
      <c r="Q219" s="51">
        <v>108</v>
      </c>
      <c r="R219" s="511"/>
      <c r="S219" s="51">
        <v>216</v>
      </c>
      <c r="T219" s="51"/>
      <c r="U219" s="51"/>
      <c r="V219" s="51"/>
      <c r="W219" s="51"/>
      <c r="X219" s="131">
        <f>IF(NFI_Expiration=1,IF($A219&lt;VLOOKUP(I$5,NFI,5,0),1,0)*Data_NFI_t[[#This Row],[Hygiene Kit]],0)</f>
        <v>0</v>
      </c>
      <c r="Y219" s="131">
        <f>IF(NFI_Expiration=1,IF($A219&lt;VLOOKUP(J$5,NFI,5,0),1,0)*Data_NFI_t[[#This Row],[NFI Core Kit]],0)</f>
        <v>0</v>
      </c>
      <c r="Z219" s="112">
        <f>IF(NFI_Expiration=1,IF($A219&lt;VLOOKUP(K$5,NFI,5,0),1,0)*Data_NFI_t[[#This Row],[Sanitary Kit]],0)</f>
        <v>0</v>
      </c>
      <c r="AA219" s="112">
        <f>IF(NFI_Expiration=1,IF($A219&lt;VLOOKUP(L$5,NFI,5,0),1,0)*Data_NFI_t[[#This Row],[Mosquito net]],0)</f>
        <v>0</v>
      </c>
      <c r="AB219" s="112">
        <f>IF(NFI_Expiration=1,IF($A219&lt;VLOOKUP(M$5,NFI,5,0),1,0)*Data_NFI_t[[#This Row],[Tarpaulin]],0)</f>
        <v>0</v>
      </c>
      <c r="AC219" s="112">
        <f>IF(NFI_Expiration=1,IF($A219&lt;VLOOKUP(N$5,NFI,5,0),1,0)*Data_NFI_t[[#This Row],[Blanket]],0)</f>
        <v>0</v>
      </c>
      <c r="AD219" s="112">
        <f>IF(NFI_Expiration=1,IF($A219&lt;VLOOKUP(O$5,NFI,5,0),1,0)*Data_NFI_t[[#This Row],[Kitchen Set]],0)</f>
        <v>0</v>
      </c>
      <c r="AE219" s="112">
        <f>IF(NFI_Expiration=1,IF($A219&lt;VLOOKUP(P$5,NFI,5,0),1,0)*Data_NFI_t[[#This Row],[Complementary Kit]],0)</f>
        <v>0</v>
      </c>
      <c r="AF219" s="112">
        <f>IF(NFI_Expiration=1,IF($A219&lt;VLOOKUP(Q$5,NFI,5,0),1,0)*Data_NFI_t[[#This Row],[Plastic Bucket]],0)</f>
        <v>0</v>
      </c>
      <c r="AG219" s="112">
        <f>IF(NFI_Expiration=1,IF($A219&lt;VLOOKUP(R$5,NFI,5,0),1,0)*Data_NFI_t[[#This Row],[Jerry Can]],0)</f>
        <v>0</v>
      </c>
      <c r="AH219" s="131">
        <f>IF(NFI_Expiration=1,IF($A219&lt;VLOOKUP(S$5,NFI,5,0),1,0)*Data_NFI_t[[#This Row],[Plastic Mat]],0)*IF(Data_NFI_t[[#This Row],[Distribution Date]]&gt;"01-06-2015",1,2.5)</f>
        <v>0</v>
      </c>
      <c r="AI219" s="901">
        <f>IF(NFI_Expiration=1,IF($A219&lt;VLOOKUP(T$5,NFI,5,0),1,0)*Data_NFI_t[[#This Row],[Adult Clothes]],0)</f>
        <v>0</v>
      </c>
      <c r="AJ219" s="131">
        <f>IF(NFI_Expiration=1,IF($A219&lt;VLOOKUP(U$5,NFI,5,0),1,0)*Data_NFI_t[[#This Row],[Children Clothes]],0)</f>
        <v>0</v>
      </c>
      <c r="AK219" s="131">
        <f>IF(NFI_Expiration=1,IF($A219&lt;VLOOKUP(V$5,NFI,5,0),1,0)*Data_NFI_t[[#This Row],[Sewing Kit]],0)</f>
        <v>0</v>
      </c>
      <c r="AL219" s="901">
        <f>IF(NFI_Expiration=1,IF($A219&lt;VLOOKUP(V$5,NFI,5,0),1,0)*Data_NFI_t[[#This Row],[Solar Lantern]],0)</f>
        <v>0</v>
      </c>
      <c r="AM219" s="131" t="str">
        <f ca="1">IFERROR(OFFSET(Camp_List[P_Code],MATCH(Data_NFI_t[[#This Row],[Camp Name]],Camp_List[Camp Name],0)-1,0,1,1),"")</f>
        <v>MMR012CMP028</v>
      </c>
      <c r="AN219" s="513" t="str">
        <f ca="1">IFERROR(OFFSET(Camp_List[Status],MATCH(Data_NFI_t[[#This Row],[Camp Name]],Camp_List[Camp Name],0)-1,0,1,1),"")</f>
        <v>Returned</v>
      </c>
      <c r="AO219" s="131"/>
    </row>
    <row r="220" spans="1:41" s="90" customFormat="1" ht="19.5" customHeight="1" x14ac:dyDescent="0.25">
      <c r="A220" s="242">
        <f t="shared" si="5"/>
        <v>46.666666666666664</v>
      </c>
      <c r="B220" s="242">
        <f>YEAR(Data_NFI_t[[#This Row],[Distribution Date]])</f>
        <v>2013</v>
      </c>
      <c r="C220" s="913">
        <v>41456</v>
      </c>
      <c r="D220" s="489" t="s">
        <v>285</v>
      </c>
      <c r="E220" s="488" t="s">
        <v>285</v>
      </c>
      <c r="F220" s="489" t="s">
        <v>7</v>
      </c>
      <c r="G220" s="790" t="s">
        <v>15</v>
      </c>
      <c r="H220" s="790" t="s">
        <v>52</v>
      </c>
      <c r="I220" s="790"/>
      <c r="J220" s="51"/>
      <c r="K220" s="51"/>
      <c r="L220" s="51"/>
      <c r="M220" s="51"/>
      <c r="N220" s="51"/>
      <c r="O220" s="51"/>
      <c r="P220" s="51"/>
      <c r="Q220" s="51"/>
      <c r="R220" s="511"/>
      <c r="S220" s="51"/>
      <c r="T220" s="51"/>
      <c r="U220" s="51"/>
      <c r="V220" s="51"/>
      <c r="W220" s="51"/>
      <c r="X220" s="131">
        <f>IF(NFI_Expiration=1,IF($A220&lt;VLOOKUP(I$5,NFI,5,0),1,0)*Data_NFI_t[[#This Row],[Hygiene Kit]],0)</f>
        <v>0</v>
      </c>
      <c r="Y220" s="131">
        <f>IF(NFI_Expiration=1,IF($A220&lt;VLOOKUP(J$5,NFI,5,0),1,0)*Data_NFI_t[[#This Row],[NFI Core Kit]],0)</f>
        <v>0</v>
      </c>
      <c r="Z220" s="112">
        <f>IF(NFI_Expiration=1,IF($A220&lt;VLOOKUP(K$5,NFI,5,0),1,0)*Data_NFI_t[[#This Row],[Sanitary Kit]],0)</f>
        <v>0</v>
      </c>
      <c r="AA220" s="112">
        <f>IF(NFI_Expiration=1,IF($A220&lt;VLOOKUP(L$5,NFI,5,0),1,0)*Data_NFI_t[[#This Row],[Mosquito net]],0)</f>
        <v>0</v>
      </c>
      <c r="AB220" s="112">
        <f>IF(NFI_Expiration=1,IF($A220&lt;VLOOKUP(M$5,NFI,5,0),1,0)*Data_NFI_t[[#This Row],[Tarpaulin]],0)</f>
        <v>0</v>
      </c>
      <c r="AC220" s="112">
        <f>IF(NFI_Expiration=1,IF($A220&lt;VLOOKUP(N$5,NFI,5,0),1,0)*Data_NFI_t[[#This Row],[Blanket]],0)</f>
        <v>0</v>
      </c>
      <c r="AD220" s="112">
        <f>IF(NFI_Expiration=1,IF($A220&lt;VLOOKUP(O$5,NFI,5,0),1,0)*Data_NFI_t[[#This Row],[Kitchen Set]],0)</f>
        <v>0</v>
      </c>
      <c r="AE220" s="112">
        <f>IF(NFI_Expiration=1,IF($A220&lt;VLOOKUP(P$5,NFI,5,0),1,0)*Data_NFI_t[[#This Row],[Complementary Kit]],0)</f>
        <v>0</v>
      </c>
      <c r="AF220" s="112">
        <f>IF(NFI_Expiration=1,IF($A220&lt;VLOOKUP(Q$5,NFI,5,0),1,0)*Data_NFI_t[[#This Row],[Plastic Bucket]],0)</f>
        <v>0</v>
      </c>
      <c r="AG220" s="112">
        <f>IF(NFI_Expiration=1,IF($A220&lt;VLOOKUP(R$5,NFI,5,0),1,0)*Data_NFI_t[[#This Row],[Jerry Can]],0)</f>
        <v>0</v>
      </c>
      <c r="AH220" s="131">
        <f>IF(NFI_Expiration=1,IF($A220&lt;VLOOKUP(S$5,NFI,5,0),1,0)*Data_NFI_t[[#This Row],[Plastic Mat]],0)*IF(Data_NFI_t[[#This Row],[Distribution Date]]&gt;"01-06-2015",1,2.5)</f>
        <v>0</v>
      </c>
      <c r="AI220" s="901">
        <f>IF(NFI_Expiration=1,IF($A220&lt;VLOOKUP(T$5,NFI,5,0),1,0)*Data_NFI_t[[#This Row],[Adult Clothes]],0)</f>
        <v>0</v>
      </c>
      <c r="AJ220" s="131">
        <f>IF(NFI_Expiration=1,IF($A220&lt;VLOOKUP(U$5,NFI,5,0),1,0)*Data_NFI_t[[#This Row],[Children Clothes]],0)</f>
        <v>0</v>
      </c>
      <c r="AK220" s="131">
        <f>IF(NFI_Expiration=1,IF($A220&lt;VLOOKUP(V$5,NFI,5,0),1,0)*Data_NFI_t[[#This Row],[Sewing Kit]],0)</f>
        <v>0</v>
      </c>
      <c r="AL220" s="901">
        <f>IF(NFI_Expiration=1,IF($A220&lt;VLOOKUP(V$5,NFI,5,0),1,0)*Data_NFI_t[[#This Row],[Solar Lantern]],0)</f>
        <v>0</v>
      </c>
      <c r="AM220" s="131" t="str">
        <f ca="1">IFERROR(OFFSET(Camp_List[P_Code],MATCH(Data_NFI_t[[#This Row],[Camp Name]],Camp_List[Camp Name],0)-1,0,1,1),"")</f>
        <v>MMR012CMP028</v>
      </c>
      <c r="AN220" s="513" t="str">
        <f ca="1">IFERROR(OFFSET(Camp_List[Status],MATCH(Data_NFI_t[[#This Row],[Camp Name]],Camp_List[Camp Name],0)-1,0,1,1),"")</f>
        <v>Returned</v>
      </c>
      <c r="AO220" s="131"/>
    </row>
    <row r="221" spans="1:41" s="90" customFormat="1" ht="19.5" customHeight="1" x14ac:dyDescent="0.25">
      <c r="A221" s="242">
        <f t="shared" si="5"/>
        <v>46.833333333333336</v>
      </c>
      <c r="B221" s="242">
        <f>YEAR(Data_NFI_t[[#This Row],[Distribution Date]])</f>
        <v>2013</v>
      </c>
      <c r="C221" s="913">
        <v>41451</v>
      </c>
      <c r="D221" s="489" t="s">
        <v>286</v>
      </c>
      <c r="E221" s="488" t="s">
        <v>286</v>
      </c>
      <c r="F221" s="489" t="s">
        <v>7</v>
      </c>
      <c r="G221" s="790" t="s">
        <v>19</v>
      </c>
      <c r="H221" s="790" t="s">
        <v>65</v>
      </c>
      <c r="I221" s="790"/>
      <c r="J221" s="51"/>
      <c r="K221" s="51"/>
      <c r="L221" s="51">
        <v>273</v>
      </c>
      <c r="M221" s="51">
        <v>273</v>
      </c>
      <c r="N221" s="51">
        <v>273</v>
      </c>
      <c r="O221" s="51"/>
      <c r="P221" s="51"/>
      <c r="Q221" s="51">
        <v>273</v>
      </c>
      <c r="R221" s="511"/>
      <c r="S221" s="51">
        <v>273</v>
      </c>
      <c r="T221" s="51"/>
      <c r="U221" s="51"/>
      <c r="V221" s="51"/>
      <c r="W221" s="51"/>
      <c r="X221" s="131">
        <f>IF(NFI_Expiration=1,IF($A221&lt;VLOOKUP(I$5,NFI,5,0),1,0)*Data_NFI_t[[#This Row],[Hygiene Kit]],0)</f>
        <v>0</v>
      </c>
      <c r="Y221" s="131">
        <f>IF(NFI_Expiration=1,IF($A221&lt;VLOOKUP(J$5,NFI,5,0),1,0)*Data_NFI_t[[#This Row],[NFI Core Kit]],0)</f>
        <v>0</v>
      </c>
      <c r="Z221" s="112">
        <f>IF(NFI_Expiration=1,IF($A221&lt;VLOOKUP(K$5,NFI,5,0),1,0)*Data_NFI_t[[#This Row],[Sanitary Kit]],0)</f>
        <v>0</v>
      </c>
      <c r="AA221" s="112">
        <f>IF(NFI_Expiration=1,IF($A221&lt;VLOOKUP(L$5,NFI,5,0),1,0)*Data_NFI_t[[#This Row],[Mosquito net]],0)</f>
        <v>0</v>
      </c>
      <c r="AB221" s="112">
        <f>IF(NFI_Expiration=1,IF($A221&lt;VLOOKUP(M$5,NFI,5,0),1,0)*Data_NFI_t[[#This Row],[Tarpaulin]],0)</f>
        <v>0</v>
      </c>
      <c r="AC221" s="112">
        <f>IF(NFI_Expiration=1,IF($A221&lt;VLOOKUP(N$5,NFI,5,0),1,0)*Data_NFI_t[[#This Row],[Blanket]],0)</f>
        <v>0</v>
      </c>
      <c r="AD221" s="112">
        <f>IF(NFI_Expiration=1,IF($A221&lt;VLOOKUP(O$5,NFI,5,0),1,0)*Data_NFI_t[[#This Row],[Kitchen Set]],0)</f>
        <v>0</v>
      </c>
      <c r="AE221" s="112">
        <f>IF(NFI_Expiration=1,IF($A221&lt;VLOOKUP(P$5,NFI,5,0),1,0)*Data_NFI_t[[#This Row],[Complementary Kit]],0)</f>
        <v>0</v>
      </c>
      <c r="AF221" s="112">
        <f>IF(NFI_Expiration=1,IF($A221&lt;VLOOKUP(Q$5,NFI,5,0),1,0)*Data_NFI_t[[#This Row],[Plastic Bucket]],0)</f>
        <v>0</v>
      </c>
      <c r="AG221" s="112">
        <f>IF(NFI_Expiration=1,IF($A221&lt;VLOOKUP(R$5,NFI,5,0),1,0)*Data_NFI_t[[#This Row],[Jerry Can]],0)</f>
        <v>0</v>
      </c>
      <c r="AH221" s="131">
        <f>IF(NFI_Expiration=1,IF($A221&lt;VLOOKUP(S$5,NFI,5,0),1,0)*Data_NFI_t[[#This Row],[Plastic Mat]],0)*IF(Data_NFI_t[[#This Row],[Distribution Date]]&gt;"01-06-2015",1,2.5)</f>
        <v>0</v>
      </c>
      <c r="AI221" s="901">
        <f>IF(NFI_Expiration=1,IF($A221&lt;VLOOKUP(T$5,NFI,5,0),1,0)*Data_NFI_t[[#This Row],[Adult Clothes]],0)</f>
        <v>0</v>
      </c>
      <c r="AJ221" s="131">
        <f>IF(NFI_Expiration=1,IF($A221&lt;VLOOKUP(U$5,NFI,5,0),1,0)*Data_NFI_t[[#This Row],[Children Clothes]],0)</f>
        <v>0</v>
      </c>
      <c r="AK221" s="131">
        <f>IF(NFI_Expiration=1,IF($A221&lt;VLOOKUP(V$5,NFI,5,0),1,0)*Data_NFI_t[[#This Row],[Sewing Kit]],0)</f>
        <v>0</v>
      </c>
      <c r="AL221" s="901">
        <f>IF(NFI_Expiration=1,IF($A221&lt;VLOOKUP(V$5,NFI,5,0),1,0)*Data_NFI_t[[#This Row],[Solar Lantern]],0)</f>
        <v>0</v>
      </c>
      <c r="AM221" s="131" t="str">
        <f ca="1">IFERROR(OFFSET(Camp_List[P_Code],MATCH(Data_NFI_t[[#This Row],[Camp Name]],Camp_List[Camp Name],0)-1,0,1,1),"")</f>
        <v>MMR012CMP043</v>
      </c>
      <c r="AN221" s="513" t="str">
        <f ca="1">IFERROR(OFFSET(Camp_List[Status],MATCH(Data_NFI_t[[#This Row],[Camp Name]],Camp_List[Camp Name],0)-1,0,1,1),"")</f>
        <v>Close</v>
      </c>
      <c r="AO221" s="131"/>
    </row>
    <row r="222" spans="1:41" s="90" customFormat="1" ht="19.5" customHeight="1" x14ac:dyDescent="0.25">
      <c r="A222" s="242">
        <f t="shared" si="5"/>
        <v>46.833333333333336</v>
      </c>
      <c r="B222" s="242">
        <f>YEAR(Data_NFI_t[[#This Row],[Distribution Date]])</f>
        <v>2013</v>
      </c>
      <c r="C222" s="913">
        <v>41451</v>
      </c>
      <c r="D222" s="489" t="s">
        <v>286</v>
      </c>
      <c r="E222" s="488" t="s">
        <v>286</v>
      </c>
      <c r="F222" s="489" t="s">
        <v>7</v>
      </c>
      <c r="G222" s="790" t="s">
        <v>19</v>
      </c>
      <c r="H222" s="790" t="s">
        <v>78</v>
      </c>
      <c r="I222" s="790"/>
      <c r="J222" s="51"/>
      <c r="K222" s="51"/>
      <c r="L222" s="51">
        <v>20</v>
      </c>
      <c r="M222" s="51">
        <v>20</v>
      </c>
      <c r="N222" s="51">
        <v>20</v>
      </c>
      <c r="O222" s="51"/>
      <c r="P222" s="51"/>
      <c r="Q222" s="51">
        <v>20</v>
      </c>
      <c r="R222" s="511"/>
      <c r="S222" s="51">
        <v>20</v>
      </c>
      <c r="T222" s="51"/>
      <c r="U222" s="51"/>
      <c r="V222" s="51"/>
      <c r="W222" s="51"/>
      <c r="X222" s="131">
        <f>IF(NFI_Expiration=1,IF($A222&lt;VLOOKUP(I$5,NFI,5,0),1,0)*Data_NFI_t[[#This Row],[Hygiene Kit]],0)</f>
        <v>0</v>
      </c>
      <c r="Y222" s="131">
        <f>IF(NFI_Expiration=1,IF($A222&lt;VLOOKUP(J$5,NFI,5,0),1,0)*Data_NFI_t[[#This Row],[NFI Core Kit]],0)</f>
        <v>0</v>
      </c>
      <c r="Z222" s="112">
        <f>IF(NFI_Expiration=1,IF($A222&lt;VLOOKUP(K$5,NFI,5,0),1,0)*Data_NFI_t[[#This Row],[Sanitary Kit]],0)</f>
        <v>0</v>
      </c>
      <c r="AA222" s="112">
        <f>IF(NFI_Expiration=1,IF($A222&lt;VLOOKUP(L$5,NFI,5,0),1,0)*Data_NFI_t[[#This Row],[Mosquito net]],0)</f>
        <v>0</v>
      </c>
      <c r="AB222" s="112">
        <f>IF(NFI_Expiration=1,IF($A222&lt;VLOOKUP(M$5,NFI,5,0),1,0)*Data_NFI_t[[#This Row],[Tarpaulin]],0)</f>
        <v>0</v>
      </c>
      <c r="AC222" s="112">
        <f>IF(NFI_Expiration=1,IF($A222&lt;VLOOKUP(N$5,NFI,5,0),1,0)*Data_NFI_t[[#This Row],[Blanket]],0)</f>
        <v>0</v>
      </c>
      <c r="AD222" s="112">
        <f>IF(NFI_Expiration=1,IF($A222&lt;VLOOKUP(O$5,NFI,5,0),1,0)*Data_NFI_t[[#This Row],[Kitchen Set]],0)</f>
        <v>0</v>
      </c>
      <c r="AE222" s="112">
        <f>IF(NFI_Expiration=1,IF($A222&lt;VLOOKUP(P$5,NFI,5,0),1,0)*Data_NFI_t[[#This Row],[Complementary Kit]],0)</f>
        <v>0</v>
      </c>
      <c r="AF222" s="112">
        <f>IF(NFI_Expiration=1,IF($A222&lt;VLOOKUP(Q$5,NFI,5,0),1,0)*Data_NFI_t[[#This Row],[Plastic Bucket]],0)</f>
        <v>0</v>
      </c>
      <c r="AG222" s="112">
        <f>IF(NFI_Expiration=1,IF($A222&lt;VLOOKUP(R$5,NFI,5,0),1,0)*Data_NFI_t[[#This Row],[Jerry Can]],0)</f>
        <v>0</v>
      </c>
      <c r="AH222" s="131">
        <f>IF(NFI_Expiration=1,IF($A222&lt;VLOOKUP(S$5,NFI,5,0),1,0)*Data_NFI_t[[#This Row],[Plastic Mat]],0)*IF(Data_NFI_t[[#This Row],[Distribution Date]]&gt;"01-06-2015",1,2.5)</f>
        <v>0</v>
      </c>
      <c r="AI222" s="901">
        <f>IF(NFI_Expiration=1,IF($A222&lt;VLOOKUP(T$5,NFI,5,0),1,0)*Data_NFI_t[[#This Row],[Adult Clothes]],0)</f>
        <v>0</v>
      </c>
      <c r="AJ222" s="131">
        <f>IF(NFI_Expiration=1,IF($A222&lt;VLOOKUP(U$5,NFI,5,0),1,0)*Data_NFI_t[[#This Row],[Children Clothes]],0)</f>
        <v>0</v>
      </c>
      <c r="AK222" s="131">
        <f>IF(NFI_Expiration=1,IF($A222&lt;VLOOKUP(V$5,NFI,5,0),1,0)*Data_NFI_t[[#This Row],[Sewing Kit]],0)</f>
        <v>0</v>
      </c>
      <c r="AL222" s="901">
        <f>IF(NFI_Expiration=1,IF($A222&lt;VLOOKUP(V$5,NFI,5,0),1,0)*Data_NFI_t[[#This Row],[Solar Lantern]],0)</f>
        <v>0</v>
      </c>
      <c r="AM222" s="131" t="str">
        <f ca="1">IFERROR(OFFSET(Camp_List[P_Code],MATCH(Data_NFI_t[[#This Row],[Camp Name]],Camp_List[Camp Name],0)-1,0,1,1),"")</f>
        <v>MMR012CMP056</v>
      </c>
      <c r="AN222" s="513" t="str">
        <f ca="1">IFERROR(OFFSET(Camp_List[Status],MATCH(Data_NFI_t[[#This Row],[Camp Name]],Camp_List[Camp Name],0)-1,0,1,1),"")</f>
        <v>Relocated</v>
      </c>
      <c r="AO222" s="131"/>
    </row>
    <row r="223" spans="1:41" s="90" customFormat="1" ht="19.5" customHeight="1" x14ac:dyDescent="0.25">
      <c r="A223" s="242">
        <f t="shared" si="5"/>
        <v>46.833333333333336</v>
      </c>
      <c r="B223" s="242">
        <f>YEAR(Data_NFI_t[[#This Row],[Distribution Date]])</f>
        <v>2013</v>
      </c>
      <c r="C223" s="913">
        <v>41451</v>
      </c>
      <c r="D223" s="489" t="s">
        <v>286</v>
      </c>
      <c r="E223" s="488" t="s">
        <v>286</v>
      </c>
      <c r="F223" s="489" t="s">
        <v>7</v>
      </c>
      <c r="G223" s="790" t="s">
        <v>19</v>
      </c>
      <c r="H223" s="790" t="s">
        <v>68</v>
      </c>
      <c r="I223" s="790"/>
      <c r="J223" s="51"/>
      <c r="K223" s="51"/>
      <c r="L223" s="51">
        <v>2797</v>
      </c>
      <c r="M223" s="51">
        <v>2797</v>
      </c>
      <c r="N223" s="51">
        <v>2797</v>
      </c>
      <c r="O223" s="51"/>
      <c r="P223" s="51"/>
      <c r="Q223" s="51">
        <v>2797</v>
      </c>
      <c r="R223" s="511"/>
      <c r="S223" s="51">
        <v>2797</v>
      </c>
      <c r="T223" s="51"/>
      <c r="U223" s="51"/>
      <c r="V223" s="51"/>
      <c r="W223" s="51"/>
      <c r="X223" s="131">
        <f>IF(NFI_Expiration=1,IF($A223&lt;VLOOKUP(I$5,NFI,5,0),1,0)*Data_NFI_t[[#This Row],[Hygiene Kit]],0)</f>
        <v>0</v>
      </c>
      <c r="Y223" s="131">
        <f>IF(NFI_Expiration=1,IF($A223&lt;VLOOKUP(J$5,NFI,5,0),1,0)*Data_NFI_t[[#This Row],[NFI Core Kit]],0)</f>
        <v>0</v>
      </c>
      <c r="Z223" s="112">
        <f>IF(NFI_Expiration=1,IF($A223&lt;VLOOKUP(K$5,NFI,5,0),1,0)*Data_NFI_t[[#This Row],[Sanitary Kit]],0)</f>
        <v>0</v>
      </c>
      <c r="AA223" s="112">
        <f>IF(NFI_Expiration=1,IF($A223&lt;VLOOKUP(L$5,NFI,5,0),1,0)*Data_NFI_t[[#This Row],[Mosquito net]],0)</f>
        <v>0</v>
      </c>
      <c r="AB223" s="112">
        <f>IF(NFI_Expiration=1,IF($A223&lt;VLOOKUP(M$5,NFI,5,0),1,0)*Data_NFI_t[[#This Row],[Tarpaulin]],0)</f>
        <v>0</v>
      </c>
      <c r="AC223" s="112">
        <f>IF(NFI_Expiration=1,IF($A223&lt;VLOOKUP(N$5,NFI,5,0),1,0)*Data_NFI_t[[#This Row],[Blanket]],0)</f>
        <v>0</v>
      </c>
      <c r="AD223" s="112">
        <f>IF(NFI_Expiration=1,IF($A223&lt;VLOOKUP(O$5,NFI,5,0),1,0)*Data_NFI_t[[#This Row],[Kitchen Set]],0)</f>
        <v>0</v>
      </c>
      <c r="AE223" s="112">
        <f>IF(NFI_Expiration=1,IF($A223&lt;VLOOKUP(P$5,NFI,5,0),1,0)*Data_NFI_t[[#This Row],[Complementary Kit]],0)</f>
        <v>0</v>
      </c>
      <c r="AF223" s="112">
        <f>IF(NFI_Expiration=1,IF($A223&lt;VLOOKUP(Q$5,NFI,5,0),1,0)*Data_NFI_t[[#This Row],[Plastic Bucket]],0)</f>
        <v>0</v>
      </c>
      <c r="AG223" s="112">
        <f>IF(NFI_Expiration=1,IF($A223&lt;VLOOKUP(R$5,NFI,5,0),1,0)*Data_NFI_t[[#This Row],[Jerry Can]],0)</f>
        <v>0</v>
      </c>
      <c r="AH223" s="131">
        <f>IF(NFI_Expiration=1,IF($A223&lt;VLOOKUP(S$5,NFI,5,0),1,0)*Data_NFI_t[[#This Row],[Plastic Mat]],0)*IF(Data_NFI_t[[#This Row],[Distribution Date]]&gt;"01-06-2015",1,2.5)</f>
        <v>0</v>
      </c>
      <c r="AI223" s="901">
        <f>IF(NFI_Expiration=1,IF($A223&lt;VLOOKUP(T$5,NFI,5,0),1,0)*Data_NFI_t[[#This Row],[Adult Clothes]],0)</f>
        <v>0</v>
      </c>
      <c r="AJ223" s="131">
        <f>IF(NFI_Expiration=1,IF($A223&lt;VLOOKUP(U$5,NFI,5,0),1,0)*Data_NFI_t[[#This Row],[Children Clothes]],0)</f>
        <v>0</v>
      </c>
      <c r="AK223" s="131">
        <f>IF(NFI_Expiration=1,IF($A223&lt;VLOOKUP(V$5,NFI,5,0),1,0)*Data_NFI_t[[#This Row],[Sewing Kit]],0)</f>
        <v>0</v>
      </c>
      <c r="AL223" s="901">
        <f>IF(NFI_Expiration=1,IF($A223&lt;VLOOKUP(V$5,NFI,5,0),1,0)*Data_NFI_t[[#This Row],[Solar Lantern]],0)</f>
        <v>0</v>
      </c>
      <c r="AM223" s="131" t="str">
        <f ca="1">IFERROR(OFFSET(Camp_List[P_Code],MATCH(Data_NFI_t[[#This Row],[Camp Name]],Camp_List[Camp Name],0)-1,0,1,1),"")</f>
        <v>MMR012CMP046</v>
      </c>
      <c r="AN223" s="513" t="str">
        <f ca="1">IFERROR(OFFSET(Camp_List[Status],MATCH(Data_NFI_t[[#This Row],[Camp Name]],Camp_List[Camp Name],0)-1,0,1,1),"")</f>
        <v>Open</v>
      </c>
      <c r="AO223" s="131"/>
    </row>
    <row r="224" spans="1:41" s="90" customFormat="1" ht="19.5" customHeight="1" x14ac:dyDescent="0.25">
      <c r="A224" s="242">
        <f t="shared" si="5"/>
        <v>47.766666666666666</v>
      </c>
      <c r="B224" s="242">
        <f>YEAR(Data_NFI_t[[#This Row],[Distribution Date]])</f>
        <v>2013</v>
      </c>
      <c r="C224" s="913">
        <v>41423</v>
      </c>
      <c r="D224" s="489" t="s">
        <v>515</v>
      </c>
      <c r="E224" s="488" t="s">
        <v>515</v>
      </c>
      <c r="F224" s="489" t="s">
        <v>7</v>
      </c>
      <c r="G224" s="790" t="s">
        <v>14</v>
      </c>
      <c r="H224" s="790" t="s">
        <v>40</v>
      </c>
      <c r="I224" s="790">
        <v>773</v>
      </c>
      <c r="J224" s="51"/>
      <c r="K224" s="51"/>
      <c r="L224" s="51"/>
      <c r="M224" s="51"/>
      <c r="N224" s="51"/>
      <c r="O224" s="51"/>
      <c r="P224" s="51"/>
      <c r="Q224" s="51"/>
      <c r="R224" s="511"/>
      <c r="S224" s="51"/>
      <c r="T224" s="51"/>
      <c r="U224" s="51"/>
      <c r="V224" s="51"/>
      <c r="W224" s="51"/>
      <c r="X224" s="131">
        <f>IF(NFI_Expiration=1,IF($A224&lt;VLOOKUP(I$5,NFI,5,0),1,0)*Data_NFI_t[[#This Row],[Hygiene Kit]],0)</f>
        <v>0</v>
      </c>
      <c r="Y224" s="131">
        <f>IF(NFI_Expiration=1,IF($A224&lt;VLOOKUP(J$5,NFI,5,0),1,0)*Data_NFI_t[[#This Row],[NFI Core Kit]],0)</f>
        <v>0</v>
      </c>
      <c r="Z224" s="112">
        <f>IF(NFI_Expiration=1,IF($A224&lt;VLOOKUP(K$5,NFI,5,0),1,0)*Data_NFI_t[[#This Row],[Sanitary Kit]],0)</f>
        <v>0</v>
      </c>
      <c r="AA224" s="112">
        <f>IF(NFI_Expiration=1,IF($A224&lt;VLOOKUP(L$5,NFI,5,0),1,0)*Data_NFI_t[[#This Row],[Mosquito net]],0)</f>
        <v>0</v>
      </c>
      <c r="AB224" s="112">
        <f>IF(NFI_Expiration=1,IF($A224&lt;VLOOKUP(M$5,NFI,5,0),1,0)*Data_NFI_t[[#This Row],[Tarpaulin]],0)</f>
        <v>0</v>
      </c>
      <c r="AC224" s="112">
        <f>IF(NFI_Expiration=1,IF($A224&lt;VLOOKUP(N$5,NFI,5,0),1,0)*Data_NFI_t[[#This Row],[Blanket]],0)</f>
        <v>0</v>
      </c>
      <c r="AD224" s="112">
        <f>IF(NFI_Expiration=1,IF($A224&lt;VLOOKUP(O$5,NFI,5,0),1,0)*Data_NFI_t[[#This Row],[Kitchen Set]],0)</f>
        <v>0</v>
      </c>
      <c r="AE224" s="112">
        <f>IF(NFI_Expiration=1,IF($A224&lt;VLOOKUP(P$5,NFI,5,0),1,0)*Data_NFI_t[[#This Row],[Complementary Kit]],0)</f>
        <v>0</v>
      </c>
      <c r="AF224" s="112">
        <f>IF(NFI_Expiration=1,IF($A224&lt;VLOOKUP(Q$5,NFI,5,0),1,0)*Data_NFI_t[[#This Row],[Plastic Bucket]],0)</f>
        <v>0</v>
      </c>
      <c r="AG224" s="112">
        <f>IF(NFI_Expiration=1,IF($A224&lt;VLOOKUP(R$5,NFI,5,0),1,0)*Data_NFI_t[[#This Row],[Jerry Can]],0)</f>
        <v>0</v>
      </c>
      <c r="AH224" s="131">
        <f>IF(NFI_Expiration=1,IF($A224&lt;VLOOKUP(S$5,NFI,5,0),1,0)*Data_NFI_t[[#This Row],[Plastic Mat]],0)*IF(Data_NFI_t[[#This Row],[Distribution Date]]&gt;"01-06-2015",1,2.5)</f>
        <v>0</v>
      </c>
      <c r="AI224" s="901">
        <f>IF(NFI_Expiration=1,IF($A224&lt;VLOOKUP(T$5,NFI,5,0),1,0)*Data_NFI_t[[#This Row],[Adult Clothes]],0)</f>
        <v>0</v>
      </c>
      <c r="AJ224" s="131">
        <f>IF(NFI_Expiration=1,IF($A224&lt;VLOOKUP(U$5,NFI,5,0),1,0)*Data_NFI_t[[#This Row],[Children Clothes]],0)</f>
        <v>0</v>
      </c>
      <c r="AK224" s="131">
        <f>IF(NFI_Expiration=1,IF($A224&lt;VLOOKUP(V$5,NFI,5,0),1,0)*Data_NFI_t[[#This Row],[Sewing Kit]],0)</f>
        <v>0</v>
      </c>
      <c r="AL224" s="901">
        <f>IF(NFI_Expiration=1,IF($A224&lt;VLOOKUP(V$5,NFI,5,0),1,0)*Data_NFI_t[[#This Row],[Solar Lantern]],0)</f>
        <v>0</v>
      </c>
      <c r="AM224" s="131" t="str">
        <f ca="1">IFERROR(OFFSET(Camp_List[P_Code],MATCH(Data_NFI_t[[#This Row],[Camp Name]],Camp_List[Camp Name],0)-1,0,1,1),"")</f>
        <v>MMR012CMP016</v>
      </c>
      <c r="AN224" s="513" t="str">
        <f ca="1">IFERROR(OFFSET(Camp_List[Status],MATCH(Data_NFI_t[[#This Row],[Camp Name]],Camp_List[Camp Name],0)-1,0,1,1),"")</f>
        <v>Open</v>
      </c>
      <c r="AO224" s="131"/>
    </row>
    <row r="225" spans="1:41" s="90" customFormat="1" ht="19.5" customHeight="1" x14ac:dyDescent="0.25">
      <c r="A225" s="242">
        <f t="shared" si="5"/>
        <v>47.766666666666666</v>
      </c>
      <c r="B225" s="242">
        <f>YEAR(Data_NFI_t[[#This Row],[Distribution Date]])</f>
        <v>2013</v>
      </c>
      <c r="C225" s="913">
        <v>41423</v>
      </c>
      <c r="D225" s="489" t="s">
        <v>515</v>
      </c>
      <c r="E225" s="488" t="s">
        <v>515</v>
      </c>
      <c r="F225" s="489" t="s">
        <v>7</v>
      </c>
      <c r="G225" s="790" t="s">
        <v>19</v>
      </c>
      <c r="H225" s="790" t="s">
        <v>73</v>
      </c>
      <c r="I225" s="790">
        <v>502</v>
      </c>
      <c r="J225" s="51"/>
      <c r="K225" s="51"/>
      <c r="L225" s="51"/>
      <c r="M225" s="51"/>
      <c r="N225" s="51"/>
      <c r="O225" s="51"/>
      <c r="P225" s="51"/>
      <c r="Q225" s="51"/>
      <c r="R225" s="511"/>
      <c r="S225" s="51"/>
      <c r="T225" s="51"/>
      <c r="U225" s="51"/>
      <c r="V225" s="51"/>
      <c r="W225" s="51"/>
      <c r="X225" s="131">
        <f>IF(NFI_Expiration=1,IF($A225&lt;VLOOKUP(I$5,NFI,5,0),1,0)*Data_NFI_t[[#This Row],[Hygiene Kit]],0)</f>
        <v>0</v>
      </c>
      <c r="Y225" s="131">
        <f>IF(NFI_Expiration=1,IF($A225&lt;VLOOKUP(J$5,NFI,5,0),1,0)*Data_NFI_t[[#This Row],[NFI Core Kit]],0)</f>
        <v>0</v>
      </c>
      <c r="Z225" s="112">
        <f>IF(NFI_Expiration=1,IF($A225&lt;VLOOKUP(K$5,NFI,5,0),1,0)*Data_NFI_t[[#This Row],[Sanitary Kit]],0)</f>
        <v>0</v>
      </c>
      <c r="AA225" s="112">
        <f>IF(NFI_Expiration=1,IF($A225&lt;VLOOKUP(L$5,NFI,5,0),1,0)*Data_NFI_t[[#This Row],[Mosquito net]],0)</f>
        <v>0</v>
      </c>
      <c r="AB225" s="112">
        <f>IF(NFI_Expiration=1,IF($A225&lt;VLOOKUP(M$5,NFI,5,0),1,0)*Data_NFI_t[[#This Row],[Tarpaulin]],0)</f>
        <v>0</v>
      </c>
      <c r="AC225" s="112">
        <f>IF(NFI_Expiration=1,IF($A225&lt;VLOOKUP(N$5,NFI,5,0),1,0)*Data_NFI_t[[#This Row],[Blanket]],0)</f>
        <v>0</v>
      </c>
      <c r="AD225" s="112">
        <f>IF(NFI_Expiration=1,IF($A225&lt;VLOOKUP(O$5,NFI,5,0),1,0)*Data_NFI_t[[#This Row],[Kitchen Set]],0)</f>
        <v>0</v>
      </c>
      <c r="AE225" s="112">
        <f>IF(NFI_Expiration=1,IF($A225&lt;VLOOKUP(P$5,NFI,5,0),1,0)*Data_NFI_t[[#This Row],[Complementary Kit]],0)</f>
        <v>0</v>
      </c>
      <c r="AF225" s="112">
        <f>IF(NFI_Expiration=1,IF($A225&lt;VLOOKUP(Q$5,NFI,5,0),1,0)*Data_NFI_t[[#This Row],[Plastic Bucket]],0)</f>
        <v>0</v>
      </c>
      <c r="AG225" s="112">
        <f>IF(NFI_Expiration=1,IF($A225&lt;VLOOKUP(R$5,NFI,5,0),1,0)*Data_NFI_t[[#This Row],[Jerry Can]],0)</f>
        <v>0</v>
      </c>
      <c r="AH225" s="131">
        <f>IF(NFI_Expiration=1,IF($A225&lt;VLOOKUP(S$5,NFI,5,0),1,0)*Data_NFI_t[[#This Row],[Plastic Mat]],0)*IF(Data_NFI_t[[#This Row],[Distribution Date]]&gt;"01-06-2015",1,2.5)</f>
        <v>0</v>
      </c>
      <c r="AI225" s="901">
        <f>IF(NFI_Expiration=1,IF($A225&lt;VLOOKUP(T$5,NFI,5,0),1,0)*Data_NFI_t[[#This Row],[Adult Clothes]],0)</f>
        <v>0</v>
      </c>
      <c r="AJ225" s="131">
        <f>IF(NFI_Expiration=1,IF($A225&lt;VLOOKUP(U$5,NFI,5,0),1,0)*Data_NFI_t[[#This Row],[Children Clothes]],0)</f>
        <v>0</v>
      </c>
      <c r="AK225" s="131">
        <f>IF(NFI_Expiration=1,IF($A225&lt;VLOOKUP(V$5,NFI,5,0),1,0)*Data_NFI_t[[#This Row],[Sewing Kit]],0)</f>
        <v>0</v>
      </c>
      <c r="AL225" s="901">
        <f>IF(NFI_Expiration=1,IF($A225&lt;VLOOKUP(V$5,NFI,5,0),1,0)*Data_NFI_t[[#This Row],[Solar Lantern]],0)</f>
        <v>0</v>
      </c>
      <c r="AM225" s="131" t="str">
        <f ca="1">IFERROR(OFFSET(Camp_List[P_Code],MATCH(Data_NFI_t[[#This Row],[Camp Name]],Camp_List[Camp Name],0)-1,0,1,1),"")</f>
        <v>MMR012CMP051</v>
      </c>
      <c r="AN225" s="513" t="str">
        <f ca="1">IFERROR(OFFSET(Camp_List[Status],MATCH(Data_NFI_t[[#This Row],[Camp Name]],Camp_List[Camp Name],0)-1,0,1,1),"")</f>
        <v>Close</v>
      </c>
      <c r="AO225" s="131"/>
    </row>
    <row r="226" spans="1:41" s="90" customFormat="1" ht="19.5" customHeight="1" x14ac:dyDescent="0.25">
      <c r="A226" s="242">
        <f t="shared" si="5"/>
        <v>47.766666666666666</v>
      </c>
      <c r="B226" s="242">
        <f>YEAR(Data_NFI_t[[#This Row],[Distribution Date]])</f>
        <v>2013</v>
      </c>
      <c r="C226" s="913">
        <v>41423</v>
      </c>
      <c r="D226" s="489" t="s">
        <v>515</v>
      </c>
      <c r="E226" s="488" t="s">
        <v>515</v>
      </c>
      <c r="F226" s="489" t="s">
        <v>7</v>
      </c>
      <c r="G226" s="790" t="s">
        <v>19</v>
      </c>
      <c r="H226" s="790" t="s">
        <v>71</v>
      </c>
      <c r="I226" s="790">
        <v>203</v>
      </c>
      <c r="J226" s="51"/>
      <c r="K226" s="51"/>
      <c r="L226" s="51"/>
      <c r="M226" s="51"/>
      <c r="N226" s="51"/>
      <c r="O226" s="51"/>
      <c r="P226" s="51"/>
      <c r="Q226" s="51"/>
      <c r="R226" s="511"/>
      <c r="S226" s="51"/>
      <c r="T226" s="51"/>
      <c r="U226" s="51"/>
      <c r="V226" s="51"/>
      <c r="W226" s="51"/>
      <c r="X226" s="131">
        <f>IF(NFI_Expiration=1,IF($A226&lt;VLOOKUP(I$5,NFI,5,0),1,0)*Data_NFI_t[[#This Row],[Hygiene Kit]],0)</f>
        <v>0</v>
      </c>
      <c r="Y226" s="131">
        <f>IF(NFI_Expiration=1,IF($A226&lt;VLOOKUP(J$5,NFI,5,0),1,0)*Data_NFI_t[[#This Row],[NFI Core Kit]],0)</f>
        <v>0</v>
      </c>
      <c r="Z226" s="112">
        <f>IF(NFI_Expiration=1,IF($A226&lt;VLOOKUP(K$5,NFI,5,0),1,0)*Data_NFI_t[[#This Row],[Sanitary Kit]],0)</f>
        <v>0</v>
      </c>
      <c r="AA226" s="112">
        <f>IF(NFI_Expiration=1,IF($A226&lt;VLOOKUP(L$5,NFI,5,0),1,0)*Data_NFI_t[[#This Row],[Mosquito net]],0)</f>
        <v>0</v>
      </c>
      <c r="AB226" s="112">
        <f>IF(NFI_Expiration=1,IF($A226&lt;VLOOKUP(M$5,NFI,5,0),1,0)*Data_NFI_t[[#This Row],[Tarpaulin]],0)</f>
        <v>0</v>
      </c>
      <c r="AC226" s="112">
        <f>IF(NFI_Expiration=1,IF($A226&lt;VLOOKUP(N$5,NFI,5,0),1,0)*Data_NFI_t[[#This Row],[Blanket]],0)</f>
        <v>0</v>
      </c>
      <c r="AD226" s="112">
        <f>IF(NFI_Expiration=1,IF($A226&lt;VLOOKUP(O$5,NFI,5,0),1,0)*Data_NFI_t[[#This Row],[Kitchen Set]],0)</f>
        <v>0</v>
      </c>
      <c r="AE226" s="112">
        <f>IF(NFI_Expiration=1,IF($A226&lt;VLOOKUP(P$5,NFI,5,0),1,0)*Data_NFI_t[[#This Row],[Complementary Kit]],0)</f>
        <v>0</v>
      </c>
      <c r="AF226" s="112">
        <f>IF(NFI_Expiration=1,IF($A226&lt;VLOOKUP(Q$5,NFI,5,0),1,0)*Data_NFI_t[[#This Row],[Plastic Bucket]],0)</f>
        <v>0</v>
      </c>
      <c r="AG226" s="112">
        <f>IF(NFI_Expiration=1,IF($A226&lt;VLOOKUP(R$5,NFI,5,0),1,0)*Data_NFI_t[[#This Row],[Jerry Can]],0)</f>
        <v>0</v>
      </c>
      <c r="AH226" s="131">
        <f>IF(NFI_Expiration=1,IF($A226&lt;VLOOKUP(S$5,NFI,5,0),1,0)*Data_NFI_t[[#This Row],[Plastic Mat]],0)*IF(Data_NFI_t[[#This Row],[Distribution Date]]&gt;"01-06-2015",1,2.5)</f>
        <v>0</v>
      </c>
      <c r="AI226" s="901">
        <f>IF(NFI_Expiration=1,IF($A226&lt;VLOOKUP(T$5,NFI,5,0),1,0)*Data_NFI_t[[#This Row],[Adult Clothes]],0)</f>
        <v>0</v>
      </c>
      <c r="AJ226" s="131">
        <f>IF(NFI_Expiration=1,IF($A226&lt;VLOOKUP(U$5,NFI,5,0),1,0)*Data_NFI_t[[#This Row],[Children Clothes]],0)</f>
        <v>0</v>
      </c>
      <c r="AK226" s="131">
        <f>IF(NFI_Expiration=1,IF($A226&lt;VLOOKUP(V$5,NFI,5,0),1,0)*Data_NFI_t[[#This Row],[Sewing Kit]],0)</f>
        <v>0</v>
      </c>
      <c r="AL226" s="901">
        <f>IF(NFI_Expiration=1,IF($A226&lt;VLOOKUP(V$5,NFI,5,0),1,0)*Data_NFI_t[[#This Row],[Solar Lantern]],0)</f>
        <v>0</v>
      </c>
      <c r="AM226" s="131" t="str">
        <f ca="1">IFERROR(OFFSET(Camp_List[P_Code],MATCH(Data_NFI_t[[#This Row],[Camp Name]],Camp_List[Camp Name],0)-1,0,1,1),"")</f>
        <v>MMR012CMP049</v>
      </c>
      <c r="AN226" s="513" t="str">
        <f ca="1">IFERROR(OFFSET(Camp_List[Status],MATCH(Data_NFI_t[[#This Row],[Camp Name]],Camp_List[Camp Name],0)-1,0,1,1),"")</f>
        <v>Close</v>
      </c>
      <c r="AO226" s="131"/>
    </row>
    <row r="227" spans="1:41" s="90" customFormat="1" ht="19.5" customHeight="1" x14ac:dyDescent="0.25">
      <c r="A227" s="242">
        <f t="shared" si="5"/>
        <v>47.766666666666666</v>
      </c>
      <c r="B227" s="242">
        <f>YEAR(Data_NFI_t[[#This Row],[Distribution Date]])</f>
        <v>2013</v>
      </c>
      <c r="C227" s="913">
        <v>41423</v>
      </c>
      <c r="D227" s="489" t="s">
        <v>515</v>
      </c>
      <c r="E227" s="488" t="s">
        <v>515</v>
      </c>
      <c r="F227" s="489" t="s">
        <v>7</v>
      </c>
      <c r="G227" s="790" t="s">
        <v>14</v>
      </c>
      <c r="H227" s="790" t="s">
        <v>41</v>
      </c>
      <c r="I227" s="790">
        <v>173</v>
      </c>
      <c r="J227" s="51"/>
      <c r="K227" s="51"/>
      <c r="L227" s="51"/>
      <c r="M227" s="51"/>
      <c r="N227" s="51"/>
      <c r="O227" s="51"/>
      <c r="P227" s="51"/>
      <c r="Q227" s="51"/>
      <c r="R227" s="511"/>
      <c r="S227" s="51"/>
      <c r="T227" s="51"/>
      <c r="U227" s="51"/>
      <c r="V227" s="51"/>
      <c r="W227" s="51"/>
      <c r="X227" s="131">
        <f>IF(NFI_Expiration=1,IF($A227&lt;VLOOKUP(I$5,NFI,5,0),1,0)*Data_NFI_t[[#This Row],[Hygiene Kit]],0)</f>
        <v>0</v>
      </c>
      <c r="Y227" s="131">
        <f>IF(NFI_Expiration=1,IF($A227&lt;VLOOKUP(J$5,NFI,5,0),1,0)*Data_NFI_t[[#This Row],[NFI Core Kit]],0)</f>
        <v>0</v>
      </c>
      <c r="Z227" s="112">
        <f>IF(NFI_Expiration=1,IF($A227&lt;VLOOKUP(K$5,NFI,5,0),1,0)*Data_NFI_t[[#This Row],[Sanitary Kit]],0)</f>
        <v>0</v>
      </c>
      <c r="AA227" s="112">
        <f>IF(NFI_Expiration=1,IF($A227&lt;VLOOKUP(L$5,NFI,5,0),1,0)*Data_NFI_t[[#This Row],[Mosquito net]],0)</f>
        <v>0</v>
      </c>
      <c r="AB227" s="112">
        <f>IF(NFI_Expiration=1,IF($A227&lt;VLOOKUP(M$5,NFI,5,0),1,0)*Data_NFI_t[[#This Row],[Tarpaulin]],0)</f>
        <v>0</v>
      </c>
      <c r="AC227" s="112">
        <f>IF(NFI_Expiration=1,IF($A227&lt;VLOOKUP(N$5,NFI,5,0),1,0)*Data_NFI_t[[#This Row],[Blanket]],0)</f>
        <v>0</v>
      </c>
      <c r="AD227" s="112">
        <f>IF(NFI_Expiration=1,IF($A227&lt;VLOOKUP(O$5,NFI,5,0),1,0)*Data_NFI_t[[#This Row],[Kitchen Set]],0)</f>
        <v>0</v>
      </c>
      <c r="AE227" s="112">
        <f>IF(NFI_Expiration=1,IF($A227&lt;VLOOKUP(P$5,NFI,5,0),1,0)*Data_NFI_t[[#This Row],[Complementary Kit]],0)</f>
        <v>0</v>
      </c>
      <c r="AF227" s="112">
        <f>IF(NFI_Expiration=1,IF($A227&lt;VLOOKUP(Q$5,NFI,5,0),1,0)*Data_NFI_t[[#This Row],[Plastic Bucket]],0)</f>
        <v>0</v>
      </c>
      <c r="AG227" s="112">
        <f>IF(NFI_Expiration=1,IF($A227&lt;VLOOKUP(R$5,NFI,5,0),1,0)*Data_NFI_t[[#This Row],[Jerry Can]],0)</f>
        <v>0</v>
      </c>
      <c r="AH227" s="131">
        <f>IF(NFI_Expiration=1,IF($A227&lt;VLOOKUP(S$5,NFI,5,0),1,0)*Data_NFI_t[[#This Row],[Plastic Mat]],0)*IF(Data_NFI_t[[#This Row],[Distribution Date]]&gt;"01-06-2015",1,2.5)</f>
        <v>0</v>
      </c>
      <c r="AI227" s="901">
        <f>IF(NFI_Expiration=1,IF($A227&lt;VLOOKUP(T$5,NFI,5,0),1,0)*Data_NFI_t[[#This Row],[Adult Clothes]],0)</f>
        <v>0</v>
      </c>
      <c r="AJ227" s="131">
        <f>IF(NFI_Expiration=1,IF($A227&lt;VLOOKUP(U$5,NFI,5,0),1,0)*Data_NFI_t[[#This Row],[Children Clothes]],0)</f>
        <v>0</v>
      </c>
      <c r="AK227" s="131">
        <f>IF(NFI_Expiration=1,IF($A227&lt;VLOOKUP(V$5,NFI,5,0),1,0)*Data_NFI_t[[#This Row],[Sewing Kit]],0)</f>
        <v>0</v>
      </c>
      <c r="AL227" s="901">
        <f>IF(NFI_Expiration=1,IF($A227&lt;VLOOKUP(V$5,NFI,5,0),1,0)*Data_NFI_t[[#This Row],[Solar Lantern]],0)</f>
        <v>0</v>
      </c>
      <c r="AM227" s="131" t="str">
        <f ca="1">IFERROR(OFFSET(Camp_List[P_Code],MATCH(Data_NFI_t[[#This Row],[Camp Name]],Camp_List[Camp Name],0)-1,0,1,1),"")</f>
        <v/>
      </c>
      <c r="AN227" s="513" t="str">
        <f ca="1">IFERROR(OFFSET(Camp_List[Status],MATCH(Data_NFI_t[[#This Row],[Camp Name]],Camp_List[Camp Name],0)-1,0,1,1),"")</f>
        <v/>
      </c>
      <c r="AO227" s="131"/>
    </row>
    <row r="228" spans="1:41" s="90" customFormat="1" ht="19.5" customHeight="1" x14ac:dyDescent="0.25">
      <c r="A228" s="242">
        <f t="shared" si="5"/>
        <v>47.766666666666666</v>
      </c>
      <c r="B228" s="242">
        <f>YEAR(Data_NFI_t[[#This Row],[Distribution Date]])</f>
        <v>2013</v>
      </c>
      <c r="C228" s="913">
        <v>41423</v>
      </c>
      <c r="D228" s="489" t="s">
        <v>285</v>
      </c>
      <c r="E228" s="488"/>
      <c r="F228" s="489" t="s">
        <v>7</v>
      </c>
      <c r="G228" s="790" t="s">
        <v>1002</v>
      </c>
      <c r="H228" s="790" t="s">
        <v>36</v>
      </c>
      <c r="I228" s="790">
        <v>0</v>
      </c>
      <c r="J228" s="51"/>
      <c r="K228" s="51"/>
      <c r="L228" s="51">
        <v>82</v>
      </c>
      <c r="M228" s="51"/>
      <c r="N228" s="51">
        <v>82</v>
      </c>
      <c r="O228" s="51">
        <v>41</v>
      </c>
      <c r="P228" s="51">
        <v>41</v>
      </c>
      <c r="Q228" s="51">
        <v>10</v>
      </c>
      <c r="R228" s="511"/>
      <c r="S228" s="51">
        <v>20</v>
      </c>
      <c r="T228" s="51"/>
      <c r="U228" s="51"/>
      <c r="V228" s="51"/>
      <c r="W228" s="51"/>
      <c r="X228" s="131">
        <f>IF(NFI_Expiration=1,IF($A228&lt;VLOOKUP(I$5,NFI,5,0),1,0)*Data_NFI_t[[#This Row],[Hygiene Kit]],0)</f>
        <v>0</v>
      </c>
      <c r="Y228" s="131">
        <f>IF(NFI_Expiration=1,IF($A228&lt;VLOOKUP(J$5,NFI,5,0),1,0)*Data_NFI_t[[#This Row],[NFI Core Kit]],0)</f>
        <v>0</v>
      </c>
      <c r="Z228" s="112">
        <f>IF(NFI_Expiration=1,IF($A228&lt;VLOOKUP(K$5,NFI,5,0),1,0)*Data_NFI_t[[#This Row],[Sanitary Kit]],0)</f>
        <v>0</v>
      </c>
      <c r="AA228" s="112">
        <f>IF(NFI_Expiration=1,IF($A228&lt;VLOOKUP(L$5,NFI,5,0),1,0)*Data_NFI_t[[#This Row],[Mosquito net]],0)</f>
        <v>0</v>
      </c>
      <c r="AB228" s="112">
        <f>IF(NFI_Expiration=1,IF($A228&lt;VLOOKUP(M$5,NFI,5,0),1,0)*Data_NFI_t[[#This Row],[Tarpaulin]],0)</f>
        <v>0</v>
      </c>
      <c r="AC228" s="112">
        <f>IF(NFI_Expiration=1,IF($A228&lt;VLOOKUP(N$5,NFI,5,0),1,0)*Data_NFI_t[[#This Row],[Blanket]],0)</f>
        <v>0</v>
      </c>
      <c r="AD228" s="112">
        <f>IF(NFI_Expiration=1,IF($A228&lt;VLOOKUP(O$5,NFI,5,0),1,0)*Data_NFI_t[[#This Row],[Kitchen Set]],0)</f>
        <v>0</v>
      </c>
      <c r="AE228" s="112">
        <f>IF(NFI_Expiration=1,IF($A228&lt;VLOOKUP(P$5,NFI,5,0),1,0)*Data_NFI_t[[#This Row],[Complementary Kit]],0)</f>
        <v>0</v>
      </c>
      <c r="AF228" s="112">
        <f>IF(NFI_Expiration=1,IF($A228&lt;VLOOKUP(Q$5,NFI,5,0),1,0)*Data_NFI_t[[#This Row],[Plastic Bucket]],0)</f>
        <v>0</v>
      </c>
      <c r="AG228" s="112">
        <f>IF(NFI_Expiration=1,IF($A228&lt;VLOOKUP(R$5,NFI,5,0),1,0)*Data_NFI_t[[#This Row],[Jerry Can]],0)</f>
        <v>0</v>
      </c>
      <c r="AH228" s="131">
        <f>IF(NFI_Expiration=1,IF($A228&lt;VLOOKUP(S$5,NFI,5,0),1,0)*Data_NFI_t[[#This Row],[Plastic Mat]],0)*IF(Data_NFI_t[[#This Row],[Distribution Date]]&gt;"01-06-2015",1,2.5)</f>
        <v>0</v>
      </c>
      <c r="AI228" s="901">
        <f>IF(NFI_Expiration=1,IF($A228&lt;VLOOKUP(T$5,NFI,5,0),1,0)*Data_NFI_t[[#This Row],[Adult Clothes]],0)</f>
        <v>0</v>
      </c>
      <c r="AJ228" s="131">
        <f>IF(NFI_Expiration=1,IF($A228&lt;VLOOKUP(U$5,NFI,5,0),1,0)*Data_NFI_t[[#This Row],[Children Clothes]],0)</f>
        <v>0</v>
      </c>
      <c r="AK228" s="131">
        <f>IF(NFI_Expiration=1,IF($A228&lt;VLOOKUP(V$5,NFI,5,0),1,0)*Data_NFI_t[[#This Row],[Sewing Kit]],0)</f>
        <v>0</v>
      </c>
      <c r="AL228" s="901">
        <f>IF(NFI_Expiration=1,IF($A228&lt;VLOOKUP(V$5,NFI,5,0),1,0)*Data_NFI_t[[#This Row],[Solar Lantern]],0)</f>
        <v>0</v>
      </c>
      <c r="AM228" s="131" t="str">
        <f ca="1">IFERROR(OFFSET(Camp_List[P_Code],MATCH(Data_NFI_t[[#This Row],[Camp Name]],Camp_List[Camp Name],0)-1,0,1,1),"")</f>
        <v>MMR012CMP012</v>
      </c>
      <c r="AN228" s="513" t="str">
        <f ca="1">IFERROR(OFFSET(Camp_List[Status],MATCH(Data_NFI_t[[#This Row],[Camp Name]],Camp_List[Camp Name],0)-1,0,1,1),"")</f>
        <v>Relocated</v>
      </c>
      <c r="AO228" s="131"/>
    </row>
    <row r="229" spans="1:41" s="90" customFormat="1" ht="19.5" customHeight="1" x14ac:dyDescent="0.25">
      <c r="A229" s="242">
        <f t="shared" si="5"/>
        <v>47.766666666666666</v>
      </c>
      <c r="B229" s="242">
        <f>YEAR(Data_NFI_t[[#This Row],[Distribution Date]])</f>
        <v>2013</v>
      </c>
      <c r="C229" s="913">
        <v>41423</v>
      </c>
      <c r="D229" s="489" t="s">
        <v>285</v>
      </c>
      <c r="E229" s="488" t="s">
        <v>292</v>
      </c>
      <c r="F229" s="489" t="s">
        <v>7</v>
      </c>
      <c r="G229" s="790" t="s">
        <v>19</v>
      </c>
      <c r="H229" s="790"/>
      <c r="I229" s="790"/>
      <c r="J229" s="51"/>
      <c r="K229" s="51"/>
      <c r="L229" s="51"/>
      <c r="M229" s="51">
        <v>1520</v>
      </c>
      <c r="N229" s="51"/>
      <c r="O229" s="51"/>
      <c r="P229" s="51"/>
      <c r="Q229" s="51"/>
      <c r="R229" s="511"/>
      <c r="S229" s="51"/>
      <c r="T229" s="51"/>
      <c r="U229" s="51"/>
      <c r="V229" s="51"/>
      <c r="W229" s="51"/>
      <c r="X229" s="131">
        <f>IF(NFI_Expiration=1,IF($A229&lt;VLOOKUP(I$5,NFI,5,0),1,0)*Data_NFI_t[[#This Row],[Hygiene Kit]],0)</f>
        <v>0</v>
      </c>
      <c r="Y229" s="131">
        <f>IF(NFI_Expiration=1,IF($A229&lt;VLOOKUP(J$5,NFI,5,0),1,0)*Data_NFI_t[[#This Row],[NFI Core Kit]],0)</f>
        <v>0</v>
      </c>
      <c r="Z229" s="112">
        <f>IF(NFI_Expiration=1,IF($A229&lt;VLOOKUP(K$5,NFI,5,0),1,0)*Data_NFI_t[[#This Row],[Sanitary Kit]],0)</f>
        <v>0</v>
      </c>
      <c r="AA229" s="112">
        <f>IF(NFI_Expiration=1,IF($A229&lt;VLOOKUP(L$5,NFI,5,0),1,0)*Data_NFI_t[[#This Row],[Mosquito net]],0)</f>
        <v>0</v>
      </c>
      <c r="AB229" s="112">
        <f>IF(NFI_Expiration=1,IF($A229&lt;VLOOKUP(M$5,NFI,5,0),1,0)*Data_NFI_t[[#This Row],[Tarpaulin]],0)</f>
        <v>0</v>
      </c>
      <c r="AC229" s="112">
        <f>IF(NFI_Expiration=1,IF($A229&lt;VLOOKUP(N$5,NFI,5,0),1,0)*Data_NFI_t[[#This Row],[Blanket]],0)</f>
        <v>0</v>
      </c>
      <c r="AD229" s="112">
        <f>IF(NFI_Expiration=1,IF($A229&lt;VLOOKUP(O$5,NFI,5,0),1,0)*Data_NFI_t[[#This Row],[Kitchen Set]],0)</f>
        <v>0</v>
      </c>
      <c r="AE229" s="112">
        <f>IF(NFI_Expiration=1,IF($A229&lt;VLOOKUP(P$5,NFI,5,0),1,0)*Data_NFI_t[[#This Row],[Complementary Kit]],0)</f>
        <v>0</v>
      </c>
      <c r="AF229" s="112">
        <f>IF(NFI_Expiration=1,IF($A229&lt;VLOOKUP(Q$5,NFI,5,0),1,0)*Data_NFI_t[[#This Row],[Plastic Bucket]],0)</f>
        <v>0</v>
      </c>
      <c r="AG229" s="112">
        <f>IF(NFI_Expiration=1,IF($A229&lt;VLOOKUP(R$5,NFI,5,0),1,0)*Data_NFI_t[[#This Row],[Jerry Can]],0)</f>
        <v>0</v>
      </c>
      <c r="AH229" s="131">
        <f>IF(NFI_Expiration=1,IF($A229&lt;VLOOKUP(S$5,NFI,5,0),1,0)*Data_NFI_t[[#This Row],[Plastic Mat]],0)*IF(Data_NFI_t[[#This Row],[Distribution Date]]&gt;"01-06-2015",1,2.5)</f>
        <v>0</v>
      </c>
      <c r="AI229" s="901">
        <f>IF(NFI_Expiration=1,IF($A229&lt;VLOOKUP(T$5,NFI,5,0),1,0)*Data_NFI_t[[#This Row],[Adult Clothes]],0)</f>
        <v>0</v>
      </c>
      <c r="AJ229" s="131">
        <f>IF(NFI_Expiration=1,IF($A229&lt;VLOOKUP(U$5,NFI,5,0),1,0)*Data_NFI_t[[#This Row],[Children Clothes]],0)</f>
        <v>0</v>
      </c>
      <c r="AK229" s="131">
        <f>IF(NFI_Expiration=1,IF($A229&lt;VLOOKUP(V$5,NFI,5,0),1,0)*Data_NFI_t[[#This Row],[Sewing Kit]],0)</f>
        <v>0</v>
      </c>
      <c r="AL229" s="901">
        <f>IF(NFI_Expiration=1,IF($A229&lt;VLOOKUP(V$5,NFI,5,0),1,0)*Data_NFI_t[[#This Row],[Solar Lantern]],0)</f>
        <v>0</v>
      </c>
      <c r="AM229" s="131" t="str">
        <f ca="1">IFERROR(OFFSET(Camp_List[P_Code],MATCH(Data_NFI_t[[#This Row],[Camp Name]],Camp_List[Camp Name],0)-1,0,1,1),"")</f>
        <v/>
      </c>
      <c r="AN229" s="513" t="str">
        <f ca="1">IFERROR(OFFSET(Camp_List[Status],MATCH(Data_NFI_t[[#This Row],[Camp Name]],Camp_List[Camp Name],0)-1,0,1,1),"")</f>
        <v/>
      </c>
      <c r="AO229" s="131"/>
    </row>
    <row r="230" spans="1:41" s="90" customFormat="1" ht="19.5" customHeight="1" x14ac:dyDescent="0.25">
      <c r="A230" s="242">
        <f t="shared" si="5"/>
        <v>47.8</v>
      </c>
      <c r="B230" s="242">
        <f>YEAR(Data_NFI_t[[#This Row],[Distribution Date]])</f>
        <v>2013</v>
      </c>
      <c r="C230" s="913">
        <v>41422</v>
      </c>
      <c r="D230" s="489" t="s">
        <v>285</v>
      </c>
      <c r="E230" s="488"/>
      <c r="F230" s="489" t="s">
        <v>7</v>
      </c>
      <c r="G230" s="790" t="s">
        <v>19</v>
      </c>
      <c r="H230" s="790" t="s">
        <v>73</v>
      </c>
      <c r="I230" s="790"/>
      <c r="J230" s="51"/>
      <c r="K230" s="51"/>
      <c r="L230" s="51"/>
      <c r="M230" s="51">
        <v>1315</v>
      </c>
      <c r="N230" s="51"/>
      <c r="O230" s="51"/>
      <c r="P230" s="51"/>
      <c r="Q230" s="51"/>
      <c r="R230" s="511"/>
      <c r="S230" s="51"/>
      <c r="T230" s="51"/>
      <c r="U230" s="51"/>
      <c r="V230" s="51"/>
      <c r="W230" s="51"/>
      <c r="X230" s="131">
        <f>IF(NFI_Expiration=1,IF($A230&lt;VLOOKUP(I$5,NFI,5,0),1,0)*Data_NFI_t[[#This Row],[Hygiene Kit]],0)</f>
        <v>0</v>
      </c>
      <c r="Y230" s="131">
        <f>IF(NFI_Expiration=1,IF($A230&lt;VLOOKUP(J$5,NFI,5,0),1,0)*Data_NFI_t[[#This Row],[NFI Core Kit]],0)</f>
        <v>0</v>
      </c>
      <c r="Z230" s="112">
        <f>IF(NFI_Expiration=1,IF($A230&lt;VLOOKUP(K$5,NFI,5,0),1,0)*Data_NFI_t[[#This Row],[Sanitary Kit]],0)</f>
        <v>0</v>
      </c>
      <c r="AA230" s="112">
        <f>IF(NFI_Expiration=1,IF($A230&lt;VLOOKUP(L$5,NFI,5,0),1,0)*Data_NFI_t[[#This Row],[Mosquito net]],0)</f>
        <v>0</v>
      </c>
      <c r="AB230" s="112">
        <f>IF(NFI_Expiration=1,IF($A230&lt;VLOOKUP(M$5,NFI,5,0),1,0)*Data_NFI_t[[#This Row],[Tarpaulin]],0)</f>
        <v>0</v>
      </c>
      <c r="AC230" s="112">
        <f>IF(NFI_Expiration=1,IF($A230&lt;VLOOKUP(N$5,NFI,5,0),1,0)*Data_NFI_t[[#This Row],[Blanket]],0)</f>
        <v>0</v>
      </c>
      <c r="AD230" s="112">
        <f>IF(NFI_Expiration=1,IF($A230&lt;VLOOKUP(O$5,NFI,5,0),1,0)*Data_NFI_t[[#This Row],[Kitchen Set]],0)</f>
        <v>0</v>
      </c>
      <c r="AE230" s="112">
        <f>IF(NFI_Expiration=1,IF($A230&lt;VLOOKUP(P$5,NFI,5,0),1,0)*Data_NFI_t[[#This Row],[Complementary Kit]],0)</f>
        <v>0</v>
      </c>
      <c r="AF230" s="112">
        <f>IF(NFI_Expiration=1,IF($A230&lt;VLOOKUP(Q$5,NFI,5,0),1,0)*Data_NFI_t[[#This Row],[Plastic Bucket]],0)</f>
        <v>0</v>
      </c>
      <c r="AG230" s="112">
        <f>IF(NFI_Expiration=1,IF($A230&lt;VLOOKUP(R$5,NFI,5,0),1,0)*Data_NFI_t[[#This Row],[Jerry Can]],0)</f>
        <v>0</v>
      </c>
      <c r="AH230" s="131">
        <f>IF(NFI_Expiration=1,IF($A230&lt;VLOOKUP(S$5,NFI,5,0),1,0)*Data_NFI_t[[#This Row],[Plastic Mat]],0)*IF(Data_NFI_t[[#This Row],[Distribution Date]]&gt;"01-06-2015",1,2.5)</f>
        <v>0</v>
      </c>
      <c r="AI230" s="901">
        <f>IF(NFI_Expiration=1,IF($A230&lt;VLOOKUP(T$5,NFI,5,0),1,0)*Data_NFI_t[[#This Row],[Adult Clothes]],0)</f>
        <v>0</v>
      </c>
      <c r="AJ230" s="131">
        <f>IF(NFI_Expiration=1,IF($A230&lt;VLOOKUP(U$5,NFI,5,0),1,0)*Data_NFI_t[[#This Row],[Children Clothes]],0)</f>
        <v>0</v>
      </c>
      <c r="AK230" s="131">
        <f>IF(NFI_Expiration=1,IF($A230&lt;VLOOKUP(V$5,NFI,5,0),1,0)*Data_NFI_t[[#This Row],[Sewing Kit]],0)</f>
        <v>0</v>
      </c>
      <c r="AL230" s="901">
        <f>IF(NFI_Expiration=1,IF($A230&lt;VLOOKUP(V$5,NFI,5,0),1,0)*Data_NFI_t[[#This Row],[Solar Lantern]],0)</f>
        <v>0</v>
      </c>
      <c r="AM230" s="131" t="str">
        <f ca="1">IFERROR(OFFSET(Camp_List[P_Code],MATCH(Data_NFI_t[[#This Row],[Camp Name]],Camp_List[Camp Name],0)-1,0,1,1),"")</f>
        <v>MMR012CMP051</v>
      </c>
      <c r="AN230" s="513" t="str">
        <f ca="1">IFERROR(OFFSET(Camp_List[Status],MATCH(Data_NFI_t[[#This Row],[Camp Name]],Camp_List[Camp Name],0)-1,0,1,1),"")</f>
        <v>Close</v>
      </c>
      <c r="AO230" s="131"/>
    </row>
    <row r="231" spans="1:41" s="90" customFormat="1" ht="19.5" customHeight="1" x14ac:dyDescent="0.25">
      <c r="A231" s="242">
        <f t="shared" si="5"/>
        <v>47.8</v>
      </c>
      <c r="B231" s="242">
        <f>YEAR(Data_NFI_t[[#This Row],[Distribution Date]])</f>
        <v>2013</v>
      </c>
      <c r="C231" s="913">
        <v>41422</v>
      </c>
      <c r="D231" s="489" t="s">
        <v>285</v>
      </c>
      <c r="E231" s="488" t="s">
        <v>285</v>
      </c>
      <c r="F231" s="489" t="s">
        <v>7</v>
      </c>
      <c r="G231" s="790" t="s">
        <v>19</v>
      </c>
      <c r="H231" s="790" t="s">
        <v>76</v>
      </c>
      <c r="I231" s="790"/>
      <c r="J231" s="51"/>
      <c r="K231" s="51"/>
      <c r="L231" s="51"/>
      <c r="M231" s="51">
        <v>358</v>
      </c>
      <c r="N231" s="51"/>
      <c r="O231" s="51"/>
      <c r="P231" s="51"/>
      <c r="Q231" s="51"/>
      <c r="R231" s="511"/>
      <c r="S231" s="51"/>
      <c r="T231" s="51"/>
      <c r="U231" s="51"/>
      <c r="V231" s="51"/>
      <c r="W231" s="51"/>
      <c r="X231" s="131">
        <f>IF(NFI_Expiration=1,IF($A231&lt;VLOOKUP(I$5,NFI,5,0),1,0)*Data_NFI_t[[#This Row],[Hygiene Kit]],0)</f>
        <v>0</v>
      </c>
      <c r="Y231" s="131">
        <f>IF(NFI_Expiration=1,IF($A231&lt;VLOOKUP(J$5,NFI,5,0),1,0)*Data_NFI_t[[#This Row],[NFI Core Kit]],0)</f>
        <v>0</v>
      </c>
      <c r="Z231" s="112">
        <f>IF(NFI_Expiration=1,IF($A231&lt;VLOOKUP(K$5,NFI,5,0),1,0)*Data_NFI_t[[#This Row],[Sanitary Kit]],0)</f>
        <v>0</v>
      </c>
      <c r="AA231" s="112">
        <f>IF(NFI_Expiration=1,IF($A231&lt;VLOOKUP(L$5,NFI,5,0),1,0)*Data_NFI_t[[#This Row],[Mosquito net]],0)</f>
        <v>0</v>
      </c>
      <c r="AB231" s="112">
        <f>IF(NFI_Expiration=1,IF($A231&lt;VLOOKUP(M$5,NFI,5,0),1,0)*Data_NFI_t[[#This Row],[Tarpaulin]],0)</f>
        <v>0</v>
      </c>
      <c r="AC231" s="112">
        <f>IF(NFI_Expiration=1,IF($A231&lt;VLOOKUP(N$5,NFI,5,0),1,0)*Data_NFI_t[[#This Row],[Blanket]],0)</f>
        <v>0</v>
      </c>
      <c r="AD231" s="112">
        <f>IF(NFI_Expiration=1,IF($A231&lt;VLOOKUP(O$5,NFI,5,0),1,0)*Data_NFI_t[[#This Row],[Kitchen Set]],0)</f>
        <v>0</v>
      </c>
      <c r="AE231" s="112">
        <f>IF(NFI_Expiration=1,IF($A231&lt;VLOOKUP(P$5,NFI,5,0),1,0)*Data_NFI_t[[#This Row],[Complementary Kit]],0)</f>
        <v>0</v>
      </c>
      <c r="AF231" s="112">
        <f>IF(NFI_Expiration=1,IF($A231&lt;VLOOKUP(Q$5,NFI,5,0),1,0)*Data_NFI_t[[#This Row],[Plastic Bucket]],0)</f>
        <v>0</v>
      </c>
      <c r="AG231" s="112">
        <f>IF(NFI_Expiration=1,IF($A231&lt;VLOOKUP(R$5,NFI,5,0),1,0)*Data_NFI_t[[#This Row],[Jerry Can]],0)</f>
        <v>0</v>
      </c>
      <c r="AH231" s="131">
        <f>IF(NFI_Expiration=1,IF($A231&lt;VLOOKUP(S$5,NFI,5,0),1,0)*Data_NFI_t[[#This Row],[Plastic Mat]],0)*IF(Data_NFI_t[[#This Row],[Distribution Date]]&gt;"01-06-2015",1,2.5)</f>
        <v>0</v>
      </c>
      <c r="AI231" s="901">
        <f>IF(NFI_Expiration=1,IF($A231&lt;VLOOKUP(T$5,NFI,5,0),1,0)*Data_NFI_t[[#This Row],[Adult Clothes]],0)</f>
        <v>0</v>
      </c>
      <c r="AJ231" s="131">
        <f>IF(NFI_Expiration=1,IF($A231&lt;VLOOKUP(U$5,NFI,5,0),1,0)*Data_NFI_t[[#This Row],[Children Clothes]],0)</f>
        <v>0</v>
      </c>
      <c r="AK231" s="131">
        <f>IF(NFI_Expiration=1,IF($A231&lt;VLOOKUP(V$5,NFI,5,0),1,0)*Data_NFI_t[[#This Row],[Sewing Kit]],0)</f>
        <v>0</v>
      </c>
      <c r="AL231" s="901">
        <f>IF(NFI_Expiration=1,IF($A231&lt;VLOOKUP(V$5,NFI,5,0),1,0)*Data_NFI_t[[#This Row],[Solar Lantern]],0)</f>
        <v>0</v>
      </c>
      <c r="AM231" s="131" t="str">
        <f ca="1">IFERROR(OFFSET(Camp_List[P_Code],MATCH(Data_NFI_t[[#This Row],[Camp Name]],Camp_List[Camp Name],0)-1,0,1,1),"")</f>
        <v>MMR012CMP054</v>
      </c>
      <c r="AN231" s="513" t="str">
        <f ca="1">IFERROR(OFFSET(Camp_List[Status],MATCH(Data_NFI_t[[#This Row],[Camp Name]],Camp_List[Camp Name],0)-1,0,1,1),"")</f>
        <v>Close</v>
      </c>
      <c r="AO231" s="131"/>
    </row>
    <row r="232" spans="1:41" s="90" customFormat="1" ht="19.5" customHeight="1" x14ac:dyDescent="0.25">
      <c r="A232" s="242">
        <f t="shared" si="5"/>
        <v>47.833333333333336</v>
      </c>
      <c r="B232" s="242">
        <f>YEAR(Data_NFI_t[[#This Row],[Distribution Date]])</f>
        <v>2013</v>
      </c>
      <c r="C232" s="913">
        <v>41421</v>
      </c>
      <c r="D232" s="489" t="s">
        <v>285</v>
      </c>
      <c r="E232" s="488" t="s">
        <v>285</v>
      </c>
      <c r="F232" s="489" t="s">
        <v>7</v>
      </c>
      <c r="G232" s="790" t="s">
        <v>19</v>
      </c>
      <c r="H232" s="790" t="s">
        <v>71</v>
      </c>
      <c r="I232" s="790"/>
      <c r="J232" s="51"/>
      <c r="K232" s="51"/>
      <c r="L232" s="51"/>
      <c r="M232" s="51">
        <v>246</v>
      </c>
      <c r="N232" s="51"/>
      <c r="O232" s="51"/>
      <c r="P232" s="51"/>
      <c r="Q232" s="51"/>
      <c r="R232" s="511"/>
      <c r="S232" s="51"/>
      <c r="T232" s="51"/>
      <c r="U232" s="51"/>
      <c r="V232" s="51"/>
      <c r="W232" s="51"/>
      <c r="X232" s="131">
        <f>IF(NFI_Expiration=1,IF($A232&lt;VLOOKUP(I$5,NFI,5,0),1,0)*Data_NFI_t[[#This Row],[Hygiene Kit]],0)</f>
        <v>0</v>
      </c>
      <c r="Y232" s="131">
        <f>IF(NFI_Expiration=1,IF($A232&lt;VLOOKUP(J$5,NFI,5,0),1,0)*Data_NFI_t[[#This Row],[NFI Core Kit]],0)</f>
        <v>0</v>
      </c>
      <c r="Z232" s="112">
        <f>IF(NFI_Expiration=1,IF($A232&lt;VLOOKUP(K$5,NFI,5,0),1,0)*Data_NFI_t[[#This Row],[Sanitary Kit]],0)</f>
        <v>0</v>
      </c>
      <c r="AA232" s="112">
        <f>IF(NFI_Expiration=1,IF($A232&lt;VLOOKUP(L$5,NFI,5,0),1,0)*Data_NFI_t[[#This Row],[Mosquito net]],0)</f>
        <v>0</v>
      </c>
      <c r="AB232" s="112">
        <f>IF(NFI_Expiration=1,IF($A232&lt;VLOOKUP(M$5,NFI,5,0),1,0)*Data_NFI_t[[#This Row],[Tarpaulin]],0)</f>
        <v>0</v>
      </c>
      <c r="AC232" s="112">
        <f>IF(NFI_Expiration=1,IF($A232&lt;VLOOKUP(N$5,NFI,5,0),1,0)*Data_NFI_t[[#This Row],[Blanket]],0)</f>
        <v>0</v>
      </c>
      <c r="AD232" s="112">
        <f>IF(NFI_Expiration=1,IF($A232&lt;VLOOKUP(O$5,NFI,5,0),1,0)*Data_NFI_t[[#This Row],[Kitchen Set]],0)</f>
        <v>0</v>
      </c>
      <c r="AE232" s="112">
        <f>IF(NFI_Expiration=1,IF($A232&lt;VLOOKUP(P$5,NFI,5,0),1,0)*Data_NFI_t[[#This Row],[Complementary Kit]],0)</f>
        <v>0</v>
      </c>
      <c r="AF232" s="112">
        <f>IF(NFI_Expiration=1,IF($A232&lt;VLOOKUP(Q$5,NFI,5,0),1,0)*Data_NFI_t[[#This Row],[Plastic Bucket]],0)</f>
        <v>0</v>
      </c>
      <c r="AG232" s="112">
        <f>IF(NFI_Expiration=1,IF($A232&lt;VLOOKUP(R$5,NFI,5,0),1,0)*Data_NFI_t[[#This Row],[Jerry Can]],0)</f>
        <v>0</v>
      </c>
      <c r="AH232" s="131">
        <f>IF(NFI_Expiration=1,IF($A232&lt;VLOOKUP(S$5,NFI,5,0),1,0)*Data_NFI_t[[#This Row],[Plastic Mat]],0)*IF(Data_NFI_t[[#This Row],[Distribution Date]]&gt;"01-06-2015",1,2.5)</f>
        <v>0</v>
      </c>
      <c r="AI232" s="901">
        <f>IF(NFI_Expiration=1,IF($A232&lt;VLOOKUP(T$5,NFI,5,0),1,0)*Data_NFI_t[[#This Row],[Adult Clothes]],0)</f>
        <v>0</v>
      </c>
      <c r="AJ232" s="131">
        <f>IF(NFI_Expiration=1,IF($A232&lt;VLOOKUP(U$5,NFI,5,0),1,0)*Data_NFI_t[[#This Row],[Children Clothes]],0)</f>
        <v>0</v>
      </c>
      <c r="AK232" s="131">
        <f>IF(NFI_Expiration=1,IF($A232&lt;VLOOKUP(V$5,NFI,5,0),1,0)*Data_NFI_t[[#This Row],[Sewing Kit]],0)</f>
        <v>0</v>
      </c>
      <c r="AL232" s="901">
        <f>IF(NFI_Expiration=1,IF($A232&lt;VLOOKUP(V$5,NFI,5,0),1,0)*Data_NFI_t[[#This Row],[Solar Lantern]],0)</f>
        <v>0</v>
      </c>
      <c r="AM232" s="131" t="str">
        <f ca="1">IFERROR(OFFSET(Camp_List[P_Code],MATCH(Data_NFI_t[[#This Row],[Camp Name]],Camp_List[Camp Name],0)-1,0,1,1),"")</f>
        <v>MMR012CMP049</v>
      </c>
      <c r="AN232" s="513" t="str">
        <f ca="1">IFERROR(OFFSET(Camp_List[Status],MATCH(Data_NFI_t[[#This Row],[Camp Name]],Camp_List[Camp Name],0)-1,0,1,1),"")</f>
        <v>Close</v>
      </c>
      <c r="AO232" s="131"/>
    </row>
    <row r="233" spans="1:41" s="90" customFormat="1" ht="19.5" customHeight="1" x14ac:dyDescent="0.25">
      <c r="A233" s="242">
        <f t="shared" si="5"/>
        <v>47.833333333333336</v>
      </c>
      <c r="B233" s="242">
        <f>YEAR(Data_NFI_t[[#This Row],[Distribution Date]])</f>
        <v>2013</v>
      </c>
      <c r="C233" s="913">
        <v>41421</v>
      </c>
      <c r="D233" s="489" t="s">
        <v>285</v>
      </c>
      <c r="E233" s="488"/>
      <c r="F233" s="489" t="s">
        <v>7</v>
      </c>
      <c r="G233" s="790" t="s">
        <v>19</v>
      </c>
      <c r="H233" s="790" t="s">
        <v>64</v>
      </c>
      <c r="I233" s="790"/>
      <c r="J233" s="51"/>
      <c r="K233" s="51"/>
      <c r="L233" s="51"/>
      <c r="M233" s="51">
        <v>86</v>
      </c>
      <c r="N233" s="51"/>
      <c r="O233" s="51"/>
      <c r="P233" s="51"/>
      <c r="Q233" s="51"/>
      <c r="R233" s="511"/>
      <c r="S233" s="51"/>
      <c r="T233" s="51"/>
      <c r="U233" s="51"/>
      <c r="V233" s="51"/>
      <c r="W233" s="51"/>
      <c r="X233" s="131">
        <f>IF(NFI_Expiration=1,IF($A233&lt;VLOOKUP(I$5,NFI,5,0),1,0)*Data_NFI_t[[#This Row],[Hygiene Kit]],0)</f>
        <v>0</v>
      </c>
      <c r="Y233" s="131">
        <f>IF(NFI_Expiration=1,IF($A233&lt;VLOOKUP(J$5,NFI,5,0),1,0)*Data_NFI_t[[#This Row],[NFI Core Kit]],0)</f>
        <v>0</v>
      </c>
      <c r="Z233" s="112">
        <f>IF(NFI_Expiration=1,IF($A233&lt;VLOOKUP(K$5,NFI,5,0),1,0)*Data_NFI_t[[#This Row],[Sanitary Kit]],0)</f>
        <v>0</v>
      </c>
      <c r="AA233" s="112">
        <f>IF(NFI_Expiration=1,IF($A233&lt;VLOOKUP(L$5,NFI,5,0),1,0)*Data_NFI_t[[#This Row],[Mosquito net]],0)</f>
        <v>0</v>
      </c>
      <c r="AB233" s="112">
        <f>IF(NFI_Expiration=1,IF($A233&lt;VLOOKUP(M$5,NFI,5,0),1,0)*Data_NFI_t[[#This Row],[Tarpaulin]],0)</f>
        <v>0</v>
      </c>
      <c r="AC233" s="112">
        <f>IF(NFI_Expiration=1,IF($A233&lt;VLOOKUP(N$5,NFI,5,0),1,0)*Data_NFI_t[[#This Row],[Blanket]],0)</f>
        <v>0</v>
      </c>
      <c r="AD233" s="112">
        <f>IF(NFI_Expiration=1,IF($A233&lt;VLOOKUP(O$5,NFI,5,0),1,0)*Data_NFI_t[[#This Row],[Kitchen Set]],0)</f>
        <v>0</v>
      </c>
      <c r="AE233" s="112">
        <f>IF(NFI_Expiration=1,IF($A233&lt;VLOOKUP(P$5,NFI,5,0),1,0)*Data_NFI_t[[#This Row],[Complementary Kit]],0)</f>
        <v>0</v>
      </c>
      <c r="AF233" s="112">
        <f>IF(NFI_Expiration=1,IF($A233&lt;VLOOKUP(Q$5,NFI,5,0),1,0)*Data_NFI_t[[#This Row],[Plastic Bucket]],0)</f>
        <v>0</v>
      </c>
      <c r="AG233" s="112">
        <f>IF(NFI_Expiration=1,IF($A233&lt;VLOOKUP(R$5,NFI,5,0),1,0)*Data_NFI_t[[#This Row],[Jerry Can]],0)</f>
        <v>0</v>
      </c>
      <c r="AH233" s="131">
        <f>IF(NFI_Expiration=1,IF($A233&lt;VLOOKUP(S$5,NFI,5,0),1,0)*Data_NFI_t[[#This Row],[Plastic Mat]],0)*IF(Data_NFI_t[[#This Row],[Distribution Date]]&gt;"01-06-2015",1,2.5)</f>
        <v>0</v>
      </c>
      <c r="AI233" s="901">
        <f>IF(NFI_Expiration=1,IF($A233&lt;VLOOKUP(T$5,NFI,5,0),1,0)*Data_NFI_t[[#This Row],[Adult Clothes]],0)</f>
        <v>0</v>
      </c>
      <c r="AJ233" s="131">
        <f>IF(NFI_Expiration=1,IF($A233&lt;VLOOKUP(U$5,NFI,5,0),1,0)*Data_NFI_t[[#This Row],[Children Clothes]],0)</f>
        <v>0</v>
      </c>
      <c r="AK233" s="131">
        <f>IF(NFI_Expiration=1,IF($A233&lt;VLOOKUP(V$5,NFI,5,0),1,0)*Data_NFI_t[[#This Row],[Sewing Kit]],0)</f>
        <v>0</v>
      </c>
      <c r="AL233" s="901">
        <f>IF(NFI_Expiration=1,IF($A233&lt;VLOOKUP(V$5,NFI,5,0),1,0)*Data_NFI_t[[#This Row],[Solar Lantern]],0)</f>
        <v>0</v>
      </c>
      <c r="AM233" s="131" t="str">
        <f ca="1">IFERROR(OFFSET(Camp_List[P_Code],MATCH(Data_NFI_t[[#This Row],[Camp Name]],Camp_List[Camp Name],0)-1,0,1,1),"")</f>
        <v>MMR012CMP042</v>
      </c>
      <c r="AN233" s="513" t="str">
        <f ca="1">IFERROR(OFFSET(Camp_List[Status],MATCH(Data_NFI_t[[#This Row],[Camp Name]],Camp_List[Camp Name],0)-1,0,1,1),"")</f>
        <v>Open</v>
      </c>
      <c r="AO233" s="131"/>
    </row>
    <row r="234" spans="1:41" s="90" customFormat="1" ht="19.5" customHeight="1" x14ac:dyDescent="0.25">
      <c r="A234" s="242">
        <f t="shared" si="5"/>
        <v>47.966666666666669</v>
      </c>
      <c r="B234" s="242">
        <f>YEAR(Data_NFI_t[[#This Row],[Distribution Date]])</f>
        <v>2013</v>
      </c>
      <c r="C234" s="913">
        <v>41417</v>
      </c>
      <c r="D234" s="489" t="s">
        <v>515</v>
      </c>
      <c r="E234" s="488" t="s">
        <v>515</v>
      </c>
      <c r="F234" s="489" t="s">
        <v>7</v>
      </c>
      <c r="G234" s="790" t="s">
        <v>19</v>
      </c>
      <c r="H234" s="790" t="s">
        <v>70</v>
      </c>
      <c r="I234" s="790">
        <v>4795</v>
      </c>
      <c r="J234" s="51"/>
      <c r="K234" s="51"/>
      <c r="L234" s="51"/>
      <c r="M234" s="51"/>
      <c r="N234" s="51"/>
      <c r="O234" s="51"/>
      <c r="P234" s="51"/>
      <c r="Q234" s="51"/>
      <c r="R234" s="511"/>
      <c r="S234" s="51"/>
      <c r="T234" s="51"/>
      <c r="U234" s="51"/>
      <c r="V234" s="51"/>
      <c r="W234" s="51"/>
      <c r="X234" s="131">
        <f>IF(NFI_Expiration=1,IF($A234&lt;VLOOKUP(I$5,NFI,5,0),1,0)*Data_NFI_t[[#This Row],[Hygiene Kit]],0)</f>
        <v>0</v>
      </c>
      <c r="Y234" s="131">
        <f>IF(NFI_Expiration=1,IF($A234&lt;VLOOKUP(J$5,NFI,5,0),1,0)*Data_NFI_t[[#This Row],[NFI Core Kit]],0)</f>
        <v>0</v>
      </c>
      <c r="Z234" s="112">
        <f>IF(NFI_Expiration=1,IF($A234&lt;VLOOKUP(K$5,NFI,5,0),1,0)*Data_NFI_t[[#This Row],[Sanitary Kit]],0)</f>
        <v>0</v>
      </c>
      <c r="AA234" s="112">
        <f>IF(NFI_Expiration=1,IF($A234&lt;VLOOKUP(L$5,NFI,5,0),1,0)*Data_NFI_t[[#This Row],[Mosquito net]],0)</f>
        <v>0</v>
      </c>
      <c r="AB234" s="112">
        <f>IF(NFI_Expiration=1,IF($A234&lt;VLOOKUP(M$5,NFI,5,0),1,0)*Data_NFI_t[[#This Row],[Tarpaulin]],0)</f>
        <v>0</v>
      </c>
      <c r="AC234" s="112">
        <f>IF(NFI_Expiration=1,IF($A234&lt;VLOOKUP(N$5,NFI,5,0),1,0)*Data_NFI_t[[#This Row],[Blanket]],0)</f>
        <v>0</v>
      </c>
      <c r="AD234" s="112">
        <f>IF(NFI_Expiration=1,IF($A234&lt;VLOOKUP(O$5,NFI,5,0),1,0)*Data_NFI_t[[#This Row],[Kitchen Set]],0)</f>
        <v>0</v>
      </c>
      <c r="AE234" s="112">
        <f>IF(NFI_Expiration=1,IF($A234&lt;VLOOKUP(P$5,NFI,5,0),1,0)*Data_NFI_t[[#This Row],[Complementary Kit]],0)</f>
        <v>0</v>
      </c>
      <c r="AF234" s="112">
        <f>IF(NFI_Expiration=1,IF($A234&lt;VLOOKUP(Q$5,NFI,5,0),1,0)*Data_NFI_t[[#This Row],[Plastic Bucket]],0)</f>
        <v>0</v>
      </c>
      <c r="AG234" s="112">
        <f>IF(NFI_Expiration=1,IF($A234&lt;VLOOKUP(R$5,NFI,5,0),1,0)*Data_NFI_t[[#This Row],[Jerry Can]],0)</f>
        <v>0</v>
      </c>
      <c r="AH234" s="131">
        <f>IF(NFI_Expiration=1,IF($A234&lt;VLOOKUP(S$5,NFI,5,0),1,0)*Data_NFI_t[[#This Row],[Plastic Mat]],0)*IF(Data_NFI_t[[#This Row],[Distribution Date]]&gt;"01-06-2015",1,2.5)</f>
        <v>0</v>
      </c>
      <c r="AI234" s="901">
        <f>IF(NFI_Expiration=1,IF($A234&lt;VLOOKUP(T$5,NFI,5,0),1,0)*Data_NFI_t[[#This Row],[Adult Clothes]],0)</f>
        <v>0</v>
      </c>
      <c r="AJ234" s="131">
        <f>IF(NFI_Expiration=1,IF($A234&lt;VLOOKUP(U$5,NFI,5,0),1,0)*Data_NFI_t[[#This Row],[Children Clothes]],0)</f>
        <v>0</v>
      </c>
      <c r="AK234" s="131">
        <f>IF(NFI_Expiration=1,IF($A234&lt;VLOOKUP(V$5,NFI,5,0),1,0)*Data_NFI_t[[#This Row],[Sewing Kit]],0)</f>
        <v>0</v>
      </c>
      <c r="AL234" s="901">
        <f>IF(NFI_Expiration=1,IF($A234&lt;VLOOKUP(V$5,NFI,5,0),1,0)*Data_NFI_t[[#This Row],[Solar Lantern]],0)</f>
        <v>0</v>
      </c>
      <c r="AM234" s="131" t="str">
        <f ca="1">IFERROR(OFFSET(Camp_List[P_Code],MATCH(Data_NFI_t[[#This Row],[Camp Name]],Camp_List[Camp Name],0)-1,0,1,1),"")</f>
        <v>MMR012CMP048</v>
      </c>
      <c r="AN234" s="513" t="str">
        <f ca="1">IFERROR(OFFSET(Camp_List[Status],MATCH(Data_NFI_t[[#This Row],[Camp Name]],Camp_List[Camp Name],0)-1,0,1,1),"")</f>
        <v>Open</v>
      </c>
      <c r="AO234" s="131"/>
    </row>
    <row r="235" spans="1:41" s="90" customFormat="1" ht="19.5" customHeight="1" x14ac:dyDescent="0.25">
      <c r="A235" s="242">
        <f t="shared" si="5"/>
        <v>48</v>
      </c>
      <c r="B235" s="242">
        <f>YEAR(Data_NFI_t[[#This Row],[Distribution Date]])</f>
        <v>2013</v>
      </c>
      <c r="C235" s="913">
        <v>41416</v>
      </c>
      <c r="D235" s="489" t="s">
        <v>515</v>
      </c>
      <c r="E235" s="488" t="s">
        <v>515</v>
      </c>
      <c r="F235" s="489" t="s">
        <v>7</v>
      </c>
      <c r="G235" s="790" t="s">
        <v>14</v>
      </c>
      <c r="H235" s="790" t="s">
        <v>42</v>
      </c>
      <c r="I235" s="790">
        <v>903</v>
      </c>
      <c r="J235" s="51"/>
      <c r="K235" s="51"/>
      <c r="L235" s="51"/>
      <c r="M235" s="51"/>
      <c r="N235" s="51"/>
      <c r="O235" s="51"/>
      <c r="P235" s="51"/>
      <c r="Q235" s="51"/>
      <c r="R235" s="511"/>
      <c r="S235" s="51"/>
      <c r="T235" s="51"/>
      <c r="U235" s="51"/>
      <c r="V235" s="51"/>
      <c r="W235" s="51"/>
      <c r="X235" s="131">
        <f>IF(NFI_Expiration=1,IF($A235&lt;VLOOKUP(I$5,NFI,5,0),1,0)*Data_NFI_t[[#This Row],[Hygiene Kit]],0)</f>
        <v>0</v>
      </c>
      <c r="Y235" s="131">
        <f>IF(NFI_Expiration=1,IF($A235&lt;VLOOKUP(J$5,NFI,5,0),1,0)*Data_NFI_t[[#This Row],[NFI Core Kit]],0)</f>
        <v>0</v>
      </c>
      <c r="Z235" s="112">
        <f>IF(NFI_Expiration=1,IF($A235&lt;VLOOKUP(K$5,NFI,5,0),1,0)*Data_NFI_t[[#This Row],[Sanitary Kit]],0)</f>
        <v>0</v>
      </c>
      <c r="AA235" s="112">
        <f>IF(NFI_Expiration=1,IF($A235&lt;VLOOKUP(L$5,NFI,5,0),1,0)*Data_NFI_t[[#This Row],[Mosquito net]],0)</f>
        <v>0</v>
      </c>
      <c r="AB235" s="112">
        <f>IF(NFI_Expiration=1,IF($A235&lt;VLOOKUP(M$5,NFI,5,0),1,0)*Data_NFI_t[[#This Row],[Tarpaulin]],0)</f>
        <v>0</v>
      </c>
      <c r="AC235" s="112">
        <f>IF(NFI_Expiration=1,IF($A235&lt;VLOOKUP(N$5,NFI,5,0),1,0)*Data_NFI_t[[#This Row],[Blanket]],0)</f>
        <v>0</v>
      </c>
      <c r="AD235" s="112">
        <f>IF(NFI_Expiration=1,IF($A235&lt;VLOOKUP(O$5,NFI,5,0),1,0)*Data_NFI_t[[#This Row],[Kitchen Set]],0)</f>
        <v>0</v>
      </c>
      <c r="AE235" s="112">
        <f>IF(NFI_Expiration=1,IF($A235&lt;VLOOKUP(P$5,NFI,5,0),1,0)*Data_NFI_t[[#This Row],[Complementary Kit]],0)</f>
        <v>0</v>
      </c>
      <c r="AF235" s="112">
        <f>IF(NFI_Expiration=1,IF($A235&lt;VLOOKUP(Q$5,NFI,5,0),1,0)*Data_NFI_t[[#This Row],[Plastic Bucket]],0)</f>
        <v>0</v>
      </c>
      <c r="AG235" s="112">
        <f>IF(NFI_Expiration=1,IF($A235&lt;VLOOKUP(R$5,NFI,5,0),1,0)*Data_NFI_t[[#This Row],[Jerry Can]],0)</f>
        <v>0</v>
      </c>
      <c r="AH235" s="131">
        <f>IF(NFI_Expiration=1,IF($A235&lt;VLOOKUP(S$5,NFI,5,0),1,0)*Data_NFI_t[[#This Row],[Plastic Mat]],0)*IF(Data_NFI_t[[#This Row],[Distribution Date]]&gt;"01-06-2015",1,2.5)</f>
        <v>0</v>
      </c>
      <c r="AI235" s="901">
        <f>IF(NFI_Expiration=1,IF($A235&lt;VLOOKUP(T$5,NFI,5,0),1,0)*Data_NFI_t[[#This Row],[Adult Clothes]],0)</f>
        <v>0</v>
      </c>
      <c r="AJ235" s="131">
        <f>IF(NFI_Expiration=1,IF($A235&lt;VLOOKUP(U$5,NFI,5,0),1,0)*Data_NFI_t[[#This Row],[Children Clothes]],0)</f>
        <v>0</v>
      </c>
      <c r="AK235" s="131">
        <f>IF(NFI_Expiration=1,IF($A235&lt;VLOOKUP(V$5,NFI,5,0),1,0)*Data_NFI_t[[#This Row],[Sewing Kit]],0)</f>
        <v>0</v>
      </c>
      <c r="AL235" s="901">
        <f>IF(NFI_Expiration=1,IF($A235&lt;VLOOKUP(V$5,NFI,5,0),1,0)*Data_NFI_t[[#This Row],[Solar Lantern]],0)</f>
        <v>0</v>
      </c>
      <c r="AM235" s="131" t="str">
        <f ca="1">IFERROR(OFFSET(Camp_List[P_Code],MATCH(Data_NFI_t[[#This Row],[Camp Name]],Camp_List[Camp Name],0)-1,0,1,1),"")</f>
        <v>MMR012CMP018</v>
      </c>
      <c r="AN235" s="513" t="str">
        <f ca="1">IFERROR(OFFSET(Camp_List[Status],MATCH(Data_NFI_t[[#This Row],[Camp Name]],Camp_List[Camp Name],0)-1,0,1,1),"")</f>
        <v>Open</v>
      </c>
      <c r="AO235" s="131"/>
    </row>
    <row r="236" spans="1:41" s="90" customFormat="1" ht="19.5" customHeight="1" x14ac:dyDescent="0.25">
      <c r="A236" s="242">
        <f t="shared" si="5"/>
        <v>48.733333333333334</v>
      </c>
      <c r="B236" s="242">
        <f>YEAR(Data_NFI_t[[#This Row],[Distribution Date]])</f>
        <v>2013</v>
      </c>
      <c r="C236" s="913">
        <v>41394</v>
      </c>
      <c r="D236" s="489" t="s">
        <v>285</v>
      </c>
      <c r="E236" s="488"/>
      <c r="F236" s="489" t="s">
        <v>7</v>
      </c>
      <c r="G236" s="790" t="s">
        <v>14</v>
      </c>
      <c r="H236" s="790"/>
      <c r="I236" s="790"/>
      <c r="J236" s="51"/>
      <c r="K236" s="51"/>
      <c r="L236" s="51"/>
      <c r="M236" s="51"/>
      <c r="N236" s="51">
        <v>1</v>
      </c>
      <c r="O236" s="51"/>
      <c r="P236" s="51"/>
      <c r="Q236" s="51"/>
      <c r="R236" s="511"/>
      <c r="S236" s="51"/>
      <c r="T236" s="51"/>
      <c r="U236" s="51"/>
      <c r="V236" s="51"/>
      <c r="W236" s="51"/>
      <c r="X236" s="131">
        <f>IF(NFI_Expiration=1,IF($A236&lt;VLOOKUP(I$5,NFI,5,0),1,0)*Data_NFI_t[[#This Row],[Hygiene Kit]],0)</f>
        <v>0</v>
      </c>
      <c r="Y236" s="131">
        <f>IF(NFI_Expiration=1,IF($A236&lt;VLOOKUP(J$5,NFI,5,0),1,0)*Data_NFI_t[[#This Row],[NFI Core Kit]],0)</f>
        <v>0</v>
      </c>
      <c r="Z236" s="112">
        <f>IF(NFI_Expiration=1,IF($A236&lt;VLOOKUP(K$5,NFI,5,0),1,0)*Data_NFI_t[[#This Row],[Sanitary Kit]],0)</f>
        <v>0</v>
      </c>
      <c r="AA236" s="112">
        <f>IF(NFI_Expiration=1,IF($A236&lt;VLOOKUP(L$5,NFI,5,0),1,0)*Data_NFI_t[[#This Row],[Mosquito net]],0)</f>
        <v>0</v>
      </c>
      <c r="AB236" s="112">
        <f>IF(NFI_Expiration=1,IF($A236&lt;VLOOKUP(M$5,NFI,5,0),1,0)*Data_NFI_t[[#This Row],[Tarpaulin]],0)</f>
        <v>0</v>
      </c>
      <c r="AC236" s="112">
        <f>IF(NFI_Expiration=1,IF($A236&lt;VLOOKUP(N$5,NFI,5,0),1,0)*Data_NFI_t[[#This Row],[Blanket]],0)</f>
        <v>0</v>
      </c>
      <c r="AD236" s="112">
        <f>IF(NFI_Expiration=1,IF($A236&lt;VLOOKUP(O$5,NFI,5,0),1,0)*Data_NFI_t[[#This Row],[Kitchen Set]],0)</f>
        <v>0</v>
      </c>
      <c r="AE236" s="112">
        <f>IF(NFI_Expiration=1,IF($A236&lt;VLOOKUP(P$5,NFI,5,0),1,0)*Data_NFI_t[[#This Row],[Complementary Kit]],0)</f>
        <v>0</v>
      </c>
      <c r="AF236" s="112">
        <f>IF(NFI_Expiration=1,IF($A236&lt;VLOOKUP(Q$5,NFI,5,0),1,0)*Data_NFI_t[[#This Row],[Plastic Bucket]],0)</f>
        <v>0</v>
      </c>
      <c r="AG236" s="112">
        <f>IF(NFI_Expiration=1,IF($A236&lt;VLOOKUP(R$5,NFI,5,0),1,0)*Data_NFI_t[[#This Row],[Jerry Can]],0)</f>
        <v>0</v>
      </c>
      <c r="AH236" s="131">
        <f>IF(NFI_Expiration=1,IF($A236&lt;VLOOKUP(S$5,NFI,5,0),1,0)*Data_NFI_t[[#This Row],[Plastic Mat]],0)*IF(Data_NFI_t[[#This Row],[Distribution Date]]&gt;"01-06-2015",1,2.5)</f>
        <v>0</v>
      </c>
      <c r="AI236" s="901">
        <f>IF(NFI_Expiration=1,IF($A236&lt;VLOOKUP(T$5,NFI,5,0),1,0)*Data_NFI_t[[#This Row],[Adult Clothes]],0)</f>
        <v>0</v>
      </c>
      <c r="AJ236" s="131">
        <f>IF(NFI_Expiration=1,IF($A236&lt;VLOOKUP(U$5,NFI,5,0),1,0)*Data_NFI_t[[#This Row],[Children Clothes]],0)</f>
        <v>0</v>
      </c>
      <c r="AK236" s="131">
        <f>IF(NFI_Expiration=1,IF($A236&lt;VLOOKUP(V$5,NFI,5,0),1,0)*Data_NFI_t[[#This Row],[Sewing Kit]],0)</f>
        <v>0</v>
      </c>
      <c r="AL236" s="901">
        <f>IF(NFI_Expiration=1,IF($A236&lt;VLOOKUP(V$5,NFI,5,0),1,0)*Data_NFI_t[[#This Row],[Solar Lantern]],0)</f>
        <v>0</v>
      </c>
      <c r="AM236" s="131" t="str">
        <f ca="1">IFERROR(OFFSET(Camp_List[P_Code],MATCH(Data_NFI_t[[#This Row],[Camp Name]],Camp_List[Camp Name],0)-1,0,1,1),"")</f>
        <v/>
      </c>
      <c r="AN236" s="513" t="str">
        <f ca="1">IFERROR(OFFSET(Camp_List[Status],MATCH(Data_NFI_t[[#This Row],[Camp Name]],Camp_List[Camp Name],0)-1,0,1,1),"")</f>
        <v/>
      </c>
      <c r="AO236" s="131"/>
    </row>
    <row r="237" spans="1:41" s="90" customFormat="1" ht="19.5" customHeight="1" x14ac:dyDescent="0.25">
      <c r="A237" s="242">
        <f t="shared" si="5"/>
        <v>48.766666666666666</v>
      </c>
      <c r="B237" s="242">
        <f>YEAR(Data_NFI_t[[#This Row],[Distribution Date]])</f>
        <v>2013</v>
      </c>
      <c r="C237" s="913">
        <v>41393</v>
      </c>
      <c r="D237" s="489" t="s">
        <v>285</v>
      </c>
      <c r="E237" s="488"/>
      <c r="F237" s="489" t="s">
        <v>7</v>
      </c>
      <c r="G237" s="790" t="s">
        <v>16</v>
      </c>
      <c r="H237" s="790" t="s">
        <v>55</v>
      </c>
      <c r="I237" s="790">
        <v>0</v>
      </c>
      <c r="J237" s="51">
        <v>64</v>
      </c>
      <c r="K237" s="51"/>
      <c r="L237" s="51">
        <v>128</v>
      </c>
      <c r="M237" s="51">
        <v>64</v>
      </c>
      <c r="N237" s="51">
        <v>128</v>
      </c>
      <c r="O237" s="51">
        <v>64</v>
      </c>
      <c r="P237" s="51">
        <v>64</v>
      </c>
      <c r="Q237" s="51">
        <v>64</v>
      </c>
      <c r="R237" s="511"/>
      <c r="S237" s="51">
        <v>128</v>
      </c>
      <c r="T237" s="51"/>
      <c r="U237" s="51"/>
      <c r="V237" s="51"/>
      <c r="W237" s="51"/>
      <c r="X237" s="131">
        <f>IF(NFI_Expiration=1,IF($A237&lt;VLOOKUP(I$5,NFI,5,0),1,0)*Data_NFI_t[[#This Row],[Hygiene Kit]],0)</f>
        <v>0</v>
      </c>
      <c r="Y237" s="131">
        <f>IF(NFI_Expiration=1,IF($A237&lt;VLOOKUP(J$5,NFI,5,0),1,0)*Data_NFI_t[[#This Row],[NFI Core Kit]],0)</f>
        <v>0</v>
      </c>
      <c r="Z237" s="112">
        <f>IF(NFI_Expiration=1,IF($A237&lt;VLOOKUP(K$5,NFI,5,0),1,0)*Data_NFI_t[[#This Row],[Sanitary Kit]],0)</f>
        <v>0</v>
      </c>
      <c r="AA237" s="112">
        <f>IF(NFI_Expiration=1,IF($A237&lt;VLOOKUP(L$5,NFI,5,0),1,0)*Data_NFI_t[[#This Row],[Mosquito net]],0)</f>
        <v>0</v>
      </c>
      <c r="AB237" s="112">
        <f>IF(NFI_Expiration=1,IF($A237&lt;VLOOKUP(M$5,NFI,5,0),1,0)*Data_NFI_t[[#This Row],[Tarpaulin]],0)</f>
        <v>0</v>
      </c>
      <c r="AC237" s="112">
        <f>IF(NFI_Expiration=1,IF($A237&lt;VLOOKUP(N$5,NFI,5,0),1,0)*Data_NFI_t[[#This Row],[Blanket]],0)</f>
        <v>0</v>
      </c>
      <c r="AD237" s="112">
        <f>IF(NFI_Expiration=1,IF($A237&lt;VLOOKUP(O$5,NFI,5,0),1,0)*Data_NFI_t[[#This Row],[Kitchen Set]],0)</f>
        <v>0</v>
      </c>
      <c r="AE237" s="112">
        <f>IF(NFI_Expiration=1,IF($A237&lt;VLOOKUP(P$5,NFI,5,0),1,0)*Data_NFI_t[[#This Row],[Complementary Kit]],0)</f>
        <v>0</v>
      </c>
      <c r="AF237" s="112">
        <f>IF(NFI_Expiration=1,IF($A237&lt;VLOOKUP(Q$5,NFI,5,0),1,0)*Data_NFI_t[[#This Row],[Plastic Bucket]],0)</f>
        <v>0</v>
      </c>
      <c r="AG237" s="112">
        <f>IF(NFI_Expiration=1,IF($A237&lt;VLOOKUP(R$5,NFI,5,0),1,0)*Data_NFI_t[[#This Row],[Jerry Can]],0)</f>
        <v>0</v>
      </c>
      <c r="AH237" s="131">
        <f>IF(NFI_Expiration=1,IF($A237&lt;VLOOKUP(S$5,NFI,5,0),1,0)*Data_NFI_t[[#This Row],[Plastic Mat]],0)*IF(Data_NFI_t[[#This Row],[Distribution Date]]&gt;"01-06-2015",1,2.5)</f>
        <v>0</v>
      </c>
      <c r="AI237" s="901">
        <f>IF(NFI_Expiration=1,IF($A237&lt;VLOOKUP(T$5,NFI,5,0),1,0)*Data_NFI_t[[#This Row],[Adult Clothes]],0)</f>
        <v>0</v>
      </c>
      <c r="AJ237" s="131">
        <f>IF(NFI_Expiration=1,IF($A237&lt;VLOOKUP(U$5,NFI,5,0),1,0)*Data_NFI_t[[#This Row],[Children Clothes]],0)</f>
        <v>0</v>
      </c>
      <c r="AK237" s="131">
        <f>IF(NFI_Expiration=1,IF($A237&lt;VLOOKUP(V$5,NFI,5,0),1,0)*Data_NFI_t[[#This Row],[Sewing Kit]],0)</f>
        <v>0</v>
      </c>
      <c r="AL237" s="901">
        <f>IF(NFI_Expiration=1,IF($A237&lt;VLOOKUP(V$5,NFI,5,0),1,0)*Data_NFI_t[[#This Row],[Solar Lantern]],0)</f>
        <v>0</v>
      </c>
      <c r="AM237" s="131" t="str">
        <f ca="1">IFERROR(OFFSET(Camp_List[P_Code],MATCH(Data_NFI_t[[#This Row],[Camp Name]],Camp_List[Camp Name],0)-1,0,1,1),"")</f>
        <v>MMR012CMP031</v>
      </c>
      <c r="AN237" s="513" t="str">
        <f ca="1">IFERROR(OFFSET(Camp_List[Status],MATCH(Data_NFI_t[[#This Row],[Camp Name]],Camp_List[Camp Name],0)-1,0,1,1),"")</f>
        <v>Returned</v>
      </c>
      <c r="AO237" s="131"/>
    </row>
    <row r="238" spans="1:41" s="90" customFormat="1" ht="19.5" customHeight="1" x14ac:dyDescent="0.25">
      <c r="A238" s="242">
        <f t="shared" si="5"/>
        <v>48.766666666666666</v>
      </c>
      <c r="B238" s="242">
        <f>YEAR(Data_NFI_t[[#This Row],[Distribution Date]])</f>
        <v>2013</v>
      </c>
      <c r="C238" s="913">
        <v>41393</v>
      </c>
      <c r="D238" s="489" t="s">
        <v>285</v>
      </c>
      <c r="E238" s="488"/>
      <c r="F238" s="489" t="s">
        <v>7</v>
      </c>
      <c r="G238" s="790" t="s">
        <v>16</v>
      </c>
      <c r="H238" s="790" t="s">
        <v>55</v>
      </c>
      <c r="I238" s="790">
        <v>0</v>
      </c>
      <c r="J238" s="51"/>
      <c r="K238" s="51">
        <v>128</v>
      </c>
      <c r="L238" s="51">
        <v>128</v>
      </c>
      <c r="M238" s="51">
        <v>64</v>
      </c>
      <c r="N238" s="51">
        <v>0</v>
      </c>
      <c r="O238" s="51"/>
      <c r="P238" s="51"/>
      <c r="Q238" s="51"/>
      <c r="R238" s="511"/>
      <c r="S238" s="51"/>
      <c r="T238" s="51"/>
      <c r="U238" s="51"/>
      <c r="V238" s="51"/>
      <c r="W238" s="51"/>
      <c r="X238" s="131">
        <f>IF(NFI_Expiration=1,IF($A238&lt;VLOOKUP(I$5,NFI,5,0),1,0)*Data_NFI_t[[#This Row],[Hygiene Kit]],0)</f>
        <v>0</v>
      </c>
      <c r="Y238" s="131">
        <f>IF(NFI_Expiration=1,IF($A238&lt;VLOOKUP(J$5,NFI,5,0),1,0)*Data_NFI_t[[#This Row],[NFI Core Kit]],0)</f>
        <v>0</v>
      </c>
      <c r="Z238" s="112">
        <f>IF(NFI_Expiration=1,IF($A238&lt;VLOOKUP(K$5,NFI,5,0),1,0)*Data_NFI_t[[#This Row],[Sanitary Kit]],0)</f>
        <v>0</v>
      </c>
      <c r="AA238" s="112">
        <f>IF(NFI_Expiration=1,IF($A238&lt;VLOOKUP(L$5,NFI,5,0),1,0)*Data_NFI_t[[#This Row],[Mosquito net]],0)</f>
        <v>0</v>
      </c>
      <c r="AB238" s="112">
        <f>IF(NFI_Expiration=1,IF($A238&lt;VLOOKUP(M$5,NFI,5,0),1,0)*Data_NFI_t[[#This Row],[Tarpaulin]],0)</f>
        <v>0</v>
      </c>
      <c r="AC238" s="112">
        <f>IF(NFI_Expiration=1,IF($A238&lt;VLOOKUP(N$5,NFI,5,0),1,0)*Data_NFI_t[[#This Row],[Blanket]],0)</f>
        <v>0</v>
      </c>
      <c r="AD238" s="112">
        <f>IF(NFI_Expiration=1,IF($A238&lt;VLOOKUP(O$5,NFI,5,0),1,0)*Data_NFI_t[[#This Row],[Kitchen Set]],0)</f>
        <v>0</v>
      </c>
      <c r="AE238" s="112">
        <f>IF(NFI_Expiration=1,IF($A238&lt;VLOOKUP(P$5,NFI,5,0),1,0)*Data_NFI_t[[#This Row],[Complementary Kit]],0)</f>
        <v>0</v>
      </c>
      <c r="AF238" s="112">
        <f>IF(NFI_Expiration=1,IF($A238&lt;VLOOKUP(Q$5,NFI,5,0),1,0)*Data_NFI_t[[#This Row],[Plastic Bucket]],0)</f>
        <v>0</v>
      </c>
      <c r="AG238" s="112">
        <f>IF(NFI_Expiration=1,IF($A238&lt;VLOOKUP(R$5,NFI,5,0),1,0)*Data_NFI_t[[#This Row],[Jerry Can]],0)</f>
        <v>0</v>
      </c>
      <c r="AH238" s="131">
        <f>IF(NFI_Expiration=1,IF($A238&lt;VLOOKUP(S$5,NFI,5,0),1,0)*Data_NFI_t[[#This Row],[Plastic Mat]],0)*IF(Data_NFI_t[[#This Row],[Distribution Date]]&gt;"01-06-2015",1,2.5)</f>
        <v>0</v>
      </c>
      <c r="AI238" s="901">
        <f>IF(NFI_Expiration=1,IF($A238&lt;VLOOKUP(T$5,NFI,5,0),1,0)*Data_NFI_t[[#This Row],[Adult Clothes]],0)</f>
        <v>0</v>
      </c>
      <c r="AJ238" s="131">
        <f>IF(NFI_Expiration=1,IF($A238&lt;VLOOKUP(U$5,NFI,5,0),1,0)*Data_NFI_t[[#This Row],[Children Clothes]],0)</f>
        <v>0</v>
      </c>
      <c r="AK238" s="131">
        <f>IF(NFI_Expiration=1,IF($A238&lt;VLOOKUP(V$5,NFI,5,0),1,0)*Data_NFI_t[[#This Row],[Sewing Kit]],0)</f>
        <v>0</v>
      </c>
      <c r="AL238" s="901">
        <f>IF(NFI_Expiration=1,IF($A238&lt;VLOOKUP(V$5,NFI,5,0),1,0)*Data_NFI_t[[#This Row],[Solar Lantern]],0)</f>
        <v>0</v>
      </c>
      <c r="AM238" s="131" t="str">
        <f ca="1">IFERROR(OFFSET(Camp_List[P_Code],MATCH(Data_NFI_t[[#This Row],[Camp Name]],Camp_List[Camp Name],0)-1,0,1,1),"")</f>
        <v>MMR012CMP031</v>
      </c>
      <c r="AN238" s="513" t="str">
        <f ca="1">IFERROR(OFFSET(Camp_List[Status],MATCH(Data_NFI_t[[#This Row],[Camp Name]],Camp_List[Camp Name],0)-1,0,1,1),"")</f>
        <v>Returned</v>
      </c>
      <c r="AO238" s="131"/>
    </row>
    <row r="239" spans="1:41" s="90" customFormat="1" ht="19.5" customHeight="1" x14ac:dyDescent="0.25">
      <c r="A239" s="242">
        <f t="shared" si="5"/>
        <v>48.866666666666667</v>
      </c>
      <c r="B239" s="242">
        <f>YEAR(Data_NFI_t[[#This Row],[Distribution Date]])</f>
        <v>2013</v>
      </c>
      <c r="C239" s="913">
        <v>41390</v>
      </c>
      <c r="D239" s="489" t="s">
        <v>515</v>
      </c>
      <c r="E239" s="488" t="s">
        <v>515</v>
      </c>
      <c r="F239" s="489" t="s">
        <v>7</v>
      </c>
      <c r="G239" s="790" t="s">
        <v>14</v>
      </c>
      <c r="H239" s="790" t="s">
        <v>42</v>
      </c>
      <c r="I239" s="790">
        <v>1028</v>
      </c>
      <c r="J239" s="51"/>
      <c r="K239" s="51"/>
      <c r="L239" s="51"/>
      <c r="M239" s="51"/>
      <c r="N239" s="51"/>
      <c r="O239" s="51"/>
      <c r="P239" s="51"/>
      <c r="Q239" s="51"/>
      <c r="R239" s="511"/>
      <c r="S239" s="51"/>
      <c r="T239" s="51"/>
      <c r="U239" s="51"/>
      <c r="V239" s="51"/>
      <c r="W239" s="51"/>
      <c r="X239" s="131">
        <f>IF(NFI_Expiration=1,IF($A239&lt;VLOOKUP(I$5,NFI,5,0),1,0)*Data_NFI_t[[#This Row],[Hygiene Kit]],0)</f>
        <v>0</v>
      </c>
      <c r="Y239" s="131">
        <f>IF(NFI_Expiration=1,IF($A239&lt;VLOOKUP(J$5,NFI,5,0),1,0)*Data_NFI_t[[#This Row],[NFI Core Kit]],0)</f>
        <v>0</v>
      </c>
      <c r="Z239" s="112">
        <f>IF(NFI_Expiration=1,IF($A239&lt;VLOOKUP(K$5,NFI,5,0),1,0)*Data_NFI_t[[#This Row],[Sanitary Kit]],0)</f>
        <v>0</v>
      </c>
      <c r="AA239" s="112">
        <f>IF(NFI_Expiration=1,IF($A239&lt;VLOOKUP(L$5,NFI,5,0),1,0)*Data_NFI_t[[#This Row],[Mosquito net]],0)</f>
        <v>0</v>
      </c>
      <c r="AB239" s="112">
        <f>IF(NFI_Expiration=1,IF($A239&lt;VLOOKUP(M$5,NFI,5,0),1,0)*Data_NFI_t[[#This Row],[Tarpaulin]],0)</f>
        <v>0</v>
      </c>
      <c r="AC239" s="112">
        <f>IF(NFI_Expiration=1,IF($A239&lt;VLOOKUP(N$5,NFI,5,0),1,0)*Data_NFI_t[[#This Row],[Blanket]],0)</f>
        <v>0</v>
      </c>
      <c r="AD239" s="112">
        <f>IF(NFI_Expiration=1,IF($A239&lt;VLOOKUP(O$5,NFI,5,0),1,0)*Data_NFI_t[[#This Row],[Kitchen Set]],0)</f>
        <v>0</v>
      </c>
      <c r="AE239" s="112">
        <f>IF(NFI_Expiration=1,IF($A239&lt;VLOOKUP(P$5,NFI,5,0),1,0)*Data_NFI_t[[#This Row],[Complementary Kit]],0)</f>
        <v>0</v>
      </c>
      <c r="AF239" s="112">
        <f>IF(NFI_Expiration=1,IF($A239&lt;VLOOKUP(Q$5,NFI,5,0),1,0)*Data_NFI_t[[#This Row],[Plastic Bucket]],0)</f>
        <v>0</v>
      </c>
      <c r="AG239" s="112">
        <f>IF(NFI_Expiration=1,IF($A239&lt;VLOOKUP(R$5,NFI,5,0),1,0)*Data_NFI_t[[#This Row],[Jerry Can]],0)</f>
        <v>0</v>
      </c>
      <c r="AH239" s="131">
        <f>IF(NFI_Expiration=1,IF($A239&lt;VLOOKUP(S$5,NFI,5,0),1,0)*Data_NFI_t[[#This Row],[Plastic Mat]],0)*IF(Data_NFI_t[[#This Row],[Distribution Date]]&gt;"01-06-2015",1,2.5)</f>
        <v>0</v>
      </c>
      <c r="AI239" s="901">
        <f>IF(NFI_Expiration=1,IF($A239&lt;VLOOKUP(T$5,NFI,5,0),1,0)*Data_NFI_t[[#This Row],[Adult Clothes]],0)</f>
        <v>0</v>
      </c>
      <c r="AJ239" s="131">
        <f>IF(NFI_Expiration=1,IF($A239&lt;VLOOKUP(U$5,NFI,5,0),1,0)*Data_NFI_t[[#This Row],[Children Clothes]],0)</f>
        <v>0</v>
      </c>
      <c r="AK239" s="131">
        <f>IF(NFI_Expiration=1,IF($A239&lt;VLOOKUP(V$5,NFI,5,0),1,0)*Data_NFI_t[[#This Row],[Sewing Kit]],0)</f>
        <v>0</v>
      </c>
      <c r="AL239" s="901">
        <f>IF(NFI_Expiration=1,IF($A239&lt;VLOOKUP(V$5,NFI,5,0),1,0)*Data_NFI_t[[#This Row],[Solar Lantern]],0)</f>
        <v>0</v>
      </c>
      <c r="AM239" s="131" t="str">
        <f ca="1">IFERROR(OFFSET(Camp_List[P_Code],MATCH(Data_NFI_t[[#This Row],[Camp Name]],Camp_List[Camp Name],0)-1,0,1,1),"")</f>
        <v>MMR012CMP018</v>
      </c>
      <c r="AN239" s="513" t="str">
        <f ca="1">IFERROR(OFFSET(Camp_List[Status],MATCH(Data_NFI_t[[#This Row],[Camp Name]],Camp_List[Camp Name],0)-1,0,1,1),"")</f>
        <v>Open</v>
      </c>
      <c r="AO239" s="131"/>
    </row>
    <row r="240" spans="1:41" s="90" customFormat="1" ht="19.5" customHeight="1" x14ac:dyDescent="0.25">
      <c r="A240" s="242">
        <f t="shared" si="5"/>
        <v>48.93333333333333</v>
      </c>
      <c r="B240" s="242">
        <f>YEAR(Data_NFI_t[[#This Row],[Distribution Date]])</f>
        <v>2013</v>
      </c>
      <c r="C240" s="913">
        <v>41388</v>
      </c>
      <c r="D240" s="489" t="s">
        <v>515</v>
      </c>
      <c r="E240" s="488" t="s">
        <v>515</v>
      </c>
      <c r="F240" s="489" t="s">
        <v>7</v>
      </c>
      <c r="G240" s="790" t="s">
        <v>14</v>
      </c>
      <c r="H240" s="790" t="s">
        <v>41</v>
      </c>
      <c r="I240" s="790">
        <v>1338</v>
      </c>
      <c r="J240" s="51"/>
      <c r="K240" s="51"/>
      <c r="L240" s="51"/>
      <c r="M240" s="51"/>
      <c r="N240" s="51"/>
      <c r="O240" s="51"/>
      <c r="P240" s="51"/>
      <c r="Q240" s="51"/>
      <c r="R240" s="511"/>
      <c r="S240" s="51"/>
      <c r="T240" s="51"/>
      <c r="U240" s="51"/>
      <c r="V240" s="51"/>
      <c r="W240" s="51"/>
      <c r="X240" s="131">
        <f>IF(NFI_Expiration=1,IF($A240&lt;VLOOKUP(I$5,NFI,5,0),1,0)*Data_NFI_t[[#This Row],[Hygiene Kit]],0)</f>
        <v>0</v>
      </c>
      <c r="Y240" s="131">
        <f>IF(NFI_Expiration=1,IF($A240&lt;VLOOKUP(J$5,NFI,5,0),1,0)*Data_NFI_t[[#This Row],[NFI Core Kit]],0)</f>
        <v>0</v>
      </c>
      <c r="Z240" s="112">
        <f>IF(NFI_Expiration=1,IF($A240&lt;VLOOKUP(K$5,NFI,5,0),1,0)*Data_NFI_t[[#This Row],[Sanitary Kit]],0)</f>
        <v>0</v>
      </c>
      <c r="AA240" s="112">
        <f>IF(NFI_Expiration=1,IF($A240&lt;VLOOKUP(L$5,NFI,5,0),1,0)*Data_NFI_t[[#This Row],[Mosquito net]],0)</f>
        <v>0</v>
      </c>
      <c r="AB240" s="112">
        <f>IF(NFI_Expiration=1,IF($A240&lt;VLOOKUP(M$5,NFI,5,0),1,0)*Data_NFI_t[[#This Row],[Tarpaulin]],0)</f>
        <v>0</v>
      </c>
      <c r="AC240" s="112">
        <f>IF(NFI_Expiration=1,IF($A240&lt;VLOOKUP(N$5,NFI,5,0),1,0)*Data_NFI_t[[#This Row],[Blanket]],0)</f>
        <v>0</v>
      </c>
      <c r="AD240" s="112">
        <f>IF(NFI_Expiration=1,IF($A240&lt;VLOOKUP(O$5,NFI,5,0),1,0)*Data_NFI_t[[#This Row],[Kitchen Set]],0)</f>
        <v>0</v>
      </c>
      <c r="AE240" s="112">
        <f>IF(NFI_Expiration=1,IF($A240&lt;VLOOKUP(P$5,NFI,5,0),1,0)*Data_NFI_t[[#This Row],[Complementary Kit]],0)</f>
        <v>0</v>
      </c>
      <c r="AF240" s="112">
        <f>IF(NFI_Expiration=1,IF($A240&lt;VLOOKUP(Q$5,NFI,5,0),1,0)*Data_NFI_t[[#This Row],[Plastic Bucket]],0)</f>
        <v>0</v>
      </c>
      <c r="AG240" s="112">
        <f>IF(NFI_Expiration=1,IF($A240&lt;VLOOKUP(R$5,NFI,5,0),1,0)*Data_NFI_t[[#This Row],[Jerry Can]],0)</f>
        <v>0</v>
      </c>
      <c r="AH240" s="131">
        <f>IF(NFI_Expiration=1,IF($A240&lt;VLOOKUP(S$5,NFI,5,0),1,0)*Data_NFI_t[[#This Row],[Plastic Mat]],0)*IF(Data_NFI_t[[#This Row],[Distribution Date]]&gt;"01-06-2015",1,2.5)</f>
        <v>0</v>
      </c>
      <c r="AI240" s="901">
        <f>IF(NFI_Expiration=1,IF($A240&lt;VLOOKUP(T$5,NFI,5,0),1,0)*Data_NFI_t[[#This Row],[Adult Clothes]],0)</f>
        <v>0</v>
      </c>
      <c r="AJ240" s="131">
        <f>IF(NFI_Expiration=1,IF($A240&lt;VLOOKUP(U$5,NFI,5,0),1,0)*Data_NFI_t[[#This Row],[Children Clothes]],0)</f>
        <v>0</v>
      </c>
      <c r="AK240" s="131">
        <f>IF(NFI_Expiration=1,IF($A240&lt;VLOOKUP(V$5,NFI,5,0),1,0)*Data_NFI_t[[#This Row],[Sewing Kit]],0)</f>
        <v>0</v>
      </c>
      <c r="AL240" s="901">
        <f>IF(NFI_Expiration=1,IF($A240&lt;VLOOKUP(V$5,NFI,5,0),1,0)*Data_NFI_t[[#This Row],[Solar Lantern]],0)</f>
        <v>0</v>
      </c>
      <c r="AM240" s="131" t="str">
        <f ca="1">IFERROR(OFFSET(Camp_List[P_Code],MATCH(Data_NFI_t[[#This Row],[Camp Name]],Camp_List[Camp Name],0)-1,0,1,1),"")</f>
        <v/>
      </c>
      <c r="AN240" s="513" t="str">
        <f ca="1">IFERROR(OFFSET(Camp_List[Status],MATCH(Data_NFI_t[[#This Row],[Camp Name]],Camp_List[Camp Name],0)-1,0,1,1),"")</f>
        <v/>
      </c>
      <c r="AO240" s="131"/>
    </row>
    <row r="241" spans="1:41" s="90" customFormat="1" ht="19.5" customHeight="1" x14ac:dyDescent="0.25">
      <c r="A241" s="242">
        <f t="shared" si="5"/>
        <v>49.333333333333336</v>
      </c>
      <c r="B241" s="242">
        <f>YEAR(Data_NFI_t[[#This Row],[Distribution Date]])</f>
        <v>2013</v>
      </c>
      <c r="C241" s="913">
        <v>41376</v>
      </c>
      <c r="D241" s="489" t="s">
        <v>285</v>
      </c>
      <c r="E241" s="488"/>
      <c r="F241" s="489" t="s">
        <v>7</v>
      </c>
      <c r="G241" s="790" t="s">
        <v>19</v>
      </c>
      <c r="H241" s="790" t="s">
        <v>73</v>
      </c>
      <c r="I241" s="790"/>
      <c r="J241" s="51"/>
      <c r="K241" s="51"/>
      <c r="L241" s="51"/>
      <c r="M241" s="51"/>
      <c r="N241" s="51">
        <v>54</v>
      </c>
      <c r="O241" s="51"/>
      <c r="P241" s="51"/>
      <c r="Q241" s="51"/>
      <c r="R241" s="511"/>
      <c r="S241" s="51"/>
      <c r="T241" s="51"/>
      <c r="U241" s="51"/>
      <c r="V241" s="51"/>
      <c r="W241" s="51"/>
      <c r="X241" s="131">
        <f>IF(NFI_Expiration=1,IF($A241&lt;VLOOKUP(I$5,NFI,5,0),1,0)*Data_NFI_t[[#This Row],[Hygiene Kit]],0)</f>
        <v>0</v>
      </c>
      <c r="Y241" s="131">
        <f>IF(NFI_Expiration=1,IF($A241&lt;VLOOKUP(J$5,NFI,5,0),1,0)*Data_NFI_t[[#This Row],[NFI Core Kit]],0)</f>
        <v>0</v>
      </c>
      <c r="Z241" s="112">
        <f>IF(NFI_Expiration=1,IF($A241&lt;VLOOKUP(K$5,NFI,5,0),1,0)*Data_NFI_t[[#This Row],[Sanitary Kit]],0)</f>
        <v>0</v>
      </c>
      <c r="AA241" s="112">
        <f>IF(NFI_Expiration=1,IF($A241&lt;VLOOKUP(L$5,NFI,5,0),1,0)*Data_NFI_t[[#This Row],[Mosquito net]],0)</f>
        <v>0</v>
      </c>
      <c r="AB241" s="112">
        <f>IF(NFI_Expiration=1,IF($A241&lt;VLOOKUP(M$5,NFI,5,0),1,0)*Data_NFI_t[[#This Row],[Tarpaulin]],0)</f>
        <v>0</v>
      </c>
      <c r="AC241" s="112">
        <f>IF(NFI_Expiration=1,IF($A241&lt;VLOOKUP(N$5,NFI,5,0),1,0)*Data_NFI_t[[#This Row],[Blanket]],0)</f>
        <v>0</v>
      </c>
      <c r="AD241" s="112">
        <f>IF(NFI_Expiration=1,IF($A241&lt;VLOOKUP(O$5,NFI,5,0),1,0)*Data_NFI_t[[#This Row],[Kitchen Set]],0)</f>
        <v>0</v>
      </c>
      <c r="AE241" s="112">
        <f>IF(NFI_Expiration=1,IF($A241&lt;VLOOKUP(P$5,NFI,5,0),1,0)*Data_NFI_t[[#This Row],[Complementary Kit]],0)</f>
        <v>0</v>
      </c>
      <c r="AF241" s="112">
        <f>IF(NFI_Expiration=1,IF($A241&lt;VLOOKUP(Q$5,NFI,5,0),1,0)*Data_NFI_t[[#This Row],[Plastic Bucket]],0)</f>
        <v>0</v>
      </c>
      <c r="AG241" s="112">
        <f>IF(NFI_Expiration=1,IF($A241&lt;VLOOKUP(R$5,NFI,5,0),1,0)*Data_NFI_t[[#This Row],[Jerry Can]],0)</f>
        <v>0</v>
      </c>
      <c r="AH241" s="131">
        <f>IF(NFI_Expiration=1,IF($A241&lt;VLOOKUP(S$5,NFI,5,0),1,0)*Data_NFI_t[[#This Row],[Plastic Mat]],0)*IF(Data_NFI_t[[#This Row],[Distribution Date]]&gt;"01-06-2015",1,2.5)</f>
        <v>0</v>
      </c>
      <c r="AI241" s="901">
        <f>IF(NFI_Expiration=1,IF($A241&lt;VLOOKUP(T$5,NFI,5,0),1,0)*Data_NFI_t[[#This Row],[Adult Clothes]],0)</f>
        <v>0</v>
      </c>
      <c r="AJ241" s="131">
        <f>IF(NFI_Expiration=1,IF($A241&lt;VLOOKUP(U$5,NFI,5,0),1,0)*Data_NFI_t[[#This Row],[Children Clothes]],0)</f>
        <v>0</v>
      </c>
      <c r="AK241" s="131">
        <f>IF(NFI_Expiration=1,IF($A241&lt;VLOOKUP(V$5,NFI,5,0),1,0)*Data_NFI_t[[#This Row],[Sewing Kit]],0)</f>
        <v>0</v>
      </c>
      <c r="AL241" s="901">
        <f>IF(NFI_Expiration=1,IF($A241&lt;VLOOKUP(V$5,NFI,5,0),1,0)*Data_NFI_t[[#This Row],[Solar Lantern]],0)</f>
        <v>0</v>
      </c>
      <c r="AM241" s="131" t="str">
        <f ca="1">IFERROR(OFFSET(Camp_List[P_Code],MATCH(Data_NFI_t[[#This Row],[Camp Name]],Camp_List[Camp Name],0)-1,0,1,1),"")</f>
        <v>MMR012CMP051</v>
      </c>
      <c r="AN241" s="513" t="str">
        <f ca="1">IFERROR(OFFSET(Camp_List[Status],MATCH(Data_NFI_t[[#This Row],[Camp Name]],Camp_List[Camp Name],0)-1,0,1,1),"")</f>
        <v>Close</v>
      </c>
      <c r="AO241" s="131"/>
    </row>
    <row r="242" spans="1:41" s="90" customFormat="1" ht="19.5" customHeight="1" x14ac:dyDescent="0.25">
      <c r="A242" s="242">
        <f t="shared" si="5"/>
        <v>49.4</v>
      </c>
      <c r="B242" s="242">
        <f>YEAR(Data_NFI_t[[#This Row],[Distribution Date]])</f>
        <v>2013</v>
      </c>
      <c r="C242" s="913">
        <v>41374</v>
      </c>
      <c r="D242" s="489" t="s">
        <v>285</v>
      </c>
      <c r="E242" s="488"/>
      <c r="F242" s="489" t="s">
        <v>7</v>
      </c>
      <c r="G242" s="790" t="s">
        <v>19</v>
      </c>
      <c r="H242" s="790" t="s">
        <v>73</v>
      </c>
      <c r="I242" s="790"/>
      <c r="J242" s="51"/>
      <c r="K242" s="51"/>
      <c r="L242" s="51"/>
      <c r="M242" s="51"/>
      <c r="N242" s="51">
        <v>90</v>
      </c>
      <c r="O242" s="51"/>
      <c r="P242" s="51"/>
      <c r="Q242" s="51"/>
      <c r="R242" s="511"/>
      <c r="S242" s="51"/>
      <c r="T242" s="51"/>
      <c r="U242" s="51"/>
      <c r="V242" s="51"/>
      <c r="W242" s="51"/>
      <c r="X242" s="131">
        <f>IF(NFI_Expiration=1,IF($A242&lt;VLOOKUP(I$5,NFI,5,0),1,0)*Data_NFI_t[[#This Row],[Hygiene Kit]],0)</f>
        <v>0</v>
      </c>
      <c r="Y242" s="131">
        <f>IF(NFI_Expiration=1,IF($A242&lt;VLOOKUP(J$5,NFI,5,0),1,0)*Data_NFI_t[[#This Row],[NFI Core Kit]],0)</f>
        <v>0</v>
      </c>
      <c r="Z242" s="112">
        <f>IF(NFI_Expiration=1,IF($A242&lt;VLOOKUP(K$5,NFI,5,0),1,0)*Data_NFI_t[[#This Row],[Sanitary Kit]],0)</f>
        <v>0</v>
      </c>
      <c r="AA242" s="112">
        <f>IF(NFI_Expiration=1,IF($A242&lt;VLOOKUP(L$5,NFI,5,0),1,0)*Data_NFI_t[[#This Row],[Mosquito net]],0)</f>
        <v>0</v>
      </c>
      <c r="AB242" s="112">
        <f>IF(NFI_Expiration=1,IF($A242&lt;VLOOKUP(M$5,NFI,5,0),1,0)*Data_NFI_t[[#This Row],[Tarpaulin]],0)</f>
        <v>0</v>
      </c>
      <c r="AC242" s="112">
        <f>IF(NFI_Expiration=1,IF($A242&lt;VLOOKUP(N$5,NFI,5,0),1,0)*Data_NFI_t[[#This Row],[Blanket]],0)</f>
        <v>0</v>
      </c>
      <c r="AD242" s="112">
        <f>IF(NFI_Expiration=1,IF($A242&lt;VLOOKUP(O$5,NFI,5,0),1,0)*Data_NFI_t[[#This Row],[Kitchen Set]],0)</f>
        <v>0</v>
      </c>
      <c r="AE242" s="112">
        <f>IF(NFI_Expiration=1,IF($A242&lt;VLOOKUP(P$5,NFI,5,0),1,0)*Data_NFI_t[[#This Row],[Complementary Kit]],0)</f>
        <v>0</v>
      </c>
      <c r="AF242" s="112">
        <f>IF(NFI_Expiration=1,IF($A242&lt;VLOOKUP(Q$5,NFI,5,0),1,0)*Data_NFI_t[[#This Row],[Plastic Bucket]],0)</f>
        <v>0</v>
      </c>
      <c r="AG242" s="112">
        <f>IF(NFI_Expiration=1,IF($A242&lt;VLOOKUP(R$5,NFI,5,0),1,0)*Data_NFI_t[[#This Row],[Jerry Can]],0)</f>
        <v>0</v>
      </c>
      <c r="AH242" s="131">
        <f>IF(NFI_Expiration=1,IF($A242&lt;VLOOKUP(S$5,NFI,5,0),1,0)*Data_NFI_t[[#This Row],[Plastic Mat]],0)*IF(Data_NFI_t[[#This Row],[Distribution Date]]&gt;"01-06-2015",1,2.5)</f>
        <v>0</v>
      </c>
      <c r="AI242" s="901">
        <f>IF(NFI_Expiration=1,IF($A242&lt;VLOOKUP(T$5,NFI,5,0),1,0)*Data_NFI_t[[#This Row],[Adult Clothes]],0)</f>
        <v>0</v>
      </c>
      <c r="AJ242" s="131">
        <f>IF(NFI_Expiration=1,IF($A242&lt;VLOOKUP(U$5,NFI,5,0),1,0)*Data_NFI_t[[#This Row],[Children Clothes]],0)</f>
        <v>0</v>
      </c>
      <c r="AK242" s="131">
        <f>IF(NFI_Expiration=1,IF($A242&lt;VLOOKUP(V$5,NFI,5,0),1,0)*Data_NFI_t[[#This Row],[Sewing Kit]],0)</f>
        <v>0</v>
      </c>
      <c r="AL242" s="901">
        <f>IF(NFI_Expiration=1,IF($A242&lt;VLOOKUP(V$5,NFI,5,0),1,0)*Data_NFI_t[[#This Row],[Solar Lantern]],0)</f>
        <v>0</v>
      </c>
      <c r="AM242" s="131" t="str">
        <f ca="1">IFERROR(OFFSET(Camp_List[P_Code],MATCH(Data_NFI_t[[#This Row],[Camp Name]],Camp_List[Camp Name],0)-1,0,1,1),"")</f>
        <v>MMR012CMP051</v>
      </c>
      <c r="AN242" s="513" t="str">
        <f ca="1">IFERROR(OFFSET(Camp_List[Status],MATCH(Data_NFI_t[[#This Row],[Camp Name]],Camp_List[Camp Name],0)-1,0,1,1),"")</f>
        <v>Close</v>
      </c>
      <c r="AO242" s="131"/>
    </row>
    <row r="243" spans="1:41" s="90" customFormat="1" ht="19.5" customHeight="1" x14ac:dyDescent="0.25">
      <c r="A243" s="242">
        <f t="shared" si="5"/>
        <v>49.43333333333333</v>
      </c>
      <c r="B243" s="242">
        <f>YEAR(Data_NFI_t[[#This Row],[Distribution Date]])</f>
        <v>2013</v>
      </c>
      <c r="C243" s="913">
        <v>41373</v>
      </c>
      <c r="D243" s="489" t="s">
        <v>285</v>
      </c>
      <c r="E243" s="488"/>
      <c r="F243" s="489" t="s">
        <v>7</v>
      </c>
      <c r="G243" s="790" t="s">
        <v>19</v>
      </c>
      <c r="H243" s="790" t="s">
        <v>73</v>
      </c>
      <c r="I243" s="790"/>
      <c r="J243" s="51"/>
      <c r="K243" s="51"/>
      <c r="L243" s="51"/>
      <c r="M243" s="51"/>
      <c r="N243" s="51">
        <v>90</v>
      </c>
      <c r="O243" s="51"/>
      <c r="P243" s="51"/>
      <c r="Q243" s="51"/>
      <c r="R243" s="511"/>
      <c r="S243" s="51"/>
      <c r="T243" s="51"/>
      <c r="U243" s="51"/>
      <c r="V243" s="51"/>
      <c r="W243" s="51"/>
      <c r="X243" s="131">
        <f>IF(NFI_Expiration=1,IF($A243&lt;VLOOKUP(I$5,NFI,5,0),1,0)*Data_NFI_t[[#This Row],[Hygiene Kit]],0)</f>
        <v>0</v>
      </c>
      <c r="Y243" s="131">
        <f>IF(NFI_Expiration=1,IF($A243&lt;VLOOKUP(J$5,NFI,5,0),1,0)*Data_NFI_t[[#This Row],[NFI Core Kit]],0)</f>
        <v>0</v>
      </c>
      <c r="Z243" s="112">
        <f>IF(NFI_Expiration=1,IF($A243&lt;VLOOKUP(K$5,NFI,5,0),1,0)*Data_NFI_t[[#This Row],[Sanitary Kit]],0)</f>
        <v>0</v>
      </c>
      <c r="AA243" s="112">
        <f>IF(NFI_Expiration=1,IF($A243&lt;VLOOKUP(L$5,NFI,5,0),1,0)*Data_NFI_t[[#This Row],[Mosquito net]],0)</f>
        <v>0</v>
      </c>
      <c r="AB243" s="112">
        <f>IF(NFI_Expiration=1,IF($A243&lt;VLOOKUP(M$5,NFI,5,0),1,0)*Data_NFI_t[[#This Row],[Tarpaulin]],0)</f>
        <v>0</v>
      </c>
      <c r="AC243" s="112">
        <f>IF(NFI_Expiration=1,IF($A243&lt;VLOOKUP(N$5,NFI,5,0),1,0)*Data_NFI_t[[#This Row],[Blanket]],0)</f>
        <v>0</v>
      </c>
      <c r="AD243" s="112">
        <f>IF(NFI_Expiration=1,IF($A243&lt;VLOOKUP(O$5,NFI,5,0),1,0)*Data_NFI_t[[#This Row],[Kitchen Set]],0)</f>
        <v>0</v>
      </c>
      <c r="AE243" s="112">
        <f>IF(NFI_Expiration=1,IF($A243&lt;VLOOKUP(P$5,NFI,5,0),1,0)*Data_NFI_t[[#This Row],[Complementary Kit]],0)</f>
        <v>0</v>
      </c>
      <c r="AF243" s="112">
        <f>IF(NFI_Expiration=1,IF($A243&lt;VLOOKUP(Q$5,NFI,5,0),1,0)*Data_NFI_t[[#This Row],[Plastic Bucket]],0)</f>
        <v>0</v>
      </c>
      <c r="AG243" s="112">
        <f>IF(NFI_Expiration=1,IF($A243&lt;VLOOKUP(R$5,NFI,5,0),1,0)*Data_NFI_t[[#This Row],[Jerry Can]],0)</f>
        <v>0</v>
      </c>
      <c r="AH243" s="131">
        <f>IF(NFI_Expiration=1,IF($A243&lt;VLOOKUP(S$5,NFI,5,0),1,0)*Data_NFI_t[[#This Row],[Plastic Mat]],0)*IF(Data_NFI_t[[#This Row],[Distribution Date]]&gt;"01-06-2015",1,2.5)</f>
        <v>0</v>
      </c>
      <c r="AI243" s="901">
        <f>IF(NFI_Expiration=1,IF($A243&lt;VLOOKUP(T$5,NFI,5,0),1,0)*Data_NFI_t[[#This Row],[Adult Clothes]],0)</f>
        <v>0</v>
      </c>
      <c r="AJ243" s="131">
        <f>IF(NFI_Expiration=1,IF($A243&lt;VLOOKUP(U$5,NFI,5,0),1,0)*Data_NFI_t[[#This Row],[Children Clothes]],0)</f>
        <v>0</v>
      </c>
      <c r="AK243" s="131">
        <f>IF(NFI_Expiration=1,IF($A243&lt;VLOOKUP(V$5,NFI,5,0),1,0)*Data_NFI_t[[#This Row],[Sewing Kit]],0)</f>
        <v>0</v>
      </c>
      <c r="AL243" s="901">
        <f>IF(NFI_Expiration=1,IF($A243&lt;VLOOKUP(V$5,NFI,5,0),1,0)*Data_NFI_t[[#This Row],[Solar Lantern]],0)</f>
        <v>0</v>
      </c>
      <c r="AM243" s="131" t="str">
        <f ca="1">IFERROR(OFFSET(Camp_List[P_Code],MATCH(Data_NFI_t[[#This Row],[Camp Name]],Camp_List[Camp Name],0)-1,0,1,1),"")</f>
        <v>MMR012CMP051</v>
      </c>
      <c r="AN243" s="513" t="str">
        <f ca="1">IFERROR(OFFSET(Camp_List[Status],MATCH(Data_NFI_t[[#This Row],[Camp Name]],Camp_List[Camp Name],0)-1,0,1,1),"")</f>
        <v>Close</v>
      </c>
      <c r="AO243" s="131"/>
    </row>
    <row r="244" spans="1:41" s="90" customFormat="1" ht="19.5" customHeight="1" x14ac:dyDescent="0.25">
      <c r="A244" s="242">
        <f t="shared" si="5"/>
        <v>49.43333333333333</v>
      </c>
      <c r="B244" s="242">
        <f>YEAR(Data_NFI_t[[#This Row],[Distribution Date]])</f>
        <v>2013</v>
      </c>
      <c r="C244" s="913">
        <v>41373</v>
      </c>
      <c r="D244" s="489" t="s">
        <v>1117</v>
      </c>
      <c r="E244" s="488" t="s">
        <v>292</v>
      </c>
      <c r="F244" s="489" t="s">
        <v>7</v>
      </c>
      <c r="G244" s="790" t="s">
        <v>19</v>
      </c>
      <c r="H244" s="790" t="s">
        <v>63</v>
      </c>
      <c r="I244" s="790">
        <v>186</v>
      </c>
      <c r="J244" s="51"/>
      <c r="K244" s="51"/>
      <c r="L244" s="51"/>
      <c r="M244" s="51"/>
      <c r="N244" s="51"/>
      <c r="O244" s="51"/>
      <c r="P244" s="51"/>
      <c r="Q244" s="51"/>
      <c r="R244" s="511"/>
      <c r="S244" s="51"/>
      <c r="T244" s="51"/>
      <c r="U244" s="51"/>
      <c r="V244" s="51"/>
      <c r="W244" s="51"/>
      <c r="X244" s="131">
        <f>IF(NFI_Expiration=1,IF($A244&lt;VLOOKUP(I$5,NFI,5,0),1,0)*Data_NFI_t[[#This Row],[Hygiene Kit]],0)</f>
        <v>0</v>
      </c>
      <c r="Y244" s="131">
        <f>IF(NFI_Expiration=1,IF($A244&lt;VLOOKUP(J$5,NFI,5,0),1,0)*Data_NFI_t[[#This Row],[NFI Core Kit]],0)</f>
        <v>0</v>
      </c>
      <c r="Z244" s="112">
        <f>IF(NFI_Expiration=1,IF($A244&lt;VLOOKUP(K$5,NFI,5,0),1,0)*Data_NFI_t[[#This Row],[Sanitary Kit]],0)</f>
        <v>0</v>
      </c>
      <c r="AA244" s="112">
        <f>IF(NFI_Expiration=1,IF($A244&lt;VLOOKUP(L$5,NFI,5,0),1,0)*Data_NFI_t[[#This Row],[Mosquito net]],0)</f>
        <v>0</v>
      </c>
      <c r="AB244" s="112">
        <f>IF(NFI_Expiration=1,IF($A244&lt;VLOOKUP(M$5,NFI,5,0),1,0)*Data_NFI_t[[#This Row],[Tarpaulin]],0)</f>
        <v>0</v>
      </c>
      <c r="AC244" s="112">
        <f>IF(NFI_Expiration=1,IF($A244&lt;VLOOKUP(N$5,NFI,5,0),1,0)*Data_NFI_t[[#This Row],[Blanket]],0)</f>
        <v>0</v>
      </c>
      <c r="AD244" s="112">
        <f>IF(NFI_Expiration=1,IF($A244&lt;VLOOKUP(O$5,NFI,5,0),1,0)*Data_NFI_t[[#This Row],[Kitchen Set]],0)</f>
        <v>0</v>
      </c>
      <c r="AE244" s="112">
        <f>IF(NFI_Expiration=1,IF($A244&lt;VLOOKUP(P$5,NFI,5,0),1,0)*Data_NFI_t[[#This Row],[Complementary Kit]],0)</f>
        <v>0</v>
      </c>
      <c r="AF244" s="112">
        <f>IF(NFI_Expiration=1,IF($A244&lt;VLOOKUP(Q$5,NFI,5,0),1,0)*Data_NFI_t[[#This Row],[Plastic Bucket]],0)</f>
        <v>0</v>
      </c>
      <c r="AG244" s="112">
        <f>IF(NFI_Expiration=1,IF($A244&lt;VLOOKUP(R$5,NFI,5,0),1,0)*Data_NFI_t[[#This Row],[Jerry Can]],0)</f>
        <v>0</v>
      </c>
      <c r="AH244" s="131">
        <f>IF(NFI_Expiration=1,IF($A244&lt;VLOOKUP(S$5,NFI,5,0),1,0)*Data_NFI_t[[#This Row],[Plastic Mat]],0)*IF(Data_NFI_t[[#This Row],[Distribution Date]]&gt;"01-06-2015",1,2.5)</f>
        <v>0</v>
      </c>
      <c r="AI244" s="901">
        <f>IF(NFI_Expiration=1,IF($A244&lt;VLOOKUP(T$5,NFI,5,0),1,0)*Data_NFI_t[[#This Row],[Adult Clothes]],0)</f>
        <v>0</v>
      </c>
      <c r="AJ244" s="131">
        <f>IF(NFI_Expiration=1,IF($A244&lt;VLOOKUP(U$5,NFI,5,0),1,0)*Data_NFI_t[[#This Row],[Children Clothes]],0)</f>
        <v>0</v>
      </c>
      <c r="AK244" s="131">
        <f>IF(NFI_Expiration=1,IF($A244&lt;VLOOKUP(V$5,NFI,5,0),1,0)*Data_NFI_t[[#This Row],[Sewing Kit]],0)</f>
        <v>0</v>
      </c>
      <c r="AL244" s="901">
        <f>IF(NFI_Expiration=1,IF($A244&lt;VLOOKUP(V$5,NFI,5,0),1,0)*Data_NFI_t[[#This Row],[Solar Lantern]],0)</f>
        <v>0</v>
      </c>
      <c r="AM244" s="131" t="str">
        <f ca="1">IFERROR(OFFSET(Camp_List[P_Code],MATCH(Data_NFI_t[[#This Row],[Camp Name]],Camp_List[Camp Name],0)-1,0,1,1),"")</f>
        <v>MMR012CMP041</v>
      </c>
      <c r="AN244" s="513" t="str">
        <f ca="1">IFERROR(OFFSET(Camp_List[Status],MATCH(Data_NFI_t[[#This Row],[Camp Name]],Camp_List[Camp Name],0)-1,0,1,1),"")</f>
        <v>Open</v>
      </c>
      <c r="AO244" s="131"/>
    </row>
    <row r="245" spans="1:41" s="90" customFormat="1" ht="19.5" customHeight="1" x14ac:dyDescent="0.25">
      <c r="A245" s="242">
        <f t="shared" si="5"/>
        <v>49.56666666666667</v>
      </c>
      <c r="B245" s="242">
        <f>YEAR(Data_NFI_t[[#This Row],[Distribution Date]])</f>
        <v>2013</v>
      </c>
      <c r="C245" s="913">
        <v>41369</v>
      </c>
      <c r="D245" s="489" t="s">
        <v>285</v>
      </c>
      <c r="E245" s="488"/>
      <c r="F245" s="489" t="s">
        <v>7</v>
      </c>
      <c r="G245" s="790" t="s">
        <v>19</v>
      </c>
      <c r="H245" s="790" t="s">
        <v>73</v>
      </c>
      <c r="I245" s="790"/>
      <c r="J245" s="51"/>
      <c r="K245" s="51"/>
      <c r="L245" s="51"/>
      <c r="M245" s="51"/>
      <c r="N245" s="51">
        <v>90</v>
      </c>
      <c r="O245" s="51"/>
      <c r="P245" s="51"/>
      <c r="Q245" s="51"/>
      <c r="R245" s="511"/>
      <c r="S245" s="51"/>
      <c r="T245" s="51"/>
      <c r="U245" s="51"/>
      <c r="V245" s="51"/>
      <c r="W245" s="51"/>
      <c r="X245" s="131">
        <f>IF(NFI_Expiration=1,IF($A245&lt;VLOOKUP(I$5,NFI,5,0),1,0)*Data_NFI_t[[#This Row],[Hygiene Kit]],0)</f>
        <v>0</v>
      </c>
      <c r="Y245" s="131">
        <f>IF(NFI_Expiration=1,IF($A245&lt;VLOOKUP(J$5,NFI,5,0),1,0)*Data_NFI_t[[#This Row],[NFI Core Kit]],0)</f>
        <v>0</v>
      </c>
      <c r="Z245" s="112">
        <f>IF(NFI_Expiration=1,IF($A245&lt;VLOOKUP(K$5,NFI,5,0),1,0)*Data_NFI_t[[#This Row],[Sanitary Kit]],0)</f>
        <v>0</v>
      </c>
      <c r="AA245" s="112">
        <f>IF(NFI_Expiration=1,IF($A245&lt;VLOOKUP(L$5,NFI,5,0),1,0)*Data_NFI_t[[#This Row],[Mosquito net]],0)</f>
        <v>0</v>
      </c>
      <c r="AB245" s="112">
        <f>IF(NFI_Expiration=1,IF($A245&lt;VLOOKUP(M$5,NFI,5,0),1,0)*Data_NFI_t[[#This Row],[Tarpaulin]],0)</f>
        <v>0</v>
      </c>
      <c r="AC245" s="112">
        <f>IF(NFI_Expiration=1,IF($A245&lt;VLOOKUP(N$5,NFI,5,0),1,0)*Data_NFI_t[[#This Row],[Blanket]],0)</f>
        <v>0</v>
      </c>
      <c r="AD245" s="112">
        <f>IF(NFI_Expiration=1,IF($A245&lt;VLOOKUP(O$5,NFI,5,0),1,0)*Data_NFI_t[[#This Row],[Kitchen Set]],0)</f>
        <v>0</v>
      </c>
      <c r="AE245" s="112">
        <f>IF(NFI_Expiration=1,IF($A245&lt;VLOOKUP(P$5,NFI,5,0),1,0)*Data_NFI_t[[#This Row],[Complementary Kit]],0)</f>
        <v>0</v>
      </c>
      <c r="AF245" s="112">
        <f>IF(NFI_Expiration=1,IF($A245&lt;VLOOKUP(Q$5,NFI,5,0),1,0)*Data_NFI_t[[#This Row],[Plastic Bucket]],0)</f>
        <v>0</v>
      </c>
      <c r="AG245" s="112">
        <f>IF(NFI_Expiration=1,IF($A245&lt;VLOOKUP(R$5,NFI,5,0),1,0)*Data_NFI_t[[#This Row],[Jerry Can]],0)</f>
        <v>0</v>
      </c>
      <c r="AH245" s="131">
        <f>IF(NFI_Expiration=1,IF($A245&lt;VLOOKUP(S$5,NFI,5,0),1,0)*Data_NFI_t[[#This Row],[Plastic Mat]],0)*IF(Data_NFI_t[[#This Row],[Distribution Date]]&gt;"01-06-2015",1,2.5)</f>
        <v>0</v>
      </c>
      <c r="AI245" s="901">
        <f>IF(NFI_Expiration=1,IF($A245&lt;VLOOKUP(T$5,NFI,5,0),1,0)*Data_NFI_t[[#This Row],[Adult Clothes]],0)</f>
        <v>0</v>
      </c>
      <c r="AJ245" s="131">
        <f>IF(NFI_Expiration=1,IF($A245&lt;VLOOKUP(U$5,NFI,5,0),1,0)*Data_NFI_t[[#This Row],[Children Clothes]],0)</f>
        <v>0</v>
      </c>
      <c r="AK245" s="131">
        <f>IF(NFI_Expiration=1,IF($A245&lt;VLOOKUP(V$5,NFI,5,0),1,0)*Data_NFI_t[[#This Row],[Sewing Kit]],0)</f>
        <v>0</v>
      </c>
      <c r="AL245" s="901">
        <f>IF(NFI_Expiration=1,IF($A245&lt;VLOOKUP(V$5,NFI,5,0),1,0)*Data_NFI_t[[#This Row],[Solar Lantern]],0)</f>
        <v>0</v>
      </c>
      <c r="AM245" s="131" t="str">
        <f ca="1">IFERROR(OFFSET(Camp_List[P_Code],MATCH(Data_NFI_t[[#This Row],[Camp Name]],Camp_List[Camp Name],0)-1,0,1,1),"")</f>
        <v>MMR012CMP051</v>
      </c>
      <c r="AN245" s="513" t="str">
        <f ca="1">IFERROR(OFFSET(Camp_List[Status],MATCH(Data_NFI_t[[#This Row],[Camp Name]],Camp_List[Camp Name],0)-1,0,1,1),"")</f>
        <v>Close</v>
      </c>
      <c r="AO245" s="131"/>
    </row>
    <row r="246" spans="1:41" s="90" customFormat="1" ht="19.5" customHeight="1" x14ac:dyDescent="0.25">
      <c r="A246" s="242">
        <f t="shared" si="5"/>
        <v>49.6</v>
      </c>
      <c r="B246" s="242">
        <f>YEAR(Data_NFI_t[[#This Row],[Distribution Date]])</f>
        <v>2013</v>
      </c>
      <c r="C246" s="913">
        <v>41368</v>
      </c>
      <c r="D246" s="489" t="s">
        <v>285</v>
      </c>
      <c r="E246" s="488"/>
      <c r="F246" s="489" t="s">
        <v>7</v>
      </c>
      <c r="G246" s="790" t="s">
        <v>19</v>
      </c>
      <c r="H246" s="790" t="s">
        <v>73</v>
      </c>
      <c r="I246" s="790"/>
      <c r="J246" s="51"/>
      <c r="K246" s="51"/>
      <c r="L246" s="51"/>
      <c r="M246" s="51"/>
      <c r="N246" s="51">
        <v>45</v>
      </c>
      <c r="O246" s="51"/>
      <c r="P246" s="51"/>
      <c r="Q246" s="51"/>
      <c r="R246" s="511"/>
      <c r="S246" s="51"/>
      <c r="T246" s="51"/>
      <c r="U246" s="51"/>
      <c r="V246" s="51"/>
      <c r="W246" s="51"/>
      <c r="X246" s="131">
        <f>IF(NFI_Expiration=1,IF($A246&lt;VLOOKUP(I$5,NFI,5,0),1,0)*Data_NFI_t[[#This Row],[Hygiene Kit]],0)</f>
        <v>0</v>
      </c>
      <c r="Y246" s="131">
        <f>IF(NFI_Expiration=1,IF($A246&lt;VLOOKUP(J$5,NFI,5,0),1,0)*Data_NFI_t[[#This Row],[NFI Core Kit]],0)</f>
        <v>0</v>
      </c>
      <c r="Z246" s="112">
        <f>IF(NFI_Expiration=1,IF($A246&lt;VLOOKUP(K$5,NFI,5,0),1,0)*Data_NFI_t[[#This Row],[Sanitary Kit]],0)</f>
        <v>0</v>
      </c>
      <c r="AA246" s="112">
        <f>IF(NFI_Expiration=1,IF($A246&lt;VLOOKUP(L$5,NFI,5,0),1,0)*Data_NFI_t[[#This Row],[Mosquito net]],0)</f>
        <v>0</v>
      </c>
      <c r="AB246" s="112">
        <f>IF(NFI_Expiration=1,IF($A246&lt;VLOOKUP(M$5,NFI,5,0),1,0)*Data_NFI_t[[#This Row],[Tarpaulin]],0)</f>
        <v>0</v>
      </c>
      <c r="AC246" s="112">
        <f>IF(NFI_Expiration=1,IF($A246&lt;VLOOKUP(N$5,NFI,5,0),1,0)*Data_NFI_t[[#This Row],[Blanket]],0)</f>
        <v>0</v>
      </c>
      <c r="AD246" s="112">
        <f>IF(NFI_Expiration=1,IF($A246&lt;VLOOKUP(O$5,NFI,5,0),1,0)*Data_NFI_t[[#This Row],[Kitchen Set]],0)</f>
        <v>0</v>
      </c>
      <c r="AE246" s="112">
        <f>IF(NFI_Expiration=1,IF($A246&lt;VLOOKUP(P$5,NFI,5,0),1,0)*Data_NFI_t[[#This Row],[Complementary Kit]],0)</f>
        <v>0</v>
      </c>
      <c r="AF246" s="112">
        <f>IF(NFI_Expiration=1,IF($A246&lt;VLOOKUP(Q$5,NFI,5,0),1,0)*Data_NFI_t[[#This Row],[Plastic Bucket]],0)</f>
        <v>0</v>
      </c>
      <c r="AG246" s="112">
        <f>IF(NFI_Expiration=1,IF($A246&lt;VLOOKUP(R$5,NFI,5,0),1,0)*Data_NFI_t[[#This Row],[Jerry Can]],0)</f>
        <v>0</v>
      </c>
      <c r="AH246" s="131">
        <f>IF(NFI_Expiration=1,IF($A246&lt;VLOOKUP(S$5,NFI,5,0),1,0)*Data_NFI_t[[#This Row],[Plastic Mat]],0)*IF(Data_NFI_t[[#This Row],[Distribution Date]]&gt;"01-06-2015",1,2.5)</f>
        <v>0</v>
      </c>
      <c r="AI246" s="901">
        <f>IF(NFI_Expiration=1,IF($A246&lt;VLOOKUP(T$5,NFI,5,0),1,0)*Data_NFI_t[[#This Row],[Adult Clothes]],0)</f>
        <v>0</v>
      </c>
      <c r="AJ246" s="131">
        <f>IF(NFI_Expiration=1,IF($A246&lt;VLOOKUP(U$5,NFI,5,0),1,0)*Data_NFI_t[[#This Row],[Children Clothes]],0)</f>
        <v>0</v>
      </c>
      <c r="AK246" s="131">
        <f>IF(NFI_Expiration=1,IF($A246&lt;VLOOKUP(V$5,NFI,5,0),1,0)*Data_NFI_t[[#This Row],[Sewing Kit]],0)</f>
        <v>0</v>
      </c>
      <c r="AL246" s="901">
        <f>IF(NFI_Expiration=1,IF($A246&lt;VLOOKUP(V$5,NFI,5,0),1,0)*Data_NFI_t[[#This Row],[Solar Lantern]],0)</f>
        <v>0</v>
      </c>
      <c r="AM246" s="131" t="str">
        <f ca="1">IFERROR(OFFSET(Camp_List[P_Code],MATCH(Data_NFI_t[[#This Row],[Camp Name]],Camp_List[Camp Name],0)-1,0,1,1),"")</f>
        <v>MMR012CMP051</v>
      </c>
      <c r="AN246" s="513" t="str">
        <f ca="1">IFERROR(OFFSET(Camp_List[Status],MATCH(Data_NFI_t[[#This Row],[Camp Name]],Camp_List[Camp Name],0)-1,0,1,1),"")</f>
        <v>Close</v>
      </c>
      <c r="AO246" s="131"/>
    </row>
    <row r="247" spans="1:41" s="90" customFormat="1" ht="19.5" customHeight="1" x14ac:dyDescent="0.25">
      <c r="A247" s="242">
        <f t="shared" si="5"/>
        <v>49.633333333333333</v>
      </c>
      <c r="B247" s="242">
        <f>YEAR(Data_NFI_t[[#This Row],[Distribution Date]])</f>
        <v>2013</v>
      </c>
      <c r="C247" s="913">
        <v>41367</v>
      </c>
      <c r="D247" s="489" t="s">
        <v>285</v>
      </c>
      <c r="E247" s="488"/>
      <c r="F247" s="489" t="s">
        <v>7</v>
      </c>
      <c r="G247" s="790" t="s">
        <v>19</v>
      </c>
      <c r="H247" s="790" t="s">
        <v>73</v>
      </c>
      <c r="I247" s="790"/>
      <c r="J247" s="51"/>
      <c r="K247" s="51"/>
      <c r="L247" s="51"/>
      <c r="M247" s="51"/>
      <c r="N247" s="51">
        <v>45</v>
      </c>
      <c r="O247" s="51"/>
      <c r="P247" s="51"/>
      <c r="Q247" s="51"/>
      <c r="R247" s="511"/>
      <c r="S247" s="51"/>
      <c r="T247" s="51"/>
      <c r="U247" s="51"/>
      <c r="V247" s="51"/>
      <c r="W247" s="51"/>
      <c r="X247" s="131">
        <f>IF(NFI_Expiration=1,IF($A247&lt;VLOOKUP(I$5,NFI,5,0),1,0)*Data_NFI_t[[#This Row],[Hygiene Kit]],0)</f>
        <v>0</v>
      </c>
      <c r="Y247" s="131">
        <f>IF(NFI_Expiration=1,IF($A247&lt;VLOOKUP(J$5,NFI,5,0),1,0)*Data_NFI_t[[#This Row],[NFI Core Kit]],0)</f>
        <v>0</v>
      </c>
      <c r="Z247" s="112">
        <f>IF(NFI_Expiration=1,IF($A247&lt;VLOOKUP(K$5,NFI,5,0),1,0)*Data_NFI_t[[#This Row],[Sanitary Kit]],0)</f>
        <v>0</v>
      </c>
      <c r="AA247" s="112">
        <f>IF(NFI_Expiration=1,IF($A247&lt;VLOOKUP(L$5,NFI,5,0),1,0)*Data_NFI_t[[#This Row],[Mosquito net]],0)</f>
        <v>0</v>
      </c>
      <c r="AB247" s="112">
        <f>IF(NFI_Expiration=1,IF($A247&lt;VLOOKUP(M$5,NFI,5,0),1,0)*Data_NFI_t[[#This Row],[Tarpaulin]],0)</f>
        <v>0</v>
      </c>
      <c r="AC247" s="112">
        <f>IF(NFI_Expiration=1,IF($A247&lt;VLOOKUP(N$5,NFI,5,0),1,0)*Data_NFI_t[[#This Row],[Blanket]],0)</f>
        <v>0</v>
      </c>
      <c r="AD247" s="112">
        <f>IF(NFI_Expiration=1,IF($A247&lt;VLOOKUP(O$5,NFI,5,0),1,0)*Data_NFI_t[[#This Row],[Kitchen Set]],0)</f>
        <v>0</v>
      </c>
      <c r="AE247" s="112">
        <f>IF(NFI_Expiration=1,IF($A247&lt;VLOOKUP(P$5,NFI,5,0),1,0)*Data_NFI_t[[#This Row],[Complementary Kit]],0)</f>
        <v>0</v>
      </c>
      <c r="AF247" s="112">
        <f>IF(NFI_Expiration=1,IF($A247&lt;VLOOKUP(Q$5,NFI,5,0),1,0)*Data_NFI_t[[#This Row],[Plastic Bucket]],0)</f>
        <v>0</v>
      </c>
      <c r="AG247" s="112">
        <f>IF(NFI_Expiration=1,IF($A247&lt;VLOOKUP(R$5,NFI,5,0),1,0)*Data_NFI_t[[#This Row],[Jerry Can]],0)</f>
        <v>0</v>
      </c>
      <c r="AH247" s="131">
        <f>IF(NFI_Expiration=1,IF($A247&lt;VLOOKUP(S$5,NFI,5,0),1,0)*Data_NFI_t[[#This Row],[Plastic Mat]],0)*IF(Data_NFI_t[[#This Row],[Distribution Date]]&gt;"01-06-2015",1,2.5)</f>
        <v>0</v>
      </c>
      <c r="AI247" s="901">
        <f>IF(NFI_Expiration=1,IF($A247&lt;VLOOKUP(T$5,NFI,5,0),1,0)*Data_NFI_t[[#This Row],[Adult Clothes]],0)</f>
        <v>0</v>
      </c>
      <c r="AJ247" s="131">
        <f>IF(NFI_Expiration=1,IF($A247&lt;VLOOKUP(U$5,NFI,5,0),1,0)*Data_NFI_t[[#This Row],[Children Clothes]],0)</f>
        <v>0</v>
      </c>
      <c r="AK247" s="131">
        <f>IF(NFI_Expiration=1,IF($A247&lt;VLOOKUP(V$5,NFI,5,0),1,0)*Data_NFI_t[[#This Row],[Sewing Kit]],0)</f>
        <v>0</v>
      </c>
      <c r="AL247" s="901">
        <f>IF(NFI_Expiration=1,IF($A247&lt;VLOOKUP(V$5,NFI,5,0),1,0)*Data_NFI_t[[#This Row],[Solar Lantern]],0)</f>
        <v>0</v>
      </c>
      <c r="AM247" s="131" t="str">
        <f ca="1">IFERROR(OFFSET(Camp_List[P_Code],MATCH(Data_NFI_t[[#This Row],[Camp Name]],Camp_List[Camp Name],0)-1,0,1,1),"")</f>
        <v>MMR012CMP051</v>
      </c>
      <c r="AN247" s="513" t="str">
        <f ca="1">IFERROR(OFFSET(Camp_List[Status],MATCH(Data_NFI_t[[#This Row],[Camp Name]],Camp_List[Camp Name],0)-1,0,1,1),"")</f>
        <v>Close</v>
      </c>
      <c r="AO247" s="131"/>
    </row>
    <row r="248" spans="1:41" s="90" customFormat="1" ht="19.5" customHeight="1" x14ac:dyDescent="0.25">
      <c r="A248" s="242">
        <f t="shared" si="5"/>
        <v>49.666666666666664</v>
      </c>
      <c r="B248" s="242">
        <f>YEAR(Data_NFI_t[[#This Row],[Distribution Date]])</f>
        <v>2013</v>
      </c>
      <c r="C248" s="913">
        <v>41366</v>
      </c>
      <c r="D248" s="489" t="s">
        <v>515</v>
      </c>
      <c r="E248" s="488" t="s">
        <v>515</v>
      </c>
      <c r="F248" s="489" t="s">
        <v>7</v>
      </c>
      <c r="G248" s="790" t="s">
        <v>19</v>
      </c>
      <c r="H248" s="790" t="s">
        <v>70</v>
      </c>
      <c r="I248" s="790">
        <v>3100</v>
      </c>
      <c r="J248" s="51"/>
      <c r="K248" s="51"/>
      <c r="L248" s="51"/>
      <c r="M248" s="51"/>
      <c r="N248" s="51"/>
      <c r="O248" s="51"/>
      <c r="P248" s="51"/>
      <c r="Q248" s="51"/>
      <c r="R248" s="511"/>
      <c r="S248" s="51"/>
      <c r="T248" s="51"/>
      <c r="U248" s="51"/>
      <c r="V248" s="51"/>
      <c r="W248" s="51"/>
      <c r="X248" s="131">
        <f>IF(NFI_Expiration=1,IF($A248&lt;VLOOKUP(I$5,NFI,5,0),1,0)*Data_NFI_t[[#This Row],[Hygiene Kit]],0)</f>
        <v>0</v>
      </c>
      <c r="Y248" s="131">
        <f>IF(NFI_Expiration=1,IF($A248&lt;VLOOKUP(J$5,NFI,5,0),1,0)*Data_NFI_t[[#This Row],[NFI Core Kit]],0)</f>
        <v>0</v>
      </c>
      <c r="Z248" s="112">
        <f>IF(NFI_Expiration=1,IF($A248&lt;VLOOKUP(K$5,NFI,5,0),1,0)*Data_NFI_t[[#This Row],[Sanitary Kit]],0)</f>
        <v>0</v>
      </c>
      <c r="AA248" s="112">
        <f>IF(NFI_Expiration=1,IF($A248&lt;VLOOKUP(L$5,NFI,5,0),1,0)*Data_NFI_t[[#This Row],[Mosquito net]],0)</f>
        <v>0</v>
      </c>
      <c r="AB248" s="112">
        <f>IF(NFI_Expiration=1,IF($A248&lt;VLOOKUP(M$5,NFI,5,0),1,0)*Data_NFI_t[[#This Row],[Tarpaulin]],0)</f>
        <v>0</v>
      </c>
      <c r="AC248" s="112">
        <f>IF(NFI_Expiration=1,IF($A248&lt;VLOOKUP(N$5,NFI,5,0),1,0)*Data_NFI_t[[#This Row],[Blanket]],0)</f>
        <v>0</v>
      </c>
      <c r="AD248" s="112">
        <f>IF(NFI_Expiration=1,IF($A248&lt;VLOOKUP(O$5,NFI,5,0),1,0)*Data_NFI_t[[#This Row],[Kitchen Set]],0)</f>
        <v>0</v>
      </c>
      <c r="AE248" s="112">
        <f>IF(NFI_Expiration=1,IF($A248&lt;VLOOKUP(P$5,NFI,5,0),1,0)*Data_NFI_t[[#This Row],[Complementary Kit]],0)</f>
        <v>0</v>
      </c>
      <c r="AF248" s="112">
        <f>IF(NFI_Expiration=1,IF($A248&lt;VLOOKUP(Q$5,NFI,5,0),1,0)*Data_NFI_t[[#This Row],[Plastic Bucket]],0)</f>
        <v>0</v>
      </c>
      <c r="AG248" s="112">
        <f>IF(NFI_Expiration=1,IF($A248&lt;VLOOKUP(R$5,NFI,5,0),1,0)*Data_NFI_t[[#This Row],[Jerry Can]],0)</f>
        <v>0</v>
      </c>
      <c r="AH248" s="131">
        <f>IF(NFI_Expiration=1,IF($A248&lt;VLOOKUP(S$5,NFI,5,0),1,0)*Data_NFI_t[[#This Row],[Plastic Mat]],0)*IF(Data_NFI_t[[#This Row],[Distribution Date]]&gt;"01-06-2015",1,2.5)</f>
        <v>0</v>
      </c>
      <c r="AI248" s="901">
        <f>IF(NFI_Expiration=1,IF($A248&lt;VLOOKUP(T$5,NFI,5,0),1,0)*Data_NFI_t[[#This Row],[Adult Clothes]],0)</f>
        <v>0</v>
      </c>
      <c r="AJ248" s="131">
        <f>IF(NFI_Expiration=1,IF($A248&lt;VLOOKUP(U$5,NFI,5,0),1,0)*Data_NFI_t[[#This Row],[Children Clothes]],0)</f>
        <v>0</v>
      </c>
      <c r="AK248" s="131">
        <f>IF(NFI_Expiration=1,IF($A248&lt;VLOOKUP(V$5,NFI,5,0),1,0)*Data_NFI_t[[#This Row],[Sewing Kit]],0)</f>
        <v>0</v>
      </c>
      <c r="AL248" s="901">
        <f>IF(NFI_Expiration=1,IF($A248&lt;VLOOKUP(V$5,NFI,5,0),1,0)*Data_NFI_t[[#This Row],[Solar Lantern]],0)</f>
        <v>0</v>
      </c>
      <c r="AM248" s="131" t="str">
        <f ca="1">IFERROR(OFFSET(Camp_List[P_Code],MATCH(Data_NFI_t[[#This Row],[Camp Name]],Camp_List[Camp Name],0)-1,0,1,1),"")</f>
        <v>MMR012CMP048</v>
      </c>
      <c r="AN248" s="513" t="str">
        <f ca="1">IFERROR(OFFSET(Camp_List[Status],MATCH(Data_NFI_t[[#This Row],[Camp Name]],Camp_List[Camp Name],0)-1,0,1,1),"")</f>
        <v>Open</v>
      </c>
      <c r="AO248" s="131"/>
    </row>
    <row r="249" spans="1:41" s="90" customFormat="1" ht="19.5" customHeight="1" x14ac:dyDescent="0.25">
      <c r="A249" s="242">
        <f t="shared" si="5"/>
        <v>50.3</v>
      </c>
      <c r="B249" s="242">
        <f>YEAR(Data_NFI_t[[#This Row],[Distribution Date]])</f>
        <v>2013</v>
      </c>
      <c r="C249" s="913">
        <v>41347</v>
      </c>
      <c r="D249" s="489" t="s">
        <v>285</v>
      </c>
      <c r="E249" s="488"/>
      <c r="F249" s="489" t="s">
        <v>7</v>
      </c>
      <c r="G249" s="790" t="s">
        <v>16</v>
      </c>
      <c r="H249" s="790" t="s">
        <v>56</v>
      </c>
      <c r="I249" s="790">
        <v>0</v>
      </c>
      <c r="J249" s="51">
        <v>68</v>
      </c>
      <c r="K249" s="51"/>
      <c r="L249" s="51">
        <v>136</v>
      </c>
      <c r="M249" s="51">
        <v>68</v>
      </c>
      <c r="N249" s="51">
        <v>136</v>
      </c>
      <c r="O249" s="51">
        <v>68</v>
      </c>
      <c r="P249" s="51">
        <v>68</v>
      </c>
      <c r="Q249" s="51">
        <v>68</v>
      </c>
      <c r="R249" s="511"/>
      <c r="S249" s="51">
        <v>136</v>
      </c>
      <c r="T249" s="51"/>
      <c r="U249" s="51"/>
      <c r="V249" s="51"/>
      <c r="W249" s="51"/>
      <c r="X249" s="131">
        <f>IF(NFI_Expiration=1,IF($A249&lt;VLOOKUP(I$5,NFI,5,0),1,0)*Data_NFI_t[[#This Row],[Hygiene Kit]],0)</f>
        <v>0</v>
      </c>
      <c r="Y249" s="131">
        <f>IF(NFI_Expiration=1,IF($A249&lt;VLOOKUP(J$5,NFI,5,0),1,0)*Data_NFI_t[[#This Row],[NFI Core Kit]],0)</f>
        <v>0</v>
      </c>
      <c r="Z249" s="112">
        <f>IF(NFI_Expiration=1,IF($A249&lt;VLOOKUP(K$5,NFI,5,0),1,0)*Data_NFI_t[[#This Row],[Sanitary Kit]],0)</f>
        <v>0</v>
      </c>
      <c r="AA249" s="112">
        <f>IF(NFI_Expiration=1,IF($A249&lt;VLOOKUP(L$5,NFI,5,0),1,0)*Data_NFI_t[[#This Row],[Mosquito net]],0)</f>
        <v>0</v>
      </c>
      <c r="AB249" s="112">
        <f>IF(NFI_Expiration=1,IF($A249&lt;VLOOKUP(M$5,NFI,5,0),1,0)*Data_NFI_t[[#This Row],[Tarpaulin]],0)</f>
        <v>0</v>
      </c>
      <c r="AC249" s="112">
        <f>IF(NFI_Expiration=1,IF($A249&lt;VLOOKUP(N$5,NFI,5,0),1,0)*Data_NFI_t[[#This Row],[Blanket]],0)</f>
        <v>0</v>
      </c>
      <c r="AD249" s="112">
        <f>IF(NFI_Expiration=1,IF($A249&lt;VLOOKUP(O$5,NFI,5,0),1,0)*Data_NFI_t[[#This Row],[Kitchen Set]],0)</f>
        <v>0</v>
      </c>
      <c r="AE249" s="112">
        <f>IF(NFI_Expiration=1,IF($A249&lt;VLOOKUP(P$5,NFI,5,0),1,0)*Data_NFI_t[[#This Row],[Complementary Kit]],0)</f>
        <v>0</v>
      </c>
      <c r="AF249" s="112">
        <f>IF(NFI_Expiration=1,IF($A249&lt;VLOOKUP(Q$5,NFI,5,0),1,0)*Data_NFI_t[[#This Row],[Plastic Bucket]],0)</f>
        <v>0</v>
      </c>
      <c r="AG249" s="112">
        <f>IF(NFI_Expiration=1,IF($A249&lt;VLOOKUP(R$5,NFI,5,0),1,0)*Data_NFI_t[[#This Row],[Jerry Can]],0)</f>
        <v>0</v>
      </c>
      <c r="AH249" s="131">
        <f>IF(NFI_Expiration=1,IF($A249&lt;VLOOKUP(S$5,NFI,5,0),1,0)*Data_NFI_t[[#This Row],[Plastic Mat]],0)*IF(Data_NFI_t[[#This Row],[Distribution Date]]&gt;"01-06-2015",1,2.5)</f>
        <v>0</v>
      </c>
      <c r="AI249" s="901">
        <f>IF(NFI_Expiration=1,IF($A249&lt;VLOOKUP(T$5,NFI,5,0),1,0)*Data_NFI_t[[#This Row],[Adult Clothes]],0)</f>
        <v>0</v>
      </c>
      <c r="AJ249" s="131">
        <f>IF(NFI_Expiration=1,IF($A249&lt;VLOOKUP(U$5,NFI,5,0),1,0)*Data_NFI_t[[#This Row],[Children Clothes]],0)</f>
        <v>0</v>
      </c>
      <c r="AK249" s="131">
        <f>IF(NFI_Expiration=1,IF($A249&lt;VLOOKUP(V$5,NFI,5,0),1,0)*Data_NFI_t[[#This Row],[Sewing Kit]],0)</f>
        <v>0</v>
      </c>
      <c r="AL249" s="901">
        <f>IF(NFI_Expiration=1,IF($A249&lt;VLOOKUP(V$5,NFI,5,0),1,0)*Data_NFI_t[[#This Row],[Solar Lantern]],0)</f>
        <v>0</v>
      </c>
      <c r="AM249" s="131" t="str">
        <f ca="1">IFERROR(OFFSET(Camp_List[P_Code],MATCH(Data_NFI_t[[#This Row],[Camp Name]],Camp_List[Camp Name],0)-1,0,1,1),"")</f>
        <v>MMR012CMP032</v>
      </c>
      <c r="AN249" s="513" t="str">
        <f ca="1">IFERROR(OFFSET(Camp_List[Status],MATCH(Data_NFI_t[[#This Row],[Camp Name]],Camp_List[Camp Name],0)-1,0,1,1),"")</f>
        <v>Returned</v>
      </c>
      <c r="AO249" s="131"/>
    </row>
    <row r="250" spans="1:41" s="90" customFormat="1" ht="19.5" customHeight="1" x14ac:dyDescent="0.25">
      <c r="A250" s="242">
        <f t="shared" si="5"/>
        <v>50.3</v>
      </c>
      <c r="B250" s="242">
        <f>YEAR(Data_NFI_t[[#This Row],[Distribution Date]])</f>
        <v>2013</v>
      </c>
      <c r="C250" s="913">
        <v>41347</v>
      </c>
      <c r="D250" s="489" t="s">
        <v>285</v>
      </c>
      <c r="E250" s="488"/>
      <c r="F250" s="489" t="s">
        <v>7</v>
      </c>
      <c r="G250" s="790" t="s">
        <v>16</v>
      </c>
      <c r="H250" s="790" t="s">
        <v>56</v>
      </c>
      <c r="I250" s="790">
        <v>0</v>
      </c>
      <c r="J250" s="51"/>
      <c r="K250" s="51">
        <v>136</v>
      </c>
      <c r="L250" s="51">
        <v>136</v>
      </c>
      <c r="M250" s="51">
        <v>68</v>
      </c>
      <c r="N250" s="51">
        <v>0</v>
      </c>
      <c r="O250" s="51"/>
      <c r="P250" s="51"/>
      <c r="Q250" s="51"/>
      <c r="R250" s="511"/>
      <c r="S250" s="51"/>
      <c r="T250" s="51"/>
      <c r="U250" s="51"/>
      <c r="V250" s="51"/>
      <c r="W250" s="51"/>
      <c r="X250" s="131">
        <f>IF(NFI_Expiration=1,IF($A250&lt;VLOOKUP(I$5,NFI,5,0),1,0)*Data_NFI_t[[#This Row],[Hygiene Kit]],0)</f>
        <v>0</v>
      </c>
      <c r="Y250" s="131">
        <f>IF(NFI_Expiration=1,IF($A250&lt;VLOOKUP(J$5,NFI,5,0),1,0)*Data_NFI_t[[#This Row],[NFI Core Kit]],0)</f>
        <v>0</v>
      </c>
      <c r="Z250" s="112">
        <f>IF(NFI_Expiration=1,IF($A250&lt;VLOOKUP(K$5,NFI,5,0),1,0)*Data_NFI_t[[#This Row],[Sanitary Kit]],0)</f>
        <v>0</v>
      </c>
      <c r="AA250" s="112">
        <f>IF(NFI_Expiration=1,IF($A250&lt;VLOOKUP(L$5,NFI,5,0),1,0)*Data_NFI_t[[#This Row],[Mosquito net]],0)</f>
        <v>0</v>
      </c>
      <c r="AB250" s="112">
        <f>IF(NFI_Expiration=1,IF($A250&lt;VLOOKUP(M$5,NFI,5,0),1,0)*Data_NFI_t[[#This Row],[Tarpaulin]],0)</f>
        <v>0</v>
      </c>
      <c r="AC250" s="112">
        <f>IF(NFI_Expiration=1,IF($A250&lt;VLOOKUP(N$5,NFI,5,0),1,0)*Data_NFI_t[[#This Row],[Blanket]],0)</f>
        <v>0</v>
      </c>
      <c r="AD250" s="112">
        <f>IF(NFI_Expiration=1,IF($A250&lt;VLOOKUP(O$5,NFI,5,0),1,0)*Data_NFI_t[[#This Row],[Kitchen Set]],0)</f>
        <v>0</v>
      </c>
      <c r="AE250" s="112">
        <f>IF(NFI_Expiration=1,IF($A250&lt;VLOOKUP(P$5,NFI,5,0),1,0)*Data_NFI_t[[#This Row],[Complementary Kit]],0)</f>
        <v>0</v>
      </c>
      <c r="AF250" s="112">
        <f>IF(NFI_Expiration=1,IF($A250&lt;VLOOKUP(Q$5,NFI,5,0),1,0)*Data_NFI_t[[#This Row],[Plastic Bucket]],0)</f>
        <v>0</v>
      </c>
      <c r="AG250" s="112">
        <f>IF(NFI_Expiration=1,IF($A250&lt;VLOOKUP(R$5,NFI,5,0),1,0)*Data_NFI_t[[#This Row],[Jerry Can]],0)</f>
        <v>0</v>
      </c>
      <c r="AH250" s="131">
        <f>IF(NFI_Expiration=1,IF($A250&lt;VLOOKUP(S$5,NFI,5,0),1,0)*Data_NFI_t[[#This Row],[Plastic Mat]],0)*IF(Data_NFI_t[[#This Row],[Distribution Date]]&gt;"01-06-2015",1,2.5)</f>
        <v>0</v>
      </c>
      <c r="AI250" s="901">
        <f>IF(NFI_Expiration=1,IF($A250&lt;VLOOKUP(T$5,NFI,5,0),1,0)*Data_NFI_t[[#This Row],[Adult Clothes]],0)</f>
        <v>0</v>
      </c>
      <c r="AJ250" s="131">
        <f>IF(NFI_Expiration=1,IF($A250&lt;VLOOKUP(U$5,NFI,5,0),1,0)*Data_NFI_t[[#This Row],[Children Clothes]],0)</f>
        <v>0</v>
      </c>
      <c r="AK250" s="131">
        <f>IF(NFI_Expiration=1,IF($A250&lt;VLOOKUP(V$5,NFI,5,0),1,0)*Data_NFI_t[[#This Row],[Sewing Kit]],0)</f>
        <v>0</v>
      </c>
      <c r="AL250" s="901">
        <f>IF(NFI_Expiration=1,IF($A250&lt;VLOOKUP(V$5,NFI,5,0),1,0)*Data_NFI_t[[#This Row],[Solar Lantern]],0)</f>
        <v>0</v>
      </c>
      <c r="AM250" s="131" t="str">
        <f ca="1">IFERROR(OFFSET(Camp_List[P_Code],MATCH(Data_NFI_t[[#This Row],[Camp Name]],Camp_List[Camp Name],0)-1,0,1,1),"")</f>
        <v>MMR012CMP032</v>
      </c>
      <c r="AN250" s="513" t="str">
        <f ca="1">IFERROR(OFFSET(Camp_List[Status],MATCH(Data_NFI_t[[#This Row],[Camp Name]],Camp_List[Camp Name],0)-1,0,1,1),"")</f>
        <v>Returned</v>
      </c>
      <c r="AO250" s="131"/>
    </row>
    <row r="251" spans="1:41" s="90" customFormat="1" ht="19.5" customHeight="1" x14ac:dyDescent="0.25">
      <c r="A251" s="242">
        <f t="shared" si="5"/>
        <v>50.3</v>
      </c>
      <c r="B251" s="242">
        <f>YEAR(Data_NFI_t[[#This Row],[Distribution Date]])</f>
        <v>2013</v>
      </c>
      <c r="C251" s="913">
        <v>41347</v>
      </c>
      <c r="D251" s="489" t="s">
        <v>285</v>
      </c>
      <c r="E251" s="488"/>
      <c r="F251" s="489" t="s">
        <v>7</v>
      </c>
      <c r="G251" s="790" t="s">
        <v>20</v>
      </c>
      <c r="H251" s="790" t="s">
        <v>105</v>
      </c>
      <c r="I251" s="790">
        <v>0</v>
      </c>
      <c r="J251" s="51">
        <v>79</v>
      </c>
      <c r="K251" s="51"/>
      <c r="L251" s="51">
        <v>158</v>
      </c>
      <c r="M251" s="51">
        <v>79</v>
      </c>
      <c r="N251" s="51">
        <v>158</v>
      </c>
      <c r="O251" s="51">
        <v>79</v>
      </c>
      <c r="P251" s="51">
        <v>79</v>
      </c>
      <c r="Q251" s="51">
        <v>79</v>
      </c>
      <c r="R251" s="511"/>
      <c r="S251" s="51">
        <v>158</v>
      </c>
      <c r="T251" s="51"/>
      <c r="U251" s="51"/>
      <c r="V251" s="51"/>
      <c r="W251" s="51"/>
      <c r="X251" s="131">
        <f>IF(NFI_Expiration=1,IF($A251&lt;VLOOKUP(I$5,NFI,5,0),1,0)*Data_NFI_t[[#This Row],[Hygiene Kit]],0)</f>
        <v>0</v>
      </c>
      <c r="Y251" s="131">
        <f>IF(NFI_Expiration=1,IF($A251&lt;VLOOKUP(J$5,NFI,5,0),1,0)*Data_NFI_t[[#This Row],[NFI Core Kit]],0)</f>
        <v>0</v>
      </c>
      <c r="Z251" s="112">
        <f>IF(NFI_Expiration=1,IF($A251&lt;VLOOKUP(K$5,NFI,5,0),1,0)*Data_NFI_t[[#This Row],[Sanitary Kit]],0)</f>
        <v>0</v>
      </c>
      <c r="AA251" s="112">
        <f>IF(NFI_Expiration=1,IF($A251&lt;VLOOKUP(L$5,NFI,5,0),1,0)*Data_NFI_t[[#This Row],[Mosquito net]],0)</f>
        <v>0</v>
      </c>
      <c r="AB251" s="112">
        <f>IF(NFI_Expiration=1,IF($A251&lt;VLOOKUP(M$5,NFI,5,0),1,0)*Data_NFI_t[[#This Row],[Tarpaulin]],0)</f>
        <v>0</v>
      </c>
      <c r="AC251" s="112">
        <f>IF(NFI_Expiration=1,IF($A251&lt;VLOOKUP(N$5,NFI,5,0),1,0)*Data_NFI_t[[#This Row],[Blanket]],0)</f>
        <v>0</v>
      </c>
      <c r="AD251" s="112">
        <f>IF(NFI_Expiration=1,IF($A251&lt;VLOOKUP(O$5,NFI,5,0),1,0)*Data_NFI_t[[#This Row],[Kitchen Set]],0)</f>
        <v>0</v>
      </c>
      <c r="AE251" s="112">
        <f>IF(NFI_Expiration=1,IF($A251&lt;VLOOKUP(P$5,NFI,5,0),1,0)*Data_NFI_t[[#This Row],[Complementary Kit]],0)</f>
        <v>0</v>
      </c>
      <c r="AF251" s="112">
        <f>IF(NFI_Expiration=1,IF($A251&lt;VLOOKUP(Q$5,NFI,5,0),1,0)*Data_NFI_t[[#This Row],[Plastic Bucket]],0)</f>
        <v>0</v>
      </c>
      <c r="AG251" s="112">
        <f>IF(NFI_Expiration=1,IF($A251&lt;VLOOKUP(R$5,NFI,5,0),1,0)*Data_NFI_t[[#This Row],[Jerry Can]],0)</f>
        <v>0</v>
      </c>
      <c r="AH251" s="131">
        <f>IF(NFI_Expiration=1,IF($A251&lt;VLOOKUP(S$5,NFI,5,0),1,0)*Data_NFI_t[[#This Row],[Plastic Mat]],0)*IF(Data_NFI_t[[#This Row],[Distribution Date]]&gt;"01-06-2015",1,2.5)</f>
        <v>0</v>
      </c>
      <c r="AI251" s="901">
        <f>IF(NFI_Expiration=1,IF($A251&lt;VLOOKUP(T$5,NFI,5,0),1,0)*Data_NFI_t[[#This Row],[Adult Clothes]],0)</f>
        <v>0</v>
      </c>
      <c r="AJ251" s="131">
        <f>IF(NFI_Expiration=1,IF($A251&lt;VLOOKUP(U$5,NFI,5,0),1,0)*Data_NFI_t[[#This Row],[Children Clothes]],0)</f>
        <v>0</v>
      </c>
      <c r="AK251" s="131">
        <f>IF(NFI_Expiration=1,IF($A251&lt;VLOOKUP(V$5,NFI,5,0),1,0)*Data_NFI_t[[#This Row],[Sewing Kit]],0)</f>
        <v>0</v>
      </c>
      <c r="AL251" s="901">
        <f>IF(NFI_Expiration=1,IF($A251&lt;VLOOKUP(V$5,NFI,5,0),1,0)*Data_NFI_t[[#This Row],[Solar Lantern]],0)</f>
        <v>0</v>
      </c>
      <c r="AM251" s="131" t="str">
        <f ca="1">IFERROR(OFFSET(Camp_List[P_Code],MATCH(Data_NFI_t[[#This Row],[Camp Name]],Camp_List[Camp Name],0)-1,0,1,1),"")</f>
        <v>MMR012CMP084</v>
      </c>
      <c r="AN251" s="513" t="str">
        <f ca="1">IFERROR(OFFSET(Camp_List[Status],MATCH(Data_NFI_t[[#This Row],[Camp Name]],Camp_List[Camp Name],0)-1,0,1,1),"")</f>
        <v>Open</v>
      </c>
      <c r="AO251" s="131"/>
    </row>
    <row r="252" spans="1:41" s="90" customFormat="1" ht="19.5" customHeight="1" x14ac:dyDescent="0.25">
      <c r="A252" s="242">
        <f t="shared" si="5"/>
        <v>50.3</v>
      </c>
      <c r="B252" s="242">
        <f>YEAR(Data_NFI_t[[#This Row],[Distribution Date]])</f>
        <v>2013</v>
      </c>
      <c r="C252" s="913">
        <v>41347</v>
      </c>
      <c r="D252" s="489" t="s">
        <v>285</v>
      </c>
      <c r="E252" s="488"/>
      <c r="F252" s="489" t="s">
        <v>7</v>
      </c>
      <c r="G252" s="790" t="s">
        <v>20</v>
      </c>
      <c r="H252" s="790" t="s">
        <v>105</v>
      </c>
      <c r="I252" s="790">
        <v>0</v>
      </c>
      <c r="J252" s="51"/>
      <c r="K252" s="51">
        <v>158</v>
      </c>
      <c r="L252" s="51">
        <v>292</v>
      </c>
      <c r="M252" s="51">
        <v>79</v>
      </c>
      <c r="N252" s="51">
        <v>0</v>
      </c>
      <c r="O252" s="51"/>
      <c r="P252" s="51"/>
      <c r="Q252" s="51"/>
      <c r="R252" s="511"/>
      <c r="S252" s="51"/>
      <c r="T252" s="51"/>
      <c r="U252" s="51"/>
      <c r="V252" s="51"/>
      <c r="W252" s="51"/>
      <c r="X252" s="131">
        <f>IF(NFI_Expiration=1,IF($A252&lt;VLOOKUP(I$5,NFI,5,0),1,0)*Data_NFI_t[[#This Row],[Hygiene Kit]],0)</f>
        <v>0</v>
      </c>
      <c r="Y252" s="131">
        <f>IF(NFI_Expiration=1,IF($A252&lt;VLOOKUP(J$5,NFI,5,0),1,0)*Data_NFI_t[[#This Row],[NFI Core Kit]],0)</f>
        <v>0</v>
      </c>
      <c r="Z252" s="112">
        <f>IF(NFI_Expiration=1,IF($A252&lt;VLOOKUP(K$5,NFI,5,0),1,0)*Data_NFI_t[[#This Row],[Sanitary Kit]],0)</f>
        <v>0</v>
      </c>
      <c r="AA252" s="112">
        <f>IF(NFI_Expiration=1,IF($A252&lt;VLOOKUP(L$5,NFI,5,0),1,0)*Data_NFI_t[[#This Row],[Mosquito net]],0)</f>
        <v>0</v>
      </c>
      <c r="AB252" s="112">
        <f>IF(NFI_Expiration=1,IF($A252&lt;VLOOKUP(M$5,NFI,5,0),1,0)*Data_NFI_t[[#This Row],[Tarpaulin]],0)</f>
        <v>0</v>
      </c>
      <c r="AC252" s="112">
        <f>IF(NFI_Expiration=1,IF($A252&lt;VLOOKUP(N$5,NFI,5,0),1,0)*Data_NFI_t[[#This Row],[Blanket]],0)</f>
        <v>0</v>
      </c>
      <c r="AD252" s="112">
        <f>IF(NFI_Expiration=1,IF($A252&lt;VLOOKUP(O$5,NFI,5,0),1,0)*Data_NFI_t[[#This Row],[Kitchen Set]],0)</f>
        <v>0</v>
      </c>
      <c r="AE252" s="112">
        <f>IF(NFI_Expiration=1,IF($A252&lt;VLOOKUP(P$5,NFI,5,0),1,0)*Data_NFI_t[[#This Row],[Complementary Kit]],0)</f>
        <v>0</v>
      </c>
      <c r="AF252" s="112">
        <f>IF(NFI_Expiration=1,IF($A252&lt;VLOOKUP(Q$5,NFI,5,0),1,0)*Data_NFI_t[[#This Row],[Plastic Bucket]],0)</f>
        <v>0</v>
      </c>
      <c r="AG252" s="112">
        <f>IF(NFI_Expiration=1,IF($A252&lt;VLOOKUP(R$5,NFI,5,0),1,0)*Data_NFI_t[[#This Row],[Jerry Can]],0)</f>
        <v>0</v>
      </c>
      <c r="AH252" s="131">
        <f>IF(NFI_Expiration=1,IF($A252&lt;VLOOKUP(S$5,NFI,5,0),1,0)*Data_NFI_t[[#This Row],[Plastic Mat]],0)*IF(Data_NFI_t[[#This Row],[Distribution Date]]&gt;"01-06-2015",1,2.5)</f>
        <v>0</v>
      </c>
      <c r="AI252" s="901">
        <f>IF(NFI_Expiration=1,IF($A252&lt;VLOOKUP(T$5,NFI,5,0),1,0)*Data_NFI_t[[#This Row],[Adult Clothes]],0)</f>
        <v>0</v>
      </c>
      <c r="AJ252" s="131">
        <f>IF(NFI_Expiration=1,IF($A252&lt;VLOOKUP(U$5,NFI,5,0),1,0)*Data_NFI_t[[#This Row],[Children Clothes]],0)</f>
        <v>0</v>
      </c>
      <c r="AK252" s="131">
        <f>IF(NFI_Expiration=1,IF($A252&lt;VLOOKUP(V$5,NFI,5,0),1,0)*Data_NFI_t[[#This Row],[Sewing Kit]],0)</f>
        <v>0</v>
      </c>
      <c r="AL252" s="901">
        <f>IF(NFI_Expiration=1,IF($A252&lt;VLOOKUP(V$5,NFI,5,0),1,0)*Data_NFI_t[[#This Row],[Solar Lantern]],0)</f>
        <v>0</v>
      </c>
      <c r="AM252" s="131" t="str">
        <f ca="1">IFERROR(OFFSET(Camp_List[P_Code],MATCH(Data_NFI_t[[#This Row],[Camp Name]],Camp_List[Camp Name],0)-1,0,1,1),"")</f>
        <v>MMR012CMP084</v>
      </c>
      <c r="AN252" s="513" t="str">
        <f ca="1">IFERROR(OFFSET(Camp_List[Status],MATCH(Data_NFI_t[[#This Row],[Camp Name]],Camp_List[Camp Name],0)-1,0,1,1),"")</f>
        <v>Open</v>
      </c>
      <c r="AO252" s="131"/>
    </row>
    <row r="253" spans="1:41" s="90" customFormat="1" ht="19.5" customHeight="1" x14ac:dyDescent="0.25">
      <c r="A253" s="242">
        <f t="shared" si="5"/>
        <v>50.3</v>
      </c>
      <c r="B253" s="242">
        <f>YEAR(Data_NFI_t[[#This Row],[Distribution Date]])</f>
        <v>2013</v>
      </c>
      <c r="C253" s="913">
        <v>41347</v>
      </c>
      <c r="D253" s="489" t="s">
        <v>288</v>
      </c>
      <c r="E253" s="488" t="s">
        <v>288</v>
      </c>
      <c r="F253" s="489" t="s">
        <v>7</v>
      </c>
      <c r="G253" s="790" t="s">
        <v>19</v>
      </c>
      <c r="H253" s="790" t="s">
        <v>67</v>
      </c>
      <c r="I253" s="790">
        <v>2907</v>
      </c>
      <c r="J253" s="51"/>
      <c r="K253" s="51"/>
      <c r="L253" s="51"/>
      <c r="M253" s="51"/>
      <c r="N253" s="51"/>
      <c r="O253" s="51"/>
      <c r="P253" s="51"/>
      <c r="Q253" s="51"/>
      <c r="R253" s="511"/>
      <c r="S253" s="51"/>
      <c r="T253" s="51"/>
      <c r="U253" s="51"/>
      <c r="V253" s="51"/>
      <c r="W253" s="51"/>
      <c r="X253" s="131">
        <f>IF(NFI_Expiration=1,IF($A253&lt;VLOOKUP(I$5,NFI,5,0),1,0)*Data_NFI_t[[#This Row],[Hygiene Kit]],0)</f>
        <v>0</v>
      </c>
      <c r="Y253" s="131">
        <f>IF(NFI_Expiration=1,IF($A253&lt;VLOOKUP(J$5,NFI,5,0),1,0)*Data_NFI_t[[#This Row],[NFI Core Kit]],0)</f>
        <v>0</v>
      </c>
      <c r="Z253" s="112">
        <f>IF(NFI_Expiration=1,IF($A253&lt;VLOOKUP(K$5,NFI,5,0),1,0)*Data_NFI_t[[#This Row],[Sanitary Kit]],0)</f>
        <v>0</v>
      </c>
      <c r="AA253" s="112">
        <f>IF(NFI_Expiration=1,IF($A253&lt;VLOOKUP(L$5,NFI,5,0),1,0)*Data_NFI_t[[#This Row],[Mosquito net]],0)</f>
        <v>0</v>
      </c>
      <c r="AB253" s="112">
        <f>IF(NFI_Expiration=1,IF($A253&lt;VLOOKUP(M$5,NFI,5,0),1,0)*Data_NFI_t[[#This Row],[Tarpaulin]],0)</f>
        <v>0</v>
      </c>
      <c r="AC253" s="112">
        <f>IF(NFI_Expiration=1,IF($A253&lt;VLOOKUP(N$5,NFI,5,0),1,0)*Data_NFI_t[[#This Row],[Blanket]],0)</f>
        <v>0</v>
      </c>
      <c r="AD253" s="112">
        <f>IF(NFI_Expiration=1,IF($A253&lt;VLOOKUP(O$5,NFI,5,0),1,0)*Data_NFI_t[[#This Row],[Kitchen Set]],0)</f>
        <v>0</v>
      </c>
      <c r="AE253" s="112">
        <f>IF(NFI_Expiration=1,IF($A253&lt;VLOOKUP(P$5,NFI,5,0),1,0)*Data_NFI_t[[#This Row],[Complementary Kit]],0)</f>
        <v>0</v>
      </c>
      <c r="AF253" s="112">
        <f>IF(NFI_Expiration=1,IF($A253&lt;VLOOKUP(Q$5,NFI,5,0),1,0)*Data_NFI_t[[#This Row],[Plastic Bucket]],0)</f>
        <v>0</v>
      </c>
      <c r="AG253" s="112">
        <f>IF(NFI_Expiration=1,IF($A253&lt;VLOOKUP(R$5,NFI,5,0),1,0)*Data_NFI_t[[#This Row],[Jerry Can]],0)</f>
        <v>0</v>
      </c>
      <c r="AH253" s="131">
        <f>IF(NFI_Expiration=1,IF($A253&lt;VLOOKUP(S$5,NFI,5,0),1,0)*Data_NFI_t[[#This Row],[Plastic Mat]],0)*IF(Data_NFI_t[[#This Row],[Distribution Date]]&gt;"01-06-2015",1,2.5)</f>
        <v>0</v>
      </c>
      <c r="AI253" s="901">
        <f>IF(NFI_Expiration=1,IF($A253&lt;VLOOKUP(T$5,NFI,5,0),1,0)*Data_NFI_t[[#This Row],[Adult Clothes]],0)</f>
        <v>0</v>
      </c>
      <c r="AJ253" s="131">
        <f>IF(NFI_Expiration=1,IF($A253&lt;VLOOKUP(U$5,NFI,5,0),1,0)*Data_NFI_t[[#This Row],[Children Clothes]],0)</f>
        <v>0</v>
      </c>
      <c r="AK253" s="131">
        <f>IF(NFI_Expiration=1,IF($A253&lt;VLOOKUP(V$5,NFI,5,0),1,0)*Data_NFI_t[[#This Row],[Sewing Kit]],0)</f>
        <v>0</v>
      </c>
      <c r="AL253" s="901">
        <f>IF(NFI_Expiration=1,IF($A253&lt;VLOOKUP(V$5,NFI,5,0),1,0)*Data_NFI_t[[#This Row],[Solar Lantern]],0)</f>
        <v>0</v>
      </c>
      <c r="AM253" s="131" t="str">
        <f ca="1">IFERROR(OFFSET(Camp_List[P_Code],MATCH(Data_NFI_t[[#This Row],[Camp Name]],Camp_List[Camp Name],0)-1,0,1,1),"")</f>
        <v>MMR012CMP045</v>
      </c>
      <c r="AN253" s="513" t="str">
        <f ca="1">IFERROR(OFFSET(Camp_List[Status],MATCH(Data_NFI_t[[#This Row],[Camp Name]],Camp_List[Camp Name],0)-1,0,1,1),"")</f>
        <v>Open</v>
      </c>
      <c r="AO253" s="131"/>
    </row>
    <row r="254" spans="1:41" s="90" customFormat="1" ht="19.5" customHeight="1" x14ac:dyDescent="0.25">
      <c r="A254" s="242">
        <f t="shared" si="5"/>
        <v>50.6</v>
      </c>
      <c r="B254" s="242">
        <f>YEAR(Data_NFI_t[[#This Row],[Distribution Date]])</f>
        <v>2013</v>
      </c>
      <c r="C254" s="913">
        <v>41338</v>
      </c>
      <c r="D254" s="489" t="s">
        <v>285</v>
      </c>
      <c r="E254" s="488"/>
      <c r="F254" s="489" t="s">
        <v>7</v>
      </c>
      <c r="G254" s="790" t="s">
        <v>20</v>
      </c>
      <c r="H254" s="790" t="s">
        <v>104</v>
      </c>
      <c r="I254" s="790">
        <v>0</v>
      </c>
      <c r="J254" s="51">
        <v>0</v>
      </c>
      <c r="K254" s="51">
        <v>0</v>
      </c>
      <c r="L254" s="51">
        <v>34</v>
      </c>
      <c r="M254" s="51">
        <v>0</v>
      </c>
      <c r="N254" s="51">
        <v>0</v>
      </c>
      <c r="O254" s="51"/>
      <c r="P254" s="51"/>
      <c r="Q254" s="51"/>
      <c r="R254" s="511"/>
      <c r="S254" s="51"/>
      <c r="T254" s="51"/>
      <c r="U254" s="51"/>
      <c r="V254" s="51"/>
      <c r="W254" s="51"/>
      <c r="X254" s="131">
        <f>IF(NFI_Expiration=1,IF($A254&lt;VLOOKUP(I$5,NFI,5,0),1,0)*Data_NFI_t[[#This Row],[Hygiene Kit]],0)</f>
        <v>0</v>
      </c>
      <c r="Y254" s="131">
        <f>IF(NFI_Expiration=1,IF($A254&lt;VLOOKUP(J$5,NFI,5,0),1,0)*Data_NFI_t[[#This Row],[NFI Core Kit]],0)</f>
        <v>0</v>
      </c>
      <c r="Z254" s="112">
        <f>IF(NFI_Expiration=1,IF($A254&lt;VLOOKUP(K$5,NFI,5,0),1,0)*Data_NFI_t[[#This Row],[Sanitary Kit]],0)</f>
        <v>0</v>
      </c>
      <c r="AA254" s="112">
        <f>IF(NFI_Expiration=1,IF($A254&lt;VLOOKUP(L$5,NFI,5,0),1,0)*Data_NFI_t[[#This Row],[Mosquito net]],0)</f>
        <v>0</v>
      </c>
      <c r="AB254" s="112">
        <f>IF(NFI_Expiration=1,IF($A254&lt;VLOOKUP(M$5,NFI,5,0),1,0)*Data_NFI_t[[#This Row],[Tarpaulin]],0)</f>
        <v>0</v>
      </c>
      <c r="AC254" s="112">
        <f>IF(NFI_Expiration=1,IF($A254&lt;VLOOKUP(N$5,NFI,5,0),1,0)*Data_NFI_t[[#This Row],[Blanket]],0)</f>
        <v>0</v>
      </c>
      <c r="AD254" s="112">
        <f>IF(NFI_Expiration=1,IF($A254&lt;VLOOKUP(O$5,NFI,5,0),1,0)*Data_NFI_t[[#This Row],[Kitchen Set]],0)</f>
        <v>0</v>
      </c>
      <c r="AE254" s="112">
        <f>IF(NFI_Expiration=1,IF($A254&lt;VLOOKUP(P$5,NFI,5,0),1,0)*Data_NFI_t[[#This Row],[Complementary Kit]],0)</f>
        <v>0</v>
      </c>
      <c r="AF254" s="112">
        <f>IF(NFI_Expiration=1,IF($A254&lt;VLOOKUP(Q$5,NFI,5,0),1,0)*Data_NFI_t[[#This Row],[Plastic Bucket]],0)</f>
        <v>0</v>
      </c>
      <c r="AG254" s="112">
        <f>IF(NFI_Expiration=1,IF($A254&lt;VLOOKUP(R$5,NFI,5,0),1,0)*Data_NFI_t[[#This Row],[Jerry Can]],0)</f>
        <v>0</v>
      </c>
      <c r="AH254" s="131">
        <f>IF(NFI_Expiration=1,IF($A254&lt;VLOOKUP(S$5,NFI,5,0),1,0)*Data_NFI_t[[#This Row],[Plastic Mat]],0)*IF(Data_NFI_t[[#This Row],[Distribution Date]]&gt;"01-06-2015",1,2.5)</f>
        <v>0</v>
      </c>
      <c r="AI254" s="901">
        <f>IF(NFI_Expiration=1,IF($A254&lt;VLOOKUP(T$5,NFI,5,0),1,0)*Data_NFI_t[[#This Row],[Adult Clothes]],0)</f>
        <v>0</v>
      </c>
      <c r="AJ254" s="131">
        <f>IF(NFI_Expiration=1,IF($A254&lt;VLOOKUP(U$5,NFI,5,0),1,0)*Data_NFI_t[[#This Row],[Children Clothes]],0)</f>
        <v>0</v>
      </c>
      <c r="AK254" s="131">
        <f>IF(NFI_Expiration=1,IF($A254&lt;VLOOKUP(V$5,NFI,5,0),1,0)*Data_NFI_t[[#This Row],[Sewing Kit]],0)</f>
        <v>0</v>
      </c>
      <c r="AL254" s="901">
        <f>IF(NFI_Expiration=1,IF($A254&lt;VLOOKUP(V$5,NFI,5,0),1,0)*Data_NFI_t[[#This Row],[Solar Lantern]],0)</f>
        <v>0</v>
      </c>
      <c r="AM254" s="131" t="str">
        <f ca="1">IFERROR(OFFSET(Camp_List[P_Code],MATCH(Data_NFI_t[[#This Row],[Camp Name]],Camp_List[Camp Name],0)-1,0,1,1),"")</f>
        <v/>
      </c>
      <c r="AN254" s="513" t="str">
        <f ca="1">IFERROR(OFFSET(Camp_List[Status],MATCH(Data_NFI_t[[#This Row],[Camp Name]],Camp_List[Camp Name],0)-1,0,1,1),"")</f>
        <v/>
      </c>
      <c r="AO254" s="131"/>
    </row>
    <row r="255" spans="1:41" s="90" customFormat="1" ht="19.5" customHeight="1" x14ac:dyDescent="0.25">
      <c r="A255" s="242">
        <f t="shared" si="5"/>
        <v>50.666666666666664</v>
      </c>
      <c r="B255" s="242">
        <f>YEAR(Data_NFI_t[[#This Row],[Distribution Date]])</f>
        <v>2013</v>
      </c>
      <c r="C255" s="913">
        <v>41336</v>
      </c>
      <c r="D255" s="489" t="s">
        <v>285</v>
      </c>
      <c r="E255" s="488"/>
      <c r="F255" s="489" t="s">
        <v>7</v>
      </c>
      <c r="G255" s="790" t="s">
        <v>11</v>
      </c>
      <c r="H255" s="790" t="s">
        <v>31</v>
      </c>
      <c r="I255" s="790"/>
      <c r="J255" s="51"/>
      <c r="K255" s="51"/>
      <c r="L255" s="51"/>
      <c r="M255" s="51"/>
      <c r="N255" s="51">
        <v>33</v>
      </c>
      <c r="O255" s="51"/>
      <c r="P255" s="51"/>
      <c r="Q255" s="51"/>
      <c r="R255" s="511"/>
      <c r="S255" s="51"/>
      <c r="T255" s="51"/>
      <c r="U255" s="51"/>
      <c r="V255" s="51"/>
      <c r="W255" s="51"/>
      <c r="X255" s="131">
        <f>IF(NFI_Expiration=1,IF($A255&lt;VLOOKUP(I$5,NFI,5,0),1,0)*Data_NFI_t[[#This Row],[Hygiene Kit]],0)</f>
        <v>0</v>
      </c>
      <c r="Y255" s="131">
        <f>IF(NFI_Expiration=1,IF($A255&lt;VLOOKUP(J$5,NFI,5,0),1,0)*Data_NFI_t[[#This Row],[NFI Core Kit]],0)</f>
        <v>0</v>
      </c>
      <c r="Z255" s="112">
        <f>IF(NFI_Expiration=1,IF($A255&lt;VLOOKUP(K$5,NFI,5,0),1,0)*Data_NFI_t[[#This Row],[Sanitary Kit]],0)</f>
        <v>0</v>
      </c>
      <c r="AA255" s="112">
        <f>IF(NFI_Expiration=1,IF($A255&lt;VLOOKUP(L$5,NFI,5,0),1,0)*Data_NFI_t[[#This Row],[Mosquito net]],0)</f>
        <v>0</v>
      </c>
      <c r="AB255" s="112">
        <f>IF(NFI_Expiration=1,IF($A255&lt;VLOOKUP(M$5,NFI,5,0),1,0)*Data_NFI_t[[#This Row],[Tarpaulin]],0)</f>
        <v>0</v>
      </c>
      <c r="AC255" s="112">
        <f>IF(NFI_Expiration=1,IF($A255&lt;VLOOKUP(N$5,NFI,5,0),1,0)*Data_NFI_t[[#This Row],[Blanket]],0)</f>
        <v>0</v>
      </c>
      <c r="AD255" s="112">
        <f>IF(NFI_Expiration=1,IF($A255&lt;VLOOKUP(O$5,NFI,5,0),1,0)*Data_NFI_t[[#This Row],[Kitchen Set]],0)</f>
        <v>0</v>
      </c>
      <c r="AE255" s="112">
        <f>IF(NFI_Expiration=1,IF($A255&lt;VLOOKUP(P$5,NFI,5,0),1,0)*Data_NFI_t[[#This Row],[Complementary Kit]],0)</f>
        <v>0</v>
      </c>
      <c r="AF255" s="112">
        <f>IF(NFI_Expiration=1,IF($A255&lt;VLOOKUP(Q$5,NFI,5,0),1,0)*Data_NFI_t[[#This Row],[Plastic Bucket]],0)</f>
        <v>0</v>
      </c>
      <c r="AG255" s="112">
        <f>IF(NFI_Expiration=1,IF($A255&lt;VLOOKUP(R$5,NFI,5,0),1,0)*Data_NFI_t[[#This Row],[Jerry Can]],0)</f>
        <v>0</v>
      </c>
      <c r="AH255" s="131">
        <f>IF(NFI_Expiration=1,IF($A255&lt;VLOOKUP(S$5,NFI,5,0),1,0)*Data_NFI_t[[#This Row],[Plastic Mat]],0)*IF(Data_NFI_t[[#This Row],[Distribution Date]]&gt;"01-06-2015",1,2.5)</f>
        <v>0</v>
      </c>
      <c r="AI255" s="901">
        <f>IF(NFI_Expiration=1,IF($A255&lt;VLOOKUP(T$5,NFI,5,0),1,0)*Data_NFI_t[[#This Row],[Adult Clothes]],0)</f>
        <v>0</v>
      </c>
      <c r="AJ255" s="131">
        <f>IF(NFI_Expiration=1,IF($A255&lt;VLOOKUP(U$5,NFI,5,0),1,0)*Data_NFI_t[[#This Row],[Children Clothes]],0)</f>
        <v>0</v>
      </c>
      <c r="AK255" s="131">
        <f>IF(NFI_Expiration=1,IF($A255&lt;VLOOKUP(V$5,NFI,5,0),1,0)*Data_NFI_t[[#This Row],[Sewing Kit]],0)</f>
        <v>0</v>
      </c>
      <c r="AL255" s="901">
        <f>IF(NFI_Expiration=1,IF($A255&lt;VLOOKUP(V$5,NFI,5,0),1,0)*Data_NFI_t[[#This Row],[Solar Lantern]],0)</f>
        <v>0</v>
      </c>
      <c r="AM255" s="131" t="str">
        <f ca="1">IFERROR(OFFSET(Camp_List[P_Code],MATCH(Data_NFI_t[[#This Row],[Camp Name]],Camp_List[Camp Name],0)-1,0,1,1),"")</f>
        <v>MMR012CMP007</v>
      </c>
      <c r="AN255" s="513" t="str">
        <f ca="1">IFERROR(OFFSET(Camp_List[Status],MATCH(Data_NFI_t[[#This Row],[Camp Name]],Camp_List[Camp Name],0)-1,0,1,1),"")</f>
        <v>Close</v>
      </c>
      <c r="AO255" s="131"/>
    </row>
    <row r="256" spans="1:41" s="90" customFormat="1" ht="19.5" customHeight="1" x14ac:dyDescent="0.25">
      <c r="A256" s="242">
        <f t="shared" si="5"/>
        <v>50.733333333333334</v>
      </c>
      <c r="B256" s="242">
        <f>YEAR(Data_NFI_t[[#This Row],[Distribution Date]])</f>
        <v>2013</v>
      </c>
      <c r="C256" s="913">
        <v>41334</v>
      </c>
      <c r="D256" s="489" t="s">
        <v>285</v>
      </c>
      <c r="E256" s="488"/>
      <c r="F256" s="489" t="s">
        <v>7</v>
      </c>
      <c r="G256" s="790" t="s">
        <v>20</v>
      </c>
      <c r="H256" s="790" t="s">
        <v>107</v>
      </c>
      <c r="I256" s="790">
        <v>0</v>
      </c>
      <c r="J256" s="51">
        <v>51</v>
      </c>
      <c r="K256" s="51"/>
      <c r="L256" s="51">
        <v>102</v>
      </c>
      <c r="M256" s="51">
        <v>51</v>
      </c>
      <c r="N256" s="51">
        <v>102</v>
      </c>
      <c r="O256" s="51">
        <v>51</v>
      </c>
      <c r="P256" s="51">
        <v>51</v>
      </c>
      <c r="Q256" s="51">
        <v>51</v>
      </c>
      <c r="R256" s="511"/>
      <c r="S256" s="51">
        <v>102</v>
      </c>
      <c r="T256" s="51"/>
      <c r="U256" s="51"/>
      <c r="V256" s="51"/>
      <c r="W256" s="51"/>
      <c r="X256" s="131">
        <f>IF(NFI_Expiration=1,IF($A256&lt;VLOOKUP(I$5,NFI,5,0),1,0)*Data_NFI_t[[#This Row],[Hygiene Kit]],0)</f>
        <v>0</v>
      </c>
      <c r="Y256" s="131">
        <f>IF(NFI_Expiration=1,IF($A256&lt;VLOOKUP(J$5,NFI,5,0),1,0)*Data_NFI_t[[#This Row],[NFI Core Kit]],0)</f>
        <v>0</v>
      </c>
      <c r="Z256" s="112">
        <f>IF(NFI_Expiration=1,IF($A256&lt;VLOOKUP(K$5,NFI,5,0),1,0)*Data_NFI_t[[#This Row],[Sanitary Kit]],0)</f>
        <v>0</v>
      </c>
      <c r="AA256" s="112">
        <f>IF(NFI_Expiration=1,IF($A256&lt;VLOOKUP(L$5,NFI,5,0),1,0)*Data_NFI_t[[#This Row],[Mosquito net]],0)</f>
        <v>0</v>
      </c>
      <c r="AB256" s="112">
        <f>IF(NFI_Expiration=1,IF($A256&lt;VLOOKUP(M$5,NFI,5,0),1,0)*Data_NFI_t[[#This Row],[Tarpaulin]],0)</f>
        <v>0</v>
      </c>
      <c r="AC256" s="112">
        <f>IF(NFI_Expiration=1,IF($A256&lt;VLOOKUP(N$5,NFI,5,0),1,0)*Data_NFI_t[[#This Row],[Blanket]],0)</f>
        <v>0</v>
      </c>
      <c r="AD256" s="112">
        <f>IF(NFI_Expiration=1,IF($A256&lt;VLOOKUP(O$5,NFI,5,0),1,0)*Data_NFI_t[[#This Row],[Kitchen Set]],0)</f>
        <v>0</v>
      </c>
      <c r="AE256" s="112">
        <f>IF(NFI_Expiration=1,IF($A256&lt;VLOOKUP(P$5,NFI,5,0),1,0)*Data_NFI_t[[#This Row],[Complementary Kit]],0)</f>
        <v>0</v>
      </c>
      <c r="AF256" s="112">
        <f>IF(NFI_Expiration=1,IF($A256&lt;VLOOKUP(Q$5,NFI,5,0),1,0)*Data_NFI_t[[#This Row],[Plastic Bucket]],0)</f>
        <v>0</v>
      </c>
      <c r="AG256" s="112">
        <f>IF(NFI_Expiration=1,IF($A256&lt;VLOOKUP(R$5,NFI,5,0),1,0)*Data_NFI_t[[#This Row],[Jerry Can]],0)</f>
        <v>0</v>
      </c>
      <c r="AH256" s="131">
        <f>IF(NFI_Expiration=1,IF($A256&lt;VLOOKUP(S$5,NFI,5,0),1,0)*Data_NFI_t[[#This Row],[Plastic Mat]],0)*IF(Data_NFI_t[[#This Row],[Distribution Date]]&gt;"01-06-2015",1,2.5)</f>
        <v>0</v>
      </c>
      <c r="AI256" s="901">
        <f>IF(NFI_Expiration=1,IF($A256&lt;VLOOKUP(T$5,NFI,5,0),1,0)*Data_NFI_t[[#This Row],[Adult Clothes]],0)</f>
        <v>0</v>
      </c>
      <c r="AJ256" s="131">
        <f>IF(NFI_Expiration=1,IF($A256&lt;VLOOKUP(U$5,NFI,5,0),1,0)*Data_NFI_t[[#This Row],[Children Clothes]],0)</f>
        <v>0</v>
      </c>
      <c r="AK256" s="131">
        <f>IF(NFI_Expiration=1,IF($A256&lt;VLOOKUP(V$5,NFI,5,0),1,0)*Data_NFI_t[[#This Row],[Sewing Kit]],0)</f>
        <v>0</v>
      </c>
      <c r="AL256" s="901">
        <f>IF(NFI_Expiration=1,IF($A256&lt;VLOOKUP(V$5,NFI,5,0),1,0)*Data_NFI_t[[#This Row],[Solar Lantern]],0)</f>
        <v>0</v>
      </c>
      <c r="AM256" s="131" t="str">
        <f ca="1">IFERROR(OFFSET(Camp_List[P_Code],MATCH(Data_NFI_t[[#This Row],[Camp Name]],Camp_List[Camp Name],0)-1,0,1,1),"")</f>
        <v>MMR012CMP086</v>
      </c>
      <c r="AN256" s="513" t="str">
        <f ca="1">IFERROR(OFFSET(Camp_List[Status],MATCH(Data_NFI_t[[#This Row],[Camp Name]],Camp_List[Camp Name],0)-1,0,1,1),"")</f>
        <v>Open</v>
      </c>
      <c r="AO256" s="131"/>
    </row>
    <row r="257" spans="1:41" s="90" customFormat="1" ht="19.5" customHeight="1" x14ac:dyDescent="0.25">
      <c r="A257" s="242">
        <f t="shared" si="5"/>
        <v>50.733333333333334</v>
      </c>
      <c r="B257" s="242">
        <f>YEAR(Data_NFI_t[[#This Row],[Distribution Date]])</f>
        <v>2013</v>
      </c>
      <c r="C257" s="913">
        <v>41334</v>
      </c>
      <c r="D257" s="489" t="s">
        <v>285</v>
      </c>
      <c r="E257" s="488"/>
      <c r="F257" s="489" t="s">
        <v>7</v>
      </c>
      <c r="G257" s="790" t="s">
        <v>20</v>
      </c>
      <c r="H257" s="790" t="s">
        <v>107</v>
      </c>
      <c r="I257" s="790">
        <v>0</v>
      </c>
      <c r="J257" s="51"/>
      <c r="K257" s="51">
        <v>102</v>
      </c>
      <c r="L257" s="51">
        <v>156</v>
      </c>
      <c r="M257" s="51">
        <v>51</v>
      </c>
      <c r="N257" s="51">
        <v>0</v>
      </c>
      <c r="O257" s="51"/>
      <c r="P257" s="51"/>
      <c r="Q257" s="51"/>
      <c r="R257" s="511"/>
      <c r="S257" s="51"/>
      <c r="T257" s="51"/>
      <c r="U257" s="51"/>
      <c r="V257" s="51"/>
      <c r="W257" s="51"/>
      <c r="X257" s="131">
        <f>IF(NFI_Expiration=1,IF($A257&lt;VLOOKUP(I$5,NFI,5,0),1,0)*Data_NFI_t[[#This Row],[Hygiene Kit]],0)</f>
        <v>0</v>
      </c>
      <c r="Y257" s="131">
        <f>IF(NFI_Expiration=1,IF($A257&lt;VLOOKUP(J$5,NFI,5,0),1,0)*Data_NFI_t[[#This Row],[NFI Core Kit]],0)</f>
        <v>0</v>
      </c>
      <c r="Z257" s="112">
        <f>IF(NFI_Expiration=1,IF($A257&lt;VLOOKUP(K$5,NFI,5,0),1,0)*Data_NFI_t[[#This Row],[Sanitary Kit]],0)</f>
        <v>0</v>
      </c>
      <c r="AA257" s="112">
        <f>IF(NFI_Expiration=1,IF($A257&lt;VLOOKUP(L$5,NFI,5,0),1,0)*Data_NFI_t[[#This Row],[Mosquito net]],0)</f>
        <v>0</v>
      </c>
      <c r="AB257" s="112">
        <f>IF(NFI_Expiration=1,IF($A257&lt;VLOOKUP(M$5,NFI,5,0),1,0)*Data_NFI_t[[#This Row],[Tarpaulin]],0)</f>
        <v>0</v>
      </c>
      <c r="AC257" s="112">
        <f>IF(NFI_Expiration=1,IF($A257&lt;VLOOKUP(N$5,NFI,5,0),1,0)*Data_NFI_t[[#This Row],[Blanket]],0)</f>
        <v>0</v>
      </c>
      <c r="AD257" s="112">
        <f>IF(NFI_Expiration=1,IF($A257&lt;VLOOKUP(O$5,NFI,5,0),1,0)*Data_NFI_t[[#This Row],[Kitchen Set]],0)</f>
        <v>0</v>
      </c>
      <c r="AE257" s="112">
        <f>IF(NFI_Expiration=1,IF($A257&lt;VLOOKUP(P$5,NFI,5,0),1,0)*Data_NFI_t[[#This Row],[Complementary Kit]],0)</f>
        <v>0</v>
      </c>
      <c r="AF257" s="112">
        <f>IF(NFI_Expiration=1,IF($A257&lt;VLOOKUP(Q$5,NFI,5,0),1,0)*Data_NFI_t[[#This Row],[Plastic Bucket]],0)</f>
        <v>0</v>
      </c>
      <c r="AG257" s="112">
        <f>IF(NFI_Expiration=1,IF($A257&lt;VLOOKUP(R$5,NFI,5,0),1,0)*Data_NFI_t[[#This Row],[Jerry Can]],0)</f>
        <v>0</v>
      </c>
      <c r="AH257" s="131">
        <f>IF(NFI_Expiration=1,IF($A257&lt;VLOOKUP(S$5,NFI,5,0),1,0)*Data_NFI_t[[#This Row],[Plastic Mat]],0)*IF(Data_NFI_t[[#This Row],[Distribution Date]]&gt;"01-06-2015",1,2.5)</f>
        <v>0</v>
      </c>
      <c r="AI257" s="901">
        <f>IF(NFI_Expiration=1,IF($A257&lt;VLOOKUP(T$5,NFI,5,0),1,0)*Data_NFI_t[[#This Row],[Adult Clothes]],0)</f>
        <v>0</v>
      </c>
      <c r="AJ257" s="131">
        <f>IF(NFI_Expiration=1,IF($A257&lt;VLOOKUP(U$5,NFI,5,0),1,0)*Data_NFI_t[[#This Row],[Children Clothes]],0)</f>
        <v>0</v>
      </c>
      <c r="AK257" s="131">
        <f>IF(NFI_Expiration=1,IF($A257&lt;VLOOKUP(V$5,NFI,5,0),1,0)*Data_NFI_t[[#This Row],[Sewing Kit]],0)</f>
        <v>0</v>
      </c>
      <c r="AL257" s="901">
        <f>IF(NFI_Expiration=1,IF($A257&lt;VLOOKUP(V$5,NFI,5,0),1,0)*Data_NFI_t[[#This Row],[Solar Lantern]],0)</f>
        <v>0</v>
      </c>
      <c r="AM257" s="131" t="str">
        <f ca="1">IFERROR(OFFSET(Camp_List[P_Code],MATCH(Data_NFI_t[[#This Row],[Camp Name]],Camp_List[Camp Name],0)-1,0,1,1),"")</f>
        <v>MMR012CMP086</v>
      </c>
      <c r="AN257" s="513" t="str">
        <f ca="1">IFERROR(OFFSET(Camp_List[Status],MATCH(Data_NFI_t[[#This Row],[Camp Name]],Camp_List[Camp Name],0)-1,0,1,1),"")</f>
        <v>Open</v>
      </c>
      <c r="AO257" s="131"/>
    </row>
    <row r="258" spans="1:41" s="90" customFormat="1" ht="19.5" customHeight="1" x14ac:dyDescent="0.25">
      <c r="A258" s="242">
        <f t="shared" si="5"/>
        <v>50.8</v>
      </c>
      <c r="B258" s="242">
        <f>YEAR(Data_NFI_t[[#This Row],[Distribution Date]])</f>
        <v>2013</v>
      </c>
      <c r="C258" s="913">
        <v>41332</v>
      </c>
      <c r="D258" s="489" t="s">
        <v>285</v>
      </c>
      <c r="E258" s="488"/>
      <c r="F258" s="489" t="s">
        <v>7</v>
      </c>
      <c r="G258" s="790" t="s">
        <v>20</v>
      </c>
      <c r="H258" s="790" t="s">
        <v>105</v>
      </c>
      <c r="I258" s="790">
        <v>0</v>
      </c>
      <c r="J258" s="51">
        <v>50</v>
      </c>
      <c r="K258" s="51"/>
      <c r="L258" s="51">
        <v>100</v>
      </c>
      <c r="M258" s="51">
        <v>50</v>
      </c>
      <c r="N258" s="51">
        <v>100</v>
      </c>
      <c r="O258" s="51">
        <v>50</v>
      </c>
      <c r="P258" s="51">
        <v>50</v>
      </c>
      <c r="Q258" s="51">
        <v>50</v>
      </c>
      <c r="R258" s="511"/>
      <c r="S258" s="51">
        <v>100</v>
      </c>
      <c r="T258" s="51"/>
      <c r="U258" s="51"/>
      <c r="V258" s="51"/>
      <c r="W258" s="51"/>
      <c r="X258" s="131">
        <f>IF(NFI_Expiration=1,IF($A258&lt;VLOOKUP(I$5,NFI,5,0),1,0)*Data_NFI_t[[#This Row],[Hygiene Kit]],0)</f>
        <v>0</v>
      </c>
      <c r="Y258" s="131">
        <f>IF(NFI_Expiration=1,IF($A258&lt;VLOOKUP(J$5,NFI,5,0),1,0)*Data_NFI_t[[#This Row],[NFI Core Kit]],0)</f>
        <v>0</v>
      </c>
      <c r="Z258" s="112">
        <f>IF(NFI_Expiration=1,IF($A258&lt;VLOOKUP(K$5,NFI,5,0),1,0)*Data_NFI_t[[#This Row],[Sanitary Kit]],0)</f>
        <v>0</v>
      </c>
      <c r="AA258" s="112">
        <f>IF(NFI_Expiration=1,IF($A258&lt;VLOOKUP(L$5,NFI,5,0),1,0)*Data_NFI_t[[#This Row],[Mosquito net]],0)</f>
        <v>0</v>
      </c>
      <c r="AB258" s="112">
        <f>IF(NFI_Expiration=1,IF($A258&lt;VLOOKUP(M$5,NFI,5,0),1,0)*Data_NFI_t[[#This Row],[Tarpaulin]],0)</f>
        <v>0</v>
      </c>
      <c r="AC258" s="112">
        <f>IF(NFI_Expiration=1,IF($A258&lt;VLOOKUP(N$5,NFI,5,0),1,0)*Data_NFI_t[[#This Row],[Blanket]],0)</f>
        <v>0</v>
      </c>
      <c r="AD258" s="112">
        <f>IF(NFI_Expiration=1,IF($A258&lt;VLOOKUP(O$5,NFI,5,0),1,0)*Data_NFI_t[[#This Row],[Kitchen Set]],0)</f>
        <v>0</v>
      </c>
      <c r="AE258" s="112">
        <f>IF(NFI_Expiration=1,IF($A258&lt;VLOOKUP(P$5,NFI,5,0),1,0)*Data_NFI_t[[#This Row],[Complementary Kit]],0)</f>
        <v>0</v>
      </c>
      <c r="AF258" s="112">
        <f>IF(NFI_Expiration=1,IF($A258&lt;VLOOKUP(Q$5,NFI,5,0),1,0)*Data_NFI_t[[#This Row],[Plastic Bucket]],0)</f>
        <v>0</v>
      </c>
      <c r="AG258" s="112">
        <f>IF(NFI_Expiration=1,IF($A258&lt;VLOOKUP(R$5,NFI,5,0),1,0)*Data_NFI_t[[#This Row],[Jerry Can]],0)</f>
        <v>0</v>
      </c>
      <c r="AH258" s="131">
        <f>IF(NFI_Expiration=1,IF($A258&lt;VLOOKUP(S$5,NFI,5,0),1,0)*Data_NFI_t[[#This Row],[Plastic Mat]],0)*IF(Data_NFI_t[[#This Row],[Distribution Date]]&gt;"01-06-2015",1,2.5)</f>
        <v>0</v>
      </c>
      <c r="AI258" s="901">
        <f>IF(NFI_Expiration=1,IF($A258&lt;VLOOKUP(T$5,NFI,5,0),1,0)*Data_NFI_t[[#This Row],[Adult Clothes]],0)</f>
        <v>0</v>
      </c>
      <c r="AJ258" s="131">
        <f>IF(NFI_Expiration=1,IF($A258&lt;VLOOKUP(U$5,NFI,5,0),1,0)*Data_NFI_t[[#This Row],[Children Clothes]],0)</f>
        <v>0</v>
      </c>
      <c r="AK258" s="131">
        <f>IF(NFI_Expiration=1,IF($A258&lt;VLOOKUP(V$5,NFI,5,0),1,0)*Data_NFI_t[[#This Row],[Sewing Kit]],0)</f>
        <v>0</v>
      </c>
      <c r="AL258" s="901">
        <f>IF(NFI_Expiration=1,IF($A258&lt;VLOOKUP(V$5,NFI,5,0),1,0)*Data_NFI_t[[#This Row],[Solar Lantern]],0)</f>
        <v>0</v>
      </c>
      <c r="AM258" s="131" t="str">
        <f ca="1">IFERROR(OFFSET(Camp_List[P_Code],MATCH(Data_NFI_t[[#This Row],[Camp Name]],Camp_List[Camp Name],0)-1,0,1,1),"")</f>
        <v>MMR012CMP084</v>
      </c>
      <c r="AN258" s="513" t="str">
        <f ca="1">IFERROR(OFFSET(Camp_List[Status],MATCH(Data_NFI_t[[#This Row],[Camp Name]],Camp_List[Camp Name],0)-1,0,1,1),"")</f>
        <v>Open</v>
      </c>
      <c r="AO258" s="131"/>
    </row>
    <row r="259" spans="1:41" s="90" customFormat="1" ht="19.5" customHeight="1" x14ac:dyDescent="0.25">
      <c r="A259" s="242">
        <f t="shared" si="5"/>
        <v>50.8</v>
      </c>
      <c r="B259" s="242">
        <f>YEAR(Data_NFI_t[[#This Row],[Distribution Date]])</f>
        <v>2013</v>
      </c>
      <c r="C259" s="913">
        <v>41332</v>
      </c>
      <c r="D259" s="489" t="s">
        <v>285</v>
      </c>
      <c r="E259" s="488"/>
      <c r="F259" s="489" t="s">
        <v>7</v>
      </c>
      <c r="G259" s="790" t="s">
        <v>20</v>
      </c>
      <c r="H259" s="790" t="s">
        <v>105</v>
      </c>
      <c r="I259" s="790">
        <v>0</v>
      </c>
      <c r="J259" s="51"/>
      <c r="K259" s="51">
        <v>100</v>
      </c>
      <c r="L259" s="51">
        <v>171</v>
      </c>
      <c r="M259" s="51">
        <v>50</v>
      </c>
      <c r="N259" s="51">
        <v>0</v>
      </c>
      <c r="O259" s="51"/>
      <c r="P259" s="51"/>
      <c r="Q259" s="51"/>
      <c r="R259" s="511"/>
      <c r="S259" s="51"/>
      <c r="T259" s="51"/>
      <c r="U259" s="51"/>
      <c r="V259" s="51"/>
      <c r="W259" s="51"/>
      <c r="X259" s="131">
        <f>IF(NFI_Expiration=1,IF($A259&lt;VLOOKUP(I$5,NFI,5,0),1,0)*Data_NFI_t[[#This Row],[Hygiene Kit]],0)</f>
        <v>0</v>
      </c>
      <c r="Y259" s="131">
        <f>IF(NFI_Expiration=1,IF($A259&lt;VLOOKUP(J$5,NFI,5,0),1,0)*Data_NFI_t[[#This Row],[NFI Core Kit]],0)</f>
        <v>0</v>
      </c>
      <c r="Z259" s="112">
        <f>IF(NFI_Expiration=1,IF($A259&lt;VLOOKUP(K$5,NFI,5,0),1,0)*Data_NFI_t[[#This Row],[Sanitary Kit]],0)</f>
        <v>0</v>
      </c>
      <c r="AA259" s="112">
        <f>IF(NFI_Expiration=1,IF($A259&lt;VLOOKUP(L$5,NFI,5,0),1,0)*Data_NFI_t[[#This Row],[Mosquito net]],0)</f>
        <v>0</v>
      </c>
      <c r="AB259" s="112">
        <f>IF(NFI_Expiration=1,IF($A259&lt;VLOOKUP(M$5,NFI,5,0),1,0)*Data_NFI_t[[#This Row],[Tarpaulin]],0)</f>
        <v>0</v>
      </c>
      <c r="AC259" s="112">
        <f>IF(NFI_Expiration=1,IF($A259&lt;VLOOKUP(N$5,NFI,5,0),1,0)*Data_NFI_t[[#This Row],[Blanket]],0)</f>
        <v>0</v>
      </c>
      <c r="AD259" s="112">
        <f>IF(NFI_Expiration=1,IF($A259&lt;VLOOKUP(O$5,NFI,5,0),1,0)*Data_NFI_t[[#This Row],[Kitchen Set]],0)</f>
        <v>0</v>
      </c>
      <c r="AE259" s="112">
        <f>IF(NFI_Expiration=1,IF($A259&lt;VLOOKUP(P$5,NFI,5,0),1,0)*Data_NFI_t[[#This Row],[Complementary Kit]],0)</f>
        <v>0</v>
      </c>
      <c r="AF259" s="112">
        <f>IF(NFI_Expiration=1,IF($A259&lt;VLOOKUP(Q$5,NFI,5,0),1,0)*Data_NFI_t[[#This Row],[Plastic Bucket]],0)</f>
        <v>0</v>
      </c>
      <c r="AG259" s="112">
        <f>IF(NFI_Expiration=1,IF($A259&lt;VLOOKUP(R$5,NFI,5,0),1,0)*Data_NFI_t[[#This Row],[Jerry Can]],0)</f>
        <v>0</v>
      </c>
      <c r="AH259" s="131">
        <f>IF(NFI_Expiration=1,IF($A259&lt;VLOOKUP(S$5,NFI,5,0),1,0)*Data_NFI_t[[#This Row],[Plastic Mat]],0)*IF(Data_NFI_t[[#This Row],[Distribution Date]]&gt;"01-06-2015",1,2.5)</f>
        <v>0</v>
      </c>
      <c r="AI259" s="901">
        <f>IF(NFI_Expiration=1,IF($A259&lt;VLOOKUP(T$5,NFI,5,0),1,0)*Data_NFI_t[[#This Row],[Adult Clothes]],0)</f>
        <v>0</v>
      </c>
      <c r="AJ259" s="131">
        <f>IF(NFI_Expiration=1,IF($A259&lt;VLOOKUP(U$5,NFI,5,0),1,0)*Data_NFI_t[[#This Row],[Children Clothes]],0)</f>
        <v>0</v>
      </c>
      <c r="AK259" s="131">
        <f>IF(NFI_Expiration=1,IF($A259&lt;VLOOKUP(V$5,NFI,5,0),1,0)*Data_NFI_t[[#This Row],[Sewing Kit]],0)</f>
        <v>0</v>
      </c>
      <c r="AL259" s="901">
        <f>IF(NFI_Expiration=1,IF($A259&lt;VLOOKUP(V$5,NFI,5,0),1,0)*Data_NFI_t[[#This Row],[Solar Lantern]],0)</f>
        <v>0</v>
      </c>
      <c r="AM259" s="131" t="str">
        <f ca="1">IFERROR(OFFSET(Camp_List[P_Code],MATCH(Data_NFI_t[[#This Row],[Camp Name]],Camp_List[Camp Name],0)-1,0,1,1),"")</f>
        <v>MMR012CMP084</v>
      </c>
      <c r="AN259" s="513" t="str">
        <f ca="1">IFERROR(OFFSET(Camp_List[Status],MATCH(Data_NFI_t[[#This Row],[Camp Name]],Camp_List[Camp Name],0)-1,0,1,1),"")</f>
        <v>Open</v>
      </c>
      <c r="AO259" s="131"/>
    </row>
    <row r="260" spans="1:41" s="90" customFormat="1" ht="19.5" customHeight="1" x14ac:dyDescent="0.25">
      <c r="A260" s="242">
        <f t="shared" si="5"/>
        <v>50.8</v>
      </c>
      <c r="B260" s="242">
        <f>YEAR(Data_NFI_t[[#This Row],[Distribution Date]])</f>
        <v>2013</v>
      </c>
      <c r="C260" s="913">
        <v>41332</v>
      </c>
      <c r="D260" s="489" t="s">
        <v>286</v>
      </c>
      <c r="E260" s="488"/>
      <c r="F260" s="489" t="s">
        <v>7</v>
      </c>
      <c r="G260" s="790" t="s">
        <v>19</v>
      </c>
      <c r="H260" s="790" t="s">
        <v>65</v>
      </c>
      <c r="I260" s="790">
        <v>0</v>
      </c>
      <c r="J260" s="51">
        <v>800</v>
      </c>
      <c r="K260" s="51"/>
      <c r="L260" s="51">
        <v>1600</v>
      </c>
      <c r="M260" s="51">
        <v>800</v>
      </c>
      <c r="N260" s="51">
        <v>1600</v>
      </c>
      <c r="O260" s="51">
        <v>800</v>
      </c>
      <c r="P260" s="51">
        <v>800</v>
      </c>
      <c r="Q260" s="51">
        <v>800</v>
      </c>
      <c r="R260" s="511"/>
      <c r="S260" s="51">
        <v>1600</v>
      </c>
      <c r="T260" s="51"/>
      <c r="U260" s="51"/>
      <c r="V260" s="51"/>
      <c r="W260" s="51"/>
      <c r="X260" s="131">
        <f>IF(NFI_Expiration=1,IF($A260&lt;VLOOKUP(I$5,NFI,5,0),1,0)*Data_NFI_t[[#This Row],[Hygiene Kit]],0)</f>
        <v>0</v>
      </c>
      <c r="Y260" s="131">
        <f>IF(NFI_Expiration=1,IF($A260&lt;VLOOKUP(J$5,NFI,5,0),1,0)*Data_NFI_t[[#This Row],[NFI Core Kit]],0)</f>
        <v>0</v>
      </c>
      <c r="Z260" s="112">
        <f>IF(NFI_Expiration=1,IF($A260&lt;VLOOKUP(K$5,NFI,5,0),1,0)*Data_NFI_t[[#This Row],[Sanitary Kit]],0)</f>
        <v>0</v>
      </c>
      <c r="AA260" s="112">
        <f>IF(NFI_Expiration=1,IF($A260&lt;VLOOKUP(L$5,NFI,5,0),1,0)*Data_NFI_t[[#This Row],[Mosquito net]],0)</f>
        <v>0</v>
      </c>
      <c r="AB260" s="112">
        <f>IF(NFI_Expiration=1,IF($A260&lt;VLOOKUP(M$5,NFI,5,0),1,0)*Data_NFI_t[[#This Row],[Tarpaulin]],0)</f>
        <v>0</v>
      </c>
      <c r="AC260" s="112">
        <f>IF(NFI_Expiration=1,IF($A260&lt;VLOOKUP(N$5,NFI,5,0),1,0)*Data_NFI_t[[#This Row],[Blanket]],0)</f>
        <v>0</v>
      </c>
      <c r="AD260" s="112">
        <f>IF(NFI_Expiration=1,IF($A260&lt;VLOOKUP(O$5,NFI,5,0),1,0)*Data_NFI_t[[#This Row],[Kitchen Set]],0)</f>
        <v>0</v>
      </c>
      <c r="AE260" s="112">
        <f>IF(NFI_Expiration=1,IF($A260&lt;VLOOKUP(P$5,NFI,5,0),1,0)*Data_NFI_t[[#This Row],[Complementary Kit]],0)</f>
        <v>0</v>
      </c>
      <c r="AF260" s="112">
        <f>IF(NFI_Expiration=1,IF($A260&lt;VLOOKUP(Q$5,NFI,5,0),1,0)*Data_NFI_t[[#This Row],[Plastic Bucket]],0)</f>
        <v>0</v>
      </c>
      <c r="AG260" s="112">
        <f>IF(NFI_Expiration=1,IF($A260&lt;VLOOKUP(R$5,NFI,5,0),1,0)*Data_NFI_t[[#This Row],[Jerry Can]],0)</f>
        <v>0</v>
      </c>
      <c r="AH260" s="131">
        <f>IF(NFI_Expiration=1,IF($A260&lt;VLOOKUP(S$5,NFI,5,0),1,0)*Data_NFI_t[[#This Row],[Plastic Mat]],0)*IF(Data_NFI_t[[#This Row],[Distribution Date]]&gt;"01-06-2015",1,2.5)</f>
        <v>0</v>
      </c>
      <c r="AI260" s="901">
        <f>IF(NFI_Expiration=1,IF($A260&lt;VLOOKUP(T$5,NFI,5,0),1,0)*Data_NFI_t[[#This Row],[Adult Clothes]],0)</f>
        <v>0</v>
      </c>
      <c r="AJ260" s="131">
        <f>IF(NFI_Expiration=1,IF($A260&lt;VLOOKUP(U$5,NFI,5,0),1,0)*Data_NFI_t[[#This Row],[Children Clothes]],0)</f>
        <v>0</v>
      </c>
      <c r="AK260" s="131">
        <f>IF(NFI_Expiration=1,IF($A260&lt;VLOOKUP(V$5,NFI,5,0),1,0)*Data_NFI_t[[#This Row],[Sewing Kit]],0)</f>
        <v>0</v>
      </c>
      <c r="AL260" s="901">
        <f>IF(NFI_Expiration=1,IF($A260&lt;VLOOKUP(V$5,NFI,5,0),1,0)*Data_NFI_t[[#This Row],[Solar Lantern]],0)</f>
        <v>0</v>
      </c>
      <c r="AM260" s="131" t="str">
        <f ca="1">IFERROR(OFFSET(Camp_List[P_Code],MATCH(Data_NFI_t[[#This Row],[Camp Name]],Camp_List[Camp Name],0)-1,0,1,1),"")</f>
        <v>MMR012CMP043</v>
      </c>
      <c r="AN260" s="513" t="str">
        <f ca="1">IFERROR(OFFSET(Camp_List[Status],MATCH(Data_NFI_t[[#This Row],[Camp Name]],Camp_List[Camp Name],0)-1,0,1,1),"")</f>
        <v>Close</v>
      </c>
      <c r="AO260" s="131"/>
    </row>
    <row r="261" spans="1:41" s="90" customFormat="1" ht="19.5" customHeight="1" x14ac:dyDescent="0.25">
      <c r="A261" s="242">
        <f t="shared" si="5"/>
        <v>50.8</v>
      </c>
      <c r="B261" s="242">
        <f>YEAR(Data_NFI_t[[#This Row],[Distribution Date]])</f>
        <v>2013</v>
      </c>
      <c r="C261" s="913">
        <v>41332</v>
      </c>
      <c r="D261" s="489" t="s">
        <v>286</v>
      </c>
      <c r="E261" s="488"/>
      <c r="F261" s="489" t="s">
        <v>7</v>
      </c>
      <c r="G261" s="790" t="s">
        <v>19</v>
      </c>
      <c r="H261" s="790" t="s">
        <v>65</v>
      </c>
      <c r="I261" s="790">
        <v>0</v>
      </c>
      <c r="J261" s="51"/>
      <c r="K261" s="51"/>
      <c r="L261" s="51"/>
      <c r="M261" s="51"/>
      <c r="N261" s="51"/>
      <c r="O261" s="51"/>
      <c r="P261" s="51"/>
      <c r="Q261" s="51"/>
      <c r="R261" s="511"/>
      <c r="S261" s="51"/>
      <c r="T261" s="51"/>
      <c r="U261" s="51"/>
      <c r="V261" s="51"/>
      <c r="W261" s="51"/>
      <c r="X261" s="131">
        <f>IF(NFI_Expiration=1,IF($A261&lt;VLOOKUP(I$5,NFI,5,0),1,0)*Data_NFI_t[[#This Row],[Hygiene Kit]],0)</f>
        <v>0</v>
      </c>
      <c r="Y261" s="131">
        <f>IF(NFI_Expiration=1,IF($A261&lt;VLOOKUP(J$5,NFI,5,0),1,0)*Data_NFI_t[[#This Row],[NFI Core Kit]],0)</f>
        <v>0</v>
      </c>
      <c r="Z261" s="112">
        <f>IF(NFI_Expiration=1,IF($A261&lt;VLOOKUP(K$5,NFI,5,0),1,0)*Data_NFI_t[[#This Row],[Sanitary Kit]],0)</f>
        <v>0</v>
      </c>
      <c r="AA261" s="112">
        <f>IF(NFI_Expiration=1,IF($A261&lt;VLOOKUP(L$5,NFI,5,0),1,0)*Data_NFI_t[[#This Row],[Mosquito net]],0)</f>
        <v>0</v>
      </c>
      <c r="AB261" s="112">
        <f>IF(NFI_Expiration=1,IF($A261&lt;VLOOKUP(M$5,NFI,5,0),1,0)*Data_NFI_t[[#This Row],[Tarpaulin]],0)</f>
        <v>0</v>
      </c>
      <c r="AC261" s="112">
        <f>IF(NFI_Expiration=1,IF($A261&lt;VLOOKUP(N$5,NFI,5,0),1,0)*Data_NFI_t[[#This Row],[Blanket]],0)</f>
        <v>0</v>
      </c>
      <c r="AD261" s="112">
        <f>IF(NFI_Expiration=1,IF($A261&lt;VLOOKUP(O$5,NFI,5,0),1,0)*Data_NFI_t[[#This Row],[Kitchen Set]],0)</f>
        <v>0</v>
      </c>
      <c r="AE261" s="112">
        <f>IF(NFI_Expiration=1,IF($A261&lt;VLOOKUP(P$5,NFI,5,0),1,0)*Data_NFI_t[[#This Row],[Complementary Kit]],0)</f>
        <v>0</v>
      </c>
      <c r="AF261" s="112">
        <f>IF(NFI_Expiration=1,IF($A261&lt;VLOOKUP(Q$5,NFI,5,0),1,0)*Data_NFI_t[[#This Row],[Plastic Bucket]],0)</f>
        <v>0</v>
      </c>
      <c r="AG261" s="112">
        <f>IF(NFI_Expiration=1,IF($A261&lt;VLOOKUP(R$5,NFI,5,0),1,0)*Data_NFI_t[[#This Row],[Jerry Can]],0)</f>
        <v>0</v>
      </c>
      <c r="AH261" s="131">
        <f>IF(NFI_Expiration=1,IF($A261&lt;VLOOKUP(S$5,NFI,5,0),1,0)*Data_NFI_t[[#This Row],[Plastic Mat]],0)*IF(Data_NFI_t[[#This Row],[Distribution Date]]&gt;"01-06-2015",1,2.5)</f>
        <v>0</v>
      </c>
      <c r="AI261" s="901">
        <f>IF(NFI_Expiration=1,IF($A261&lt;VLOOKUP(T$5,NFI,5,0),1,0)*Data_NFI_t[[#This Row],[Adult Clothes]],0)</f>
        <v>0</v>
      </c>
      <c r="AJ261" s="131">
        <f>IF(NFI_Expiration=1,IF($A261&lt;VLOOKUP(U$5,NFI,5,0),1,0)*Data_NFI_t[[#This Row],[Children Clothes]],0)</f>
        <v>0</v>
      </c>
      <c r="AK261" s="131">
        <f>IF(NFI_Expiration=1,IF($A261&lt;VLOOKUP(V$5,NFI,5,0),1,0)*Data_NFI_t[[#This Row],[Sewing Kit]],0)</f>
        <v>0</v>
      </c>
      <c r="AL261" s="901">
        <f>IF(NFI_Expiration=1,IF($A261&lt;VLOOKUP(V$5,NFI,5,0),1,0)*Data_NFI_t[[#This Row],[Solar Lantern]],0)</f>
        <v>0</v>
      </c>
      <c r="AM261" s="131" t="str">
        <f ca="1">IFERROR(OFFSET(Camp_List[P_Code],MATCH(Data_NFI_t[[#This Row],[Camp Name]],Camp_List[Camp Name],0)-1,0,1,1),"")</f>
        <v>MMR012CMP043</v>
      </c>
      <c r="AN261" s="513" t="str">
        <f ca="1">IFERROR(OFFSET(Camp_List[Status],MATCH(Data_NFI_t[[#This Row],[Camp Name]],Camp_List[Camp Name],0)-1,0,1,1),"")</f>
        <v>Close</v>
      </c>
      <c r="AO261" s="131"/>
    </row>
    <row r="262" spans="1:41" s="90" customFormat="1" ht="19.5" customHeight="1" x14ac:dyDescent="0.25">
      <c r="A262" s="242">
        <f t="shared" si="5"/>
        <v>50.8</v>
      </c>
      <c r="B262" s="242">
        <f>YEAR(Data_NFI_t[[#This Row],[Distribution Date]])</f>
        <v>2013</v>
      </c>
      <c r="C262" s="913">
        <v>41332</v>
      </c>
      <c r="D262" s="489" t="s">
        <v>286</v>
      </c>
      <c r="E262" s="488"/>
      <c r="F262" s="489" t="s">
        <v>7</v>
      </c>
      <c r="G262" s="790" t="s">
        <v>19</v>
      </c>
      <c r="H262" s="790" t="s">
        <v>78</v>
      </c>
      <c r="I262" s="790">
        <v>0</v>
      </c>
      <c r="J262" s="51">
        <v>200</v>
      </c>
      <c r="K262" s="51"/>
      <c r="L262" s="51">
        <v>400</v>
      </c>
      <c r="M262" s="51">
        <v>200</v>
      </c>
      <c r="N262" s="51">
        <v>400</v>
      </c>
      <c r="O262" s="51">
        <v>200</v>
      </c>
      <c r="P262" s="51">
        <v>200</v>
      </c>
      <c r="Q262" s="51">
        <v>200</v>
      </c>
      <c r="R262" s="511"/>
      <c r="S262" s="51">
        <v>400</v>
      </c>
      <c r="T262" s="51"/>
      <c r="U262" s="51"/>
      <c r="V262" s="51"/>
      <c r="W262" s="51"/>
      <c r="X262" s="131">
        <f>IF(NFI_Expiration=1,IF($A262&lt;VLOOKUP(I$5,NFI,5,0),1,0)*Data_NFI_t[[#This Row],[Hygiene Kit]],0)</f>
        <v>0</v>
      </c>
      <c r="Y262" s="131">
        <f>IF(NFI_Expiration=1,IF($A262&lt;VLOOKUP(J$5,NFI,5,0),1,0)*Data_NFI_t[[#This Row],[NFI Core Kit]],0)</f>
        <v>0</v>
      </c>
      <c r="Z262" s="112">
        <f>IF(NFI_Expiration=1,IF($A262&lt;VLOOKUP(K$5,NFI,5,0),1,0)*Data_NFI_t[[#This Row],[Sanitary Kit]],0)</f>
        <v>0</v>
      </c>
      <c r="AA262" s="112">
        <f>IF(NFI_Expiration=1,IF($A262&lt;VLOOKUP(L$5,NFI,5,0),1,0)*Data_NFI_t[[#This Row],[Mosquito net]],0)</f>
        <v>0</v>
      </c>
      <c r="AB262" s="112">
        <f>IF(NFI_Expiration=1,IF($A262&lt;VLOOKUP(M$5,NFI,5,0),1,0)*Data_NFI_t[[#This Row],[Tarpaulin]],0)</f>
        <v>0</v>
      </c>
      <c r="AC262" s="112">
        <f>IF(NFI_Expiration=1,IF($A262&lt;VLOOKUP(N$5,NFI,5,0),1,0)*Data_NFI_t[[#This Row],[Blanket]],0)</f>
        <v>0</v>
      </c>
      <c r="AD262" s="112">
        <f>IF(NFI_Expiration=1,IF($A262&lt;VLOOKUP(O$5,NFI,5,0),1,0)*Data_NFI_t[[#This Row],[Kitchen Set]],0)</f>
        <v>0</v>
      </c>
      <c r="AE262" s="112">
        <f>IF(NFI_Expiration=1,IF($A262&lt;VLOOKUP(P$5,NFI,5,0),1,0)*Data_NFI_t[[#This Row],[Complementary Kit]],0)</f>
        <v>0</v>
      </c>
      <c r="AF262" s="112">
        <f>IF(NFI_Expiration=1,IF($A262&lt;VLOOKUP(Q$5,NFI,5,0),1,0)*Data_NFI_t[[#This Row],[Plastic Bucket]],0)</f>
        <v>0</v>
      </c>
      <c r="AG262" s="112">
        <f>IF(NFI_Expiration=1,IF($A262&lt;VLOOKUP(R$5,NFI,5,0),1,0)*Data_NFI_t[[#This Row],[Jerry Can]],0)</f>
        <v>0</v>
      </c>
      <c r="AH262" s="131">
        <f>IF(NFI_Expiration=1,IF($A262&lt;VLOOKUP(S$5,NFI,5,0),1,0)*Data_NFI_t[[#This Row],[Plastic Mat]],0)*IF(Data_NFI_t[[#This Row],[Distribution Date]]&gt;"01-06-2015",1,2.5)</f>
        <v>0</v>
      </c>
      <c r="AI262" s="901">
        <f>IF(NFI_Expiration=1,IF($A262&lt;VLOOKUP(T$5,NFI,5,0),1,0)*Data_NFI_t[[#This Row],[Adult Clothes]],0)</f>
        <v>0</v>
      </c>
      <c r="AJ262" s="131">
        <f>IF(NFI_Expiration=1,IF($A262&lt;VLOOKUP(U$5,NFI,5,0),1,0)*Data_NFI_t[[#This Row],[Children Clothes]],0)</f>
        <v>0</v>
      </c>
      <c r="AK262" s="131">
        <f>IF(NFI_Expiration=1,IF($A262&lt;VLOOKUP(V$5,NFI,5,0),1,0)*Data_NFI_t[[#This Row],[Sewing Kit]],0)</f>
        <v>0</v>
      </c>
      <c r="AL262" s="901">
        <f>IF(NFI_Expiration=1,IF($A262&lt;VLOOKUP(V$5,NFI,5,0),1,0)*Data_NFI_t[[#This Row],[Solar Lantern]],0)</f>
        <v>0</v>
      </c>
      <c r="AM262" s="131" t="str">
        <f ca="1">IFERROR(OFFSET(Camp_List[P_Code],MATCH(Data_NFI_t[[#This Row],[Camp Name]],Camp_List[Camp Name],0)-1,0,1,1),"")</f>
        <v>MMR012CMP056</v>
      </c>
      <c r="AN262" s="513" t="str">
        <f ca="1">IFERROR(OFFSET(Camp_List[Status],MATCH(Data_NFI_t[[#This Row],[Camp Name]],Camp_List[Camp Name],0)-1,0,1,1),"")</f>
        <v>Relocated</v>
      </c>
      <c r="AO262" s="131"/>
    </row>
    <row r="263" spans="1:41" s="90" customFormat="1" ht="19.5" customHeight="1" x14ac:dyDescent="0.25">
      <c r="A263" s="242">
        <f t="shared" si="5"/>
        <v>50.8</v>
      </c>
      <c r="B263" s="242">
        <f>YEAR(Data_NFI_t[[#This Row],[Distribution Date]])</f>
        <v>2013</v>
      </c>
      <c r="C263" s="913">
        <v>41332</v>
      </c>
      <c r="D263" s="489" t="s">
        <v>286</v>
      </c>
      <c r="E263" s="488"/>
      <c r="F263" s="489" t="s">
        <v>7</v>
      </c>
      <c r="G263" s="790" t="s">
        <v>19</v>
      </c>
      <c r="H263" s="790" t="s">
        <v>78</v>
      </c>
      <c r="I263" s="790">
        <v>0</v>
      </c>
      <c r="J263" s="51"/>
      <c r="K263" s="51"/>
      <c r="L263" s="51"/>
      <c r="M263" s="51"/>
      <c r="N263" s="51"/>
      <c r="O263" s="51"/>
      <c r="P263" s="51"/>
      <c r="Q263" s="51"/>
      <c r="R263" s="511"/>
      <c r="S263" s="51"/>
      <c r="T263" s="51"/>
      <c r="U263" s="51"/>
      <c r="V263" s="51"/>
      <c r="W263" s="51"/>
      <c r="X263" s="131">
        <f>IF(NFI_Expiration=1,IF($A263&lt;VLOOKUP(I$5,NFI,5,0),1,0)*Data_NFI_t[[#This Row],[Hygiene Kit]],0)</f>
        <v>0</v>
      </c>
      <c r="Y263" s="131">
        <f>IF(NFI_Expiration=1,IF($A263&lt;VLOOKUP(J$5,NFI,5,0),1,0)*Data_NFI_t[[#This Row],[NFI Core Kit]],0)</f>
        <v>0</v>
      </c>
      <c r="Z263" s="112">
        <f>IF(NFI_Expiration=1,IF($A263&lt;VLOOKUP(K$5,NFI,5,0),1,0)*Data_NFI_t[[#This Row],[Sanitary Kit]],0)</f>
        <v>0</v>
      </c>
      <c r="AA263" s="112">
        <f>IF(NFI_Expiration=1,IF($A263&lt;VLOOKUP(L$5,NFI,5,0),1,0)*Data_NFI_t[[#This Row],[Mosquito net]],0)</f>
        <v>0</v>
      </c>
      <c r="AB263" s="112">
        <f>IF(NFI_Expiration=1,IF($A263&lt;VLOOKUP(M$5,NFI,5,0),1,0)*Data_NFI_t[[#This Row],[Tarpaulin]],0)</f>
        <v>0</v>
      </c>
      <c r="AC263" s="112">
        <f>IF(NFI_Expiration=1,IF($A263&lt;VLOOKUP(N$5,NFI,5,0),1,0)*Data_NFI_t[[#This Row],[Blanket]],0)</f>
        <v>0</v>
      </c>
      <c r="AD263" s="112">
        <f>IF(NFI_Expiration=1,IF($A263&lt;VLOOKUP(O$5,NFI,5,0),1,0)*Data_NFI_t[[#This Row],[Kitchen Set]],0)</f>
        <v>0</v>
      </c>
      <c r="AE263" s="112">
        <f>IF(NFI_Expiration=1,IF($A263&lt;VLOOKUP(P$5,NFI,5,0),1,0)*Data_NFI_t[[#This Row],[Complementary Kit]],0)</f>
        <v>0</v>
      </c>
      <c r="AF263" s="112">
        <f>IF(NFI_Expiration=1,IF($A263&lt;VLOOKUP(Q$5,NFI,5,0),1,0)*Data_NFI_t[[#This Row],[Plastic Bucket]],0)</f>
        <v>0</v>
      </c>
      <c r="AG263" s="112">
        <f>IF(NFI_Expiration=1,IF($A263&lt;VLOOKUP(R$5,NFI,5,0),1,0)*Data_NFI_t[[#This Row],[Jerry Can]],0)</f>
        <v>0</v>
      </c>
      <c r="AH263" s="131">
        <f>IF(NFI_Expiration=1,IF($A263&lt;VLOOKUP(S$5,NFI,5,0),1,0)*Data_NFI_t[[#This Row],[Plastic Mat]],0)*IF(Data_NFI_t[[#This Row],[Distribution Date]]&gt;"01-06-2015",1,2.5)</f>
        <v>0</v>
      </c>
      <c r="AI263" s="901">
        <f>IF(NFI_Expiration=1,IF($A263&lt;VLOOKUP(T$5,NFI,5,0),1,0)*Data_NFI_t[[#This Row],[Adult Clothes]],0)</f>
        <v>0</v>
      </c>
      <c r="AJ263" s="131">
        <f>IF(NFI_Expiration=1,IF($A263&lt;VLOOKUP(U$5,NFI,5,0),1,0)*Data_NFI_t[[#This Row],[Children Clothes]],0)</f>
        <v>0</v>
      </c>
      <c r="AK263" s="131">
        <f>IF(NFI_Expiration=1,IF($A263&lt;VLOOKUP(V$5,NFI,5,0),1,0)*Data_NFI_t[[#This Row],[Sewing Kit]],0)</f>
        <v>0</v>
      </c>
      <c r="AL263" s="901">
        <f>IF(NFI_Expiration=1,IF($A263&lt;VLOOKUP(V$5,NFI,5,0),1,0)*Data_NFI_t[[#This Row],[Solar Lantern]],0)</f>
        <v>0</v>
      </c>
      <c r="AM263" s="131" t="str">
        <f ca="1">IFERROR(OFFSET(Camp_List[P_Code],MATCH(Data_NFI_t[[#This Row],[Camp Name]],Camp_List[Camp Name],0)-1,0,1,1),"")</f>
        <v>MMR012CMP056</v>
      </c>
      <c r="AN263" s="513" t="str">
        <f ca="1">IFERROR(OFFSET(Camp_List[Status],MATCH(Data_NFI_t[[#This Row],[Camp Name]],Camp_List[Camp Name],0)-1,0,1,1),"")</f>
        <v>Relocated</v>
      </c>
      <c r="AO263" s="131"/>
    </row>
    <row r="264" spans="1:41" s="90" customFormat="1" ht="19.5" customHeight="1" x14ac:dyDescent="0.25">
      <c r="A264" s="242">
        <f t="shared" si="5"/>
        <v>50.966666666666669</v>
      </c>
      <c r="B264" s="242">
        <f>YEAR(Data_NFI_t[[#This Row],[Distribution Date]])</f>
        <v>2013</v>
      </c>
      <c r="C264" s="913">
        <v>41327</v>
      </c>
      <c r="D264" s="489" t="s">
        <v>287</v>
      </c>
      <c r="E264" s="488"/>
      <c r="F264" s="489" t="s">
        <v>7</v>
      </c>
      <c r="G264" s="790" t="s">
        <v>14</v>
      </c>
      <c r="H264" s="790" t="s">
        <v>39</v>
      </c>
      <c r="I264" s="790">
        <v>23</v>
      </c>
      <c r="J264" s="51">
        <v>0</v>
      </c>
      <c r="K264" s="51"/>
      <c r="L264" s="51"/>
      <c r="M264" s="51"/>
      <c r="N264" s="51"/>
      <c r="O264" s="51"/>
      <c r="P264" s="51"/>
      <c r="Q264" s="51"/>
      <c r="R264" s="511"/>
      <c r="S264" s="51"/>
      <c r="T264" s="51"/>
      <c r="U264" s="51"/>
      <c r="V264" s="51"/>
      <c r="W264" s="51"/>
      <c r="X264" s="131">
        <f>IF(NFI_Expiration=1,IF($A264&lt;VLOOKUP(I$5,NFI,5,0),1,0)*Data_NFI_t[[#This Row],[Hygiene Kit]],0)</f>
        <v>0</v>
      </c>
      <c r="Y264" s="131">
        <f>IF(NFI_Expiration=1,IF($A264&lt;VLOOKUP(J$5,NFI,5,0),1,0)*Data_NFI_t[[#This Row],[NFI Core Kit]],0)</f>
        <v>0</v>
      </c>
      <c r="Z264" s="112">
        <f>IF(NFI_Expiration=1,IF($A264&lt;VLOOKUP(K$5,NFI,5,0),1,0)*Data_NFI_t[[#This Row],[Sanitary Kit]],0)</f>
        <v>0</v>
      </c>
      <c r="AA264" s="112">
        <f>IF(NFI_Expiration=1,IF($A264&lt;VLOOKUP(L$5,NFI,5,0),1,0)*Data_NFI_t[[#This Row],[Mosquito net]],0)</f>
        <v>0</v>
      </c>
      <c r="AB264" s="112">
        <f>IF(NFI_Expiration=1,IF($A264&lt;VLOOKUP(M$5,NFI,5,0),1,0)*Data_NFI_t[[#This Row],[Tarpaulin]],0)</f>
        <v>0</v>
      </c>
      <c r="AC264" s="112">
        <f>IF(NFI_Expiration=1,IF($A264&lt;VLOOKUP(N$5,NFI,5,0),1,0)*Data_NFI_t[[#This Row],[Blanket]],0)</f>
        <v>0</v>
      </c>
      <c r="AD264" s="112">
        <f>IF(NFI_Expiration=1,IF($A264&lt;VLOOKUP(O$5,NFI,5,0),1,0)*Data_NFI_t[[#This Row],[Kitchen Set]],0)</f>
        <v>0</v>
      </c>
      <c r="AE264" s="112">
        <f>IF(NFI_Expiration=1,IF($A264&lt;VLOOKUP(P$5,NFI,5,0),1,0)*Data_NFI_t[[#This Row],[Complementary Kit]],0)</f>
        <v>0</v>
      </c>
      <c r="AF264" s="112">
        <f>IF(NFI_Expiration=1,IF($A264&lt;VLOOKUP(Q$5,NFI,5,0),1,0)*Data_NFI_t[[#This Row],[Plastic Bucket]],0)</f>
        <v>0</v>
      </c>
      <c r="AG264" s="112">
        <f>IF(NFI_Expiration=1,IF($A264&lt;VLOOKUP(R$5,NFI,5,0),1,0)*Data_NFI_t[[#This Row],[Jerry Can]],0)</f>
        <v>0</v>
      </c>
      <c r="AH264" s="131">
        <f>IF(NFI_Expiration=1,IF($A264&lt;VLOOKUP(S$5,NFI,5,0),1,0)*Data_NFI_t[[#This Row],[Plastic Mat]],0)*IF(Data_NFI_t[[#This Row],[Distribution Date]]&gt;"01-06-2015",1,2.5)</f>
        <v>0</v>
      </c>
      <c r="AI264" s="901">
        <f>IF(NFI_Expiration=1,IF($A264&lt;VLOOKUP(T$5,NFI,5,0),1,0)*Data_NFI_t[[#This Row],[Adult Clothes]],0)</f>
        <v>0</v>
      </c>
      <c r="AJ264" s="131">
        <f>IF(NFI_Expiration=1,IF($A264&lt;VLOOKUP(U$5,NFI,5,0),1,0)*Data_NFI_t[[#This Row],[Children Clothes]],0)</f>
        <v>0</v>
      </c>
      <c r="AK264" s="131">
        <f>IF(NFI_Expiration=1,IF($A264&lt;VLOOKUP(V$5,NFI,5,0),1,0)*Data_NFI_t[[#This Row],[Sewing Kit]],0)</f>
        <v>0</v>
      </c>
      <c r="AL264" s="901">
        <f>IF(NFI_Expiration=1,IF($A264&lt;VLOOKUP(V$5,NFI,5,0),1,0)*Data_NFI_t[[#This Row],[Solar Lantern]],0)</f>
        <v>0</v>
      </c>
      <c r="AM264" s="131" t="str">
        <f ca="1">IFERROR(OFFSET(Camp_List[P_Code],MATCH(Data_NFI_t[[#This Row],[Camp Name]],Camp_List[Camp Name],0)-1,0,1,1),"")</f>
        <v>MMR012CMP015</v>
      </c>
      <c r="AN264" s="513" t="str">
        <f ca="1">IFERROR(OFFSET(Camp_List[Status],MATCH(Data_NFI_t[[#This Row],[Camp Name]],Camp_List[Camp Name],0)-1,0,1,1),"")</f>
        <v>Relocated</v>
      </c>
      <c r="AO264" s="131"/>
    </row>
    <row r="265" spans="1:41" s="90" customFormat="1" ht="19.5" customHeight="1" x14ac:dyDescent="0.25">
      <c r="A265" s="242">
        <f t="shared" si="5"/>
        <v>50.966666666666669</v>
      </c>
      <c r="B265" s="242">
        <f>YEAR(Data_NFI_t[[#This Row],[Distribution Date]])</f>
        <v>2013</v>
      </c>
      <c r="C265" s="913">
        <v>41327</v>
      </c>
      <c r="D265" s="489" t="s">
        <v>287</v>
      </c>
      <c r="E265" s="488"/>
      <c r="F265" s="489" t="s">
        <v>7</v>
      </c>
      <c r="G265" s="790" t="s">
        <v>14</v>
      </c>
      <c r="H265" s="790" t="s">
        <v>41</v>
      </c>
      <c r="I265" s="790">
        <v>1306</v>
      </c>
      <c r="J265" s="51">
        <v>0</v>
      </c>
      <c r="K265" s="51"/>
      <c r="L265" s="51"/>
      <c r="M265" s="51"/>
      <c r="N265" s="51"/>
      <c r="O265" s="51"/>
      <c r="P265" s="51"/>
      <c r="Q265" s="51"/>
      <c r="R265" s="511"/>
      <c r="S265" s="51"/>
      <c r="T265" s="51"/>
      <c r="U265" s="51"/>
      <c r="V265" s="51"/>
      <c r="W265" s="51"/>
      <c r="X265" s="131">
        <f>IF(NFI_Expiration=1,IF($A265&lt;VLOOKUP(I$5,NFI,5,0),1,0)*Data_NFI_t[[#This Row],[Hygiene Kit]],0)</f>
        <v>0</v>
      </c>
      <c r="Y265" s="131">
        <f>IF(NFI_Expiration=1,IF($A265&lt;VLOOKUP(J$5,NFI,5,0),1,0)*Data_NFI_t[[#This Row],[NFI Core Kit]],0)</f>
        <v>0</v>
      </c>
      <c r="Z265" s="112">
        <f>IF(NFI_Expiration=1,IF($A265&lt;VLOOKUP(K$5,NFI,5,0),1,0)*Data_NFI_t[[#This Row],[Sanitary Kit]],0)</f>
        <v>0</v>
      </c>
      <c r="AA265" s="112">
        <f>IF(NFI_Expiration=1,IF($A265&lt;VLOOKUP(L$5,NFI,5,0),1,0)*Data_NFI_t[[#This Row],[Mosquito net]],0)</f>
        <v>0</v>
      </c>
      <c r="AB265" s="112">
        <f>IF(NFI_Expiration=1,IF($A265&lt;VLOOKUP(M$5,NFI,5,0),1,0)*Data_NFI_t[[#This Row],[Tarpaulin]],0)</f>
        <v>0</v>
      </c>
      <c r="AC265" s="112">
        <f>IF(NFI_Expiration=1,IF($A265&lt;VLOOKUP(N$5,NFI,5,0),1,0)*Data_NFI_t[[#This Row],[Blanket]],0)</f>
        <v>0</v>
      </c>
      <c r="AD265" s="112">
        <f>IF(NFI_Expiration=1,IF($A265&lt;VLOOKUP(O$5,NFI,5,0),1,0)*Data_NFI_t[[#This Row],[Kitchen Set]],0)</f>
        <v>0</v>
      </c>
      <c r="AE265" s="112">
        <f>IF(NFI_Expiration=1,IF($A265&lt;VLOOKUP(P$5,NFI,5,0),1,0)*Data_NFI_t[[#This Row],[Complementary Kit]],0)</f>
        <v>0</v>
      </c>
      <c r="AF265" s="112">
        <f>IF(NFI_Expiration=1,IF($A265&lt;VLOOKUP(Q$5,NFI,5,0),1,0)*Data_NFI_t[[#This Row],[Plastic Bucket]],0)</f>
        <v>0</v>
      </c>
      <c r="AG265" s="112">
        <f>IF(NFI_Expiration=1,IF($A265&lt;VLOOKUP(R$5,NFI,5,0),1,0)*Data_NFI_t[[#This Row],[Jerry Can]],0)</f>
        <v>0</v>
      </c>
      <c r="AH265" s="131">
        <f>IF(NFI_Expiration=1,IF($A265&lt;VLOOKUP(S$5,NFI,5,0),1,0)*Data_NFI_t[[#This Row],[Plastic Mat]],0)*IF(Data_NFI_t[[#This Row],[Distribution Date]]&gt;"01-06-2015",1,2.5)</f>
        <v>0</v>
      </c>
      <c r="AI265" s="901">
        <f>IF(NFI_Expiration=1,IF($A265&lt;VLOOKUP(T$5,NFI,5,0),1,0)*Data_NFI_t[[#This Row],[Adult Clothes]],0)</f>
        <v>0</v>
      </c>
      <c r="AJ265" s="131">
        <f>IF(NFI_Expiration=1,IF($A265&lt;VLOOKUP(U$5,NFI,5,0),1,0)*Data_NFI_t[[#This Row],[Children Clothes]],0)</f>
        <v>0</v>
      </c>
      <c r="AK265" s="131">
        <f>IF(NFI_Expiration=1,IF($A265&lt;VLOOKUP(V$5,NFI,5,0),1,0)*Data_NFI_t[[#This Row],[Sewing Kit]],0)</f>
        <v>0</v>
      </c>
      <c r="AL265" s="901">
        <f>IF(NFI_Expiration=1,IF($A265&lt;VLOOKUP(V$5,NFI,5,0),1,0)*Data_NFI_t[[#This Row],[Solar Lantern]],0)</f>
        <v>0</v>
      </c>
      <c r="AM265" s="131" t="str">
        <f ca="1">IFERROR(OFFSET(Camp_List[P_Code],MATCH(Data_NFI_t[[#This Row],[Camp Name]],Camp_List[Camp Name],0)-1,0,1,1),"")</f>
        <v/>
      </c>
      <c r="AN265" s="513" t="str">
        <f ca="1">IFERROR(OFFSET(Camp_List[Status],MATCH(Data_NFI_t[[#This Row],[Camp Name]],Camp_List[Camp Name],0)-1,0,1,1),"")</f>
        <v/>
      </c>
      <c r="AO265" s="131"/>
    </row>
    <row r="266" spans="1:41" s="90" customFormat="1" ht="19.5" customHeight="1" x14ac:dyDescent="0.25">
      <c r="A266" s="242">
        <f t="shared" si="5"/>
        <v>50.966666666666669</v>
      </c>
      <c r="B266" s="242">
        <f>YEAR(Data_NFI_t[[#This Row],[Distribution Date]])</f>
        <v>2013</v>
      </c>
      <c r="C266" s="913">
        <v>41327</v>
      </c>
      <c r="D266" s="489" t="s">
        <v>285</v>
      </c>
      <c r="E266" s="488"/>
      <c r="F266" s="489" t="s">
        <v>7</v>
      </c>
      <c r="G266" s="790" t="s">
        <v>20</v>
      </c>
      <c r="H266" s="790" t="s">
        <v>103</v>
      </c>
      <c r="I266" s="790">
        <v>0</v>
      </c>
      <c r="J266" s="51">
        <v>15</v>
      </c>
      <c r="K266" s="51"/>
      <c r="L266" s="51">
        <v>30</v>
      </c>
      <c r="M266" s="51">
        <v>15</v>
      </c>
      <c r="N266" s="51">
        <v>30</v>
      </c>
      <c r="O266" s="51">
        <v>15</v>
      </c>
      <c r="P266" s="51">
        <v>15</v>
      </c>
      <c r="Q266" s="51">
        <v>15</v>
      </c>
      <c r="R266" s="511"/>
      <c r="S266" s="51">
        <v>30</v>
      </c>
      <c r="T266" s="51"/>
      <c r="U266" s="51"/>
      <c r="V266" s="51"/>
      <c r="W266" s="51"/>
      <c r="X266" s="131">
        <f>IF(NFI_Expiration=1,IF($A266&lt;VLOOKUP(I$5,NFI,5,0),1,0)*Data_NFI_t[[#This Row],[Hygiene Kit]],0)</f>
        <v>0</v>
      </c>
      <c r="Y266" s="131">
        <f>IF(NFI_Expiration=1,IF($A266&lt;VLOOKUP(J$5,NFI,5,0),1,0)*Data_NFI_t[[#This Row],[NFI Core Kit]],0)</f>
        <v>0</v>
      </c>
      <c r="Z266" s="112">
        <f>IF(NFI_Expiration=1,IF($A266&lt;VLOOKUP(K$5,NFI,5,0),1,0)*Data_NFI_t[[#This Row],[Sanitary Kit]],0)</f>
        <v>0</v>
      </c>
      <c r="AA266" s="112">
        <f>IF(NFI_Expiration=1,IF($A266&lt;VLOOKUP(L$5,NFI,5,0),1,0)*Data_NFI_t[[#This Row],[Mosquito net]],0)</f>
        <v>0</v>
      </c>
      <c r="AB266" s="112">
        <f>IF(NFI_Expiration=1,IF($A266&lt;VLOOKUP(M$5,NFI,5,0),1,0)*Data_NFI_t[[#This Row],[Tarpaulin]],0)</f>
        <v>0</v>
      </c>
      <c r="AC266" s="112">
        <f>IF(NFI_Expiration=1,IF($A266&lt;VLOOKUP(N$5,NFI,5,0),1,0)*Data_NFI_t[[#This Row],[Blanket]],0)</f>
        <v>0</v>
      </c>
      <c r="AD266" s="112">
        <f>IF(NFI_Expiration=1,IF($A266&lt;VLOOKUP(O$5,NFI,5,0),1,0)*Data_NFI_t[[#This Row],[Kitchen Set]],0)</f>
        <v>0</v>
      </c>
      <c r="AE266" s="112">
        <f>IF(NFI_Expiration=1,IF($A266&lt;VLOOKUP(P$5,NFI,5,0),1,0)*Data_NFI_t[[#This Row],[Complementary Kit]],0)</f>
        <v>0</v>
      </c>
      <c r="AF266" s="112">
        <f>IF(NFI_Expiration=1,IF($A266&lt;VLOOKUP(Q$5,NFI,5,0),1,0)*Data_NFI_t[[#This Row],[Plastic Bucket]],0)</f>
        <v>0</v>
      </c>
      <c r="AG266" s="112">
        <f>IF(NFI_Expiration=1,IF($A266&lt;VLOOKUP(R$5,NFI,5,0),1,0)*Data_NFI_t[[#This Row],[Jerry Can]],0)</f>
        <v>0</v>
      </c>
      <c r="AH266" s="131">
        <f>IF(NFI_Expiration=1,IF($A266&lt;VLOOKUP(S$5,NFI,5,0),1,0)*Data_NFI_t[[#This Row],[Plastic Mat]],0)*IF(Data_NFI_t[[#This Row],[Distribution Date]]&gt;"01-06-2015",1,2.5)</f>
        <v>0</v>
      </c>
      <c r="AI266" s="901">
        <f>IF(NFI_Expiration=1,IF($A266&lt;VLOOKUP(T$5,NFI,5,0),1,0)*Data_NFI_t[[#This Row],[Adult Clothes]],0)</f>
        <v>0</v>
      </c>
      <c r="AJ266" s="131">
        <f>IF(NFI_Expiration=1,IF($A266&lt;VLOOKUP(U$5,NFI,5,0),1,0)*Data_NFI_t[[#This Row],[Children Clothes]],0)</f>
        <v>0</v>
      </c>
      <c r="AK266" s="131">
        <f>IF(NFI_Expiration=1,IF($A266&lt;VLOOKUP(V$5,NFI,5,0),1,0)*Data_NFI_t[[#This Row],[Sewing Kit]],0)</f>
        <v>0</v>
      </c>
      <c r="AL266" s="901">
        <f>IF(NFI_Expiration=1,IF($A266&lt;VLOOKUP(V$5,NFI,5,0),1,0)*Data_NFI_t[[#This Row],[Solar Lantern]],0)</f>
        <v>0</v>
      </c>
      <c r="AM266" s="131" t="str">
        <f ca="1">IFERROR(OFFSET(Camp_List[P_Code],MATCH(Data_NFI_t[[#This Row],[Camp Name]],Camp_List[Camp Name],0)-1,0,1,1),"")</f>
        <v>MMR012CMP082</v>
      </c>
      <c r="AN266" s="513" t="str">
        <f ca="1">IFERROR(OFFSET(Camp_List[Status],MATCH(Data_NFI_t[[#This Row],[Camp Name]],Camp_List[Camp Name],0)-1,0,1,1),"")</f>
        <v>Returned</v>
      </c>
      <c r="AO266" s="131"/>
    </row>
    <row r="267" spans="1:41" s="90" customFormat="1" ht="19.5" customHeight="1" x14ac:dyDescent="0.25">
      <c r="A267" s="242">
        <f t="shared" si="5"/>
        <v>50.966666666666669</v>
      </c>
      <c r="B267" s="242">
        <f>YEAR(Data_NFI_t[[#This Row],[Distribution Date]])</f>
        <v>2013</v>
      </c>
      <c r="C267" s="913">
        <v>41327</v>
      </c>
      <c r="D267" s="489" t="s">
        <v>285</v>
      </c>
      <c r="E267" s="488"/>
      <c r="F267" s="489" t="s">
        <v>7</v>
      </c>
      <c r="G267" s="790" t="s">
        <v>20</v>
      </c>
      <c r="H267" s="790" t="s">
        <v>103</v>
      </c>
      <c r="I267" s="790">
        <v>0</v>
      </c>
      <c r="J267" s="51"/>
      <c r="K267" s="51">
        <v>30</v>
      </c>
      <c r="L267" s="51">
        <v>52</v>
      </c>
      <c r="M267" s="51">
        <v>15</v>
      </c>
      <c r="N267" s="51">
        <v>0</v>
      </c>
      <c r="O267" s="51"/>
      <c r="P267" s="51"/>
      <c r="Q267" s="51"/>
      <c r="R267" s="511"/>
      <c r="S267" s="51"/>
      <c r="T267" s="51"/>
      <c r="U267" s="51"/>
      <c r="V267" s="51"/>
      <c r="W267" s="51"/>
      <c r="X267" s="131">
        <f>IF(NFI_Expiration=1,IF($A267&lt;VLOOKUP(I$5,NFI,5,0),1,0)*Data_NFI_t[[#This Row],[Hygiene Kit]],0)</f>
        <v>0</v>
      </c>
      <c r="Y267" s="131">
        <f>IF(NFI_Expiration=1,IF($A267&lt;VLOOKUP(J$5,NFI,5,0),1,0)*Data_NFI_t[[#This Row],[NFI Core Kit]],0)</f>
        <v>0</v>
      </c>
      <c r="Z267" s="112">
        <f>IF(NFI_Expiration=1,IF($A267&lt;VLOOKUP(K$5,NFI,5,0),1,0)*Data_NFI_t[[#This Row],[Sanitary Kit]],0)</f>
        <v>0</v>
      </c>
      <c r="AA267" s="112">
        <f>IF(NFI_Expiration=1,IF($A267&lt;VLOOKUP(L$5,NFI,5,0),1,0)*Data_NFI_t[[#This Row],[Mosquito net]],0)</f>
        <v>0</v>
      </c>
      <c r="AB267" s="112">
        <f>IF(NFI_Expiration=1,IF($A267&lt;VLOOKUP(M$5,NFI,5,0),1,0)*Data_NFI_t[[#This Row],[Tarpaulin]],0)</f>
        <v>0</v>
      </c>
      <c r="AC267" s="112">
        <f>IF(NFI_Expiration=1,IF($A267&lt;VLOOKUP(N$5,NFI,5,0),1,0)*Data_NFI_t[[#This Row],[Blanket]],0)</f>
        <v>0</v>
      </c>
      <c r="AD267" s="112">
        <f>IF(NFI_Expiration=1,IF($A267&lt;VLOOKUP(O$5,NFI,5,0),1,0)*Data_NFI_t[[#This Row],[Kitchen Set]],0)</f>
        <v>0</v>
      </c>
      <c r="AE267" s="112">
        <f>IF(NFI_Expiration=1,IF($A267&lt;VLOOKUP(P$5,NFI,5,0),1,0)*Data_NFI_t[[#This Row],[Complementary Kit]],0)</f>
        <v>0</v>
      </c>
      <c r="AF267" s="112">
        <f>IF(NFI_Expiration=1,IF($A267&lt;VLOOKUP(Q$5,NFI,5,0),1,0)*Data_NFI_t[[#This Row],[Plastic Bucket]],0)</f>
        <v>0</v>
      </c>
      <c r="AG267" s="112">
        <f>IF(NFI_Expiration=1,IF($A267&lt;VLOOKUP(R$5,NFI,5,0),1,0)*Data_NFI_t[[#This Row],[Jerry Can]],0)</f>
        <v>0</v>
      </c>
      <c r="AH267" s="131">
        <f>IF(NFI_Expiration=1,IF($A267&lt;VLOOKUP(S$5,NFI,5,0),1,0)*Data_NFI_t[[#This Row],[Plastic Mat]],0)*IF(Data_NFI_t[[#This Row],[Distribution Date]]&gt;"01-06-2015",1,2.5)</f>
        <v>0</v>
      </c>
      <c r="AI267" s="901">
        <f>IF(NFI_Expiration=1,IF($A267&lt;VLOOKUP(T$5,NFI,5,0),1,0)*Data_NFI_t[[#This Row],[Adult Clothes]],0)</f>
        <v>0</v>
      </c>
      <c r="AJ267" s="131">
        <f>IF(NFI_Expiration=1,IF($A267&lt;VLOOKUP(U$5,NFI,5,0),1,0)*Data_NFI_t[[#This Row],[Children Clothes]],0)</f>
        <v>0</v>
      </c>
      <c r="AK267" s="131">
        <f>IF(NFI_Expiration=1,IF($A267&lt;VLOOKUP(V$5,NFI,5,0),1,0)*Data_NFI_t[[#This Row],[Sewing Kit]],0)</f>
        <v>0</v>
      </c>
      <c r="AL267" s="901">
        <f>IF(NFI_Expiration=1,IF($A267&lt;VLOOKUP(V$5,NFI,5,0),1,0)*Data_NFI_t[[#This Row],[Solar Lantern]],0)</f>
        <v>0</v>
      </c>
      <c r="AM267" s="131" t="str">
        <f ca="1">IFERROR(OFFSET(Camp_List[P_Code],MATCH(Data_NFI_t[[#This Row],[Camp Name]],Camp_List[Camp Name],0)-1,0,1,1),"")</f>
        <v>MMR012CMP082</v>
      </c>
      <c r="AN267" s="513" t="str">
        <f ca="1">IFERROR(OFFSET(Camp_List[Status],MATCH(Data_NFI_t[[#This Row],[Camp Name]],Camp_List[Camp Name],0)-1,0,1,1),"")</f>
        <v>Returned</v>
      </c>
      <c r="AO267" s="131"/>
    </row>
    <row r="268" spans="1:41" s="90" customFormat="1" ht="19.5" customHeight="1" x14ac:dyDescent="0.25">
      <c r="A268" s="242">
        <f t="shared" si="5"/>
        <v>51</v>
      </c>
      <c r="B268" s="242">
        <f>YEAR(Data_NFI_t[[#This Row],[Distribution Date]])</f>
        <v>2013</v>
      </c>
      <c r="C268" s="913">
        <v>41326</v>
      </c>
      <c r="D268" s="489" t="s">
        <v>1117</v>
      </c>
      <c r="E268" s="488" t="s">
        <v>292</v>
      </c>
      <c r="F268" s="489" t="s">
        <v>7</v>
      </c>
      <c r="G268" s="790" t="s">
        <v>19</v>
      </c>
      <c r="H268" s="790" t="s">
        <v>68</v>
      </c>
      <c r="I268" s="790">
        <v>1542</v>
      </c>
      <c r="J268" s="51"/>
      <c r="K268" s="51"/>
      <c r="L268" s="51"/>
      <c r="M268" s="51"/>
      <c r="N268" s="51"/>
      <c r="O268" s="51"/>
      <c r="P268" s="51"/>
      <c r="Q268" s="51"/>
      <c r="R268" s="511"/>
      <c r="S268" s="51"/>
      <c r="T268" s="51"/>
      <c r="U268" s="51"/>
      <c r="V268" s="51"/>
      <c r="W268" s="51"/>
      <c r="X268" s="131">
        <f>IF(NFI_Expiration=1,IF($A268&lt;VLOOKUP(I$5,NFI,5,0),1,0)*Data_NFI_t[[#This Row],[Hygiene Kit]],0)</f>
        <v>0</v>
      </c>
      <c r="Y268" s="131">
        <f>IF(NFI_Expiration=1,IF($A268&lt;VLOOKUP(J$5,NFI,5,0),1,0)*Data_NFI_t[[#This Row],[NFI Core Kit]],0)</f>
        <v>0</v>
      </c>
      <c r="Z268" s="112">
        <f>IF(NFI_Expiration=1,IF($A268&lt;VLOOKUP(K$5,NFI,5,0),1,0)*Data_NFI_t[[#This Row],[Sanitary Kit]],0)</f>
        <v>0</v>
      </c>
      <c r="AA268" s="112">
        <f>IF(NFI_Expiration=1,IF($A268&lt;VLOOKUP(L$5,NFI,5,0),1,0)*Data_NFI_t[[#This Row],[Mosquito net]],0)</f>
        <v>0</v>
      </c>
      <c r="AB268" s="112">
        <f>IF(NFI_Expiration=1,IF($A268&lt;VLOOKUP(M$5,NFI,5,0),1,0)*Data_NFI_t[[#This Row],[Tarpaulin]],0)</f>
        <v>0</v>
      </c>
      <c r="AC268" s="112">
        <f>IF(NFI_Expiration=1,IF($A268&lt;VLOOKUP(N$5,NFI,5,0),1,0)*Data_NFI_t[[#This Row],[Blanket]],0)</f>
        <v>0</v>
      </c>
      <c r="AD268" s="112">
        <f>IF(NFI_Expiration=1,IF($A268&lt;VLOOKUP(O$5,NFI,5,0),1,0)*Data_NFI_t[[#This Row],[Kitchen Set]],0)</f>
        <v>0</v>
      </c>
      <c r="AE268" s="112">
        <f>IF(NFI_Expiration=1,IF($A268&lt;VLOOKUP(P$5,NFI,5,0),1,0)*Data_NFI_t[[#This Row],[Complementary Kit]],0)</f>
        <v>0</v>
      </c>
      <c r="AF268" s="112">
        <f>IF(NFI_Expiration=1,IF($A268&lt;VLOOKUP(Q$5,NFI,5,0),1,0)*Data_NFI_t[[#This Row],[Plastic Bucket]],0)</f>
        <v>0</v>
      </c>
      <c r="AG268" s="112">
        <f>IF(NFI_Expiration=1,IF($A268&lt;VLOOKUP(R$5,NFI,5,0),1,0)*Data_NFI_t[[#This Row],[Jerry Can]],0)</f>
        <v>0</v>
      </c>
      <c r="AH268" s="131">
        <f>IF(NFI_Expiration=1,IF($A268&lt;VLOOKUP(S$5,NFI,5,0),1,0)*Data_NFI_t[[#This Row],[Plastic Mat]],0)*IF(Data_NFI_t[[#This Row],[Distribution Date]]&gt;"01-06-2015",1,2.5)</f>
        <v>0</v>
      </c>
      <c r="AI268" s="901">
        <f>IF(NFI_Expiration=1,IF($A268&lt;VLOOKUP(T$5,NFI,5,0),1,0)*Data_NFI_t[[#This Row],[Adult Clothes]],0)</f>
        <v>0</v>
      </c>
      <c r="AJ268" s="131">
        <f>IF(NFI_Expiration=1,IF($A268&lt;VLOOKUP(U$5,NFI,5,0),1,0)*Data_NFI_t[[#This Row],[Children Clothes]],0)</f>
        <v>0</v>
      </c>
      <c r="AK268" s="131">
        <f>IF(NFI_Expiration=1,IF($A268&lt;VLOOKUP(V$5,NFI,5,0),1,0)*Data_NFI_t[[#This Row],[Sewing Kit]],0)</f>
        <v>0</v>
      </c>
      <c r="AL268" s="901">
        <f>IF(NFI_Expiration=1,IF($A268&lt;VLOOKUP(V$5,NFI,5,0),1,0)*Data_NFI_t[[#This Row],[Solar Lantern]],0)</f>
        <v>0</v>
      </c>
      <c r="AM268" s="131" t="str">
        <f ca="1">IFERROR(OFFSET(Camp_List[P_Code],MATCH(Data_NFI_t[[#This Row],[Camp Name]],Camp_List[Camp Name],0)-1,0,1,1),"")</f>
        <v>MMR012CMP046</v>
      </c>
      <c r="AN268" s="513" t="str">
        <f ca="1">IFERROR(OFFSET(Camp_List[Status],MATCH(Data_NFI_t[[#This Row],[Camp Name]],Camp_List[Camp Name],0)-1,0,1,1),"")</f>
        <v>Open</v>
      </c>
      <c r="AO268" s="131"/>
    </row>
    <row r="269" spans="1:41" s="90" customFormat="1" ht="19.5" customHeight="1" x14ac:dyDescent="0.25">
      <c r="A269" s="242">
        <f t="shared" si="5"/>
        <v>51.2</v>
      </c>
      <c r="B269" s="242">
        <f>YEAR(Data_NFI_t[[#This Row],[Distribution Date]])</f>
        <v>2013</v>
      </c>
      <c r="C269" s="913">
        <v>41320</v>
      </c>
      <c r="D269" s="489" t="s">
        <v>287</v>
      </c>
      <c r="E269" s="488"/>
      <c r="F269" s="489" t="s">
        <v>7</v>
      </c>
      <c r="G269" s="790" t="s">
        <v>11</v>
      </c>
      <c r="H269" s="790" t="s">
        <v>30</v>
      </c>
      <c r="I269" s="790">
        <v>90</v>
      </c>
      <c r="J269" s="51"/>
      <c r="K269" s="51"/>
      <c r="L269" s="51"/>
      <c r="M269" s="51"/>
      <c r="N269" s="51"/>
      <c r="O269" s="51"/>
      <c r="P269" s="51"/>
      <c r="Q269" s="51"/>
      <c r="R269" s="511"/>
      <c r="S269" s="51"/>
      <c r="T269" s="51"/>
      <c r="U269" s="51"/>
      <c r="V269" s="51"/>
      <c r="W269" s="51"/>
      <c r="X269" s="131">
        <f>IF(NFI_Expiration=1,IF($A269&lt;VLOOKUP(I$5,NFI,5,0),1,0)*Data_NFI_t[[#This Row],[Hygiene Kit]],0)</f>
        <v>0</v>
      </c>
      <c r="Y269" s="131">
        <f>IF(NFI_Expiration=1,IF($A269&lt;VLOOKUP(J$5,NFI,5,0),1,0)*Data_NFI_t[[#This Row],[NFI Core Kit]],0)</f>
        <v>0</v>
      </c>
      <c r="Z269" s="112">
        <f>IF(NFI_Expiration=1,IF($A269&lt;VLOOKUP(K$5,NFI,5,0),1,0)*Data_NFI_t[[#This Row],[Sanitary Kit]],0)</f>
        <v>0</v>
      </c>
      <c r="AA269" s="112">
        <f>IF(NFI_Expiration=1,IF($A269&lt;VLOOKUP(L$5,NFI,5,0),1,0)*Data_NFI_t[[#This Row],[Mosquito net]],0)</f>
        <v>0</v>
      </c>
      <c r="AB269" s="112">
        <f>IF(NFI_Expiration=1,IF($A269&lt;VLOOKUP(M$5,NFI,5,0),1,0)*Data_NFI_t[[#This Row],[Tarpaulin]],0)</f>
        <v>0</v>
      </c>
      <c r="AC269" s="112">
        <f>IF(NFI_Expiration=1,IF($A269&lt;VLOOKUP(N$5,NFI,5,0),1,0)*Data_NFI_t[[#This Row],[Blanket]],0)</f>
        <v>0</v>
      </c>
      <c r="AD269" s="112">
        <f>IF(NFI_Expiration=1,IF($A269&lt;VLOOKUP(O$5,NFI,5,0),1,0)*Data_NFI_t[[#This Row],[Kitchen Set]],0)</f>
        <v>0</v>
      </c>
      <c r="AE269" s="112">
        <f>IF(NFI_Expiration=1,IF($A269&lt;VLOOKUP(P$5,NFI,5,0),1,0)*Data_NFI_t[[#This Row],[Complementary Kit]],0)</f>
        <v>0</v>
      </c>
      <c r="AF269" s="112">
        <f>IF(NFI_Expiration=1,IF($A269&lt;VLOOKUP(Q$5,NFI,5,0),1,0)*Data_NFI_t[[#This Row],[Plastic Bucket]],0)</f>
        <v>0</v>
      </c>
      <c r="AG269" s="112">
        <f>IF(NFI_Expiration=1,IF($A269&lt;VLOOKUP(R$5,NFI,5,0),1,0)*Data_NFI_t[[#This Row],[Jerry Can]],0)</f>
        <v>0</v>
      </c>
      <c r="AH269" s="131">
        <f>IF(NFI_Expiration=1,IF($A269&lt;VLOOKUP(S$5,NFI,5,0),1,0)*Data_NFI_t[[#This Row],[Plastic Mat]],0)*IF(Data_NFI_t[[#This Row],[Distribution Date]]&gt;"01-06-2015",1,2.5)</f>
        <v>0</v>
      </c>
      <c r="AI269" s="901">
        <f>IF(NFI_Expiration=1,IF($A269&lt;VLOOKUP(T$5,NFI,5,0),1,0)*Data_NFI_t[[#This Row],[Adult Clothes]],0)</f>
        <v>0</v>
      </c>
      <c r="AJ269" s="131">
        <f>IF(NFI_Expiration=1,IF($A269&lt;VLOOKUP(U$5,NFI,5,0),1,0)*Data_NFI_t[[#This Row],[Children Clothes]],0)</f>
        <v>0</v>
      </c>
      <c r="AK269" s="131">
        <f>IF(NFI_Expiration=1,IF($A269&lt;VLOOKUP(V$5,NFI,5,0),1,0)*Data_NFI_t[[#This Row],[Sewing Kit]],0)</f>
        <v>0</v>
      </c>
      <c r="AL269" s="901">
        <f>IF(NFI_Expiration=1,IF($A269&lt;VLOOKUP(V$5,NFI,5,0),1,0)*Data_NFI_t[[#This Row],[Solar Lantern]],0)</f>
        <v>0</v>
      </c>
      <c r="AM269" s="131" t="str">
        <f ca="1">IFERROR(OFFSET(Camp_List[P_Code],MATCH(Data_NFI_t[[#This Row],[Camp Name]],Camp_List[Camp Name],0)-1,0,1,1),"")</f>
        <v>MMR012CMP006</v>
      </c>
      <c r="AN269" s="513" t="str">
        <f ca="1">IFERROR(OFFSET(Camp_List[Status],MATCH(Data_NFI_t[[#This Row],[Camp Name]],Camp_List[Camp Name],0)-1,0,1,1),"")</f>
        <v>Returned</v>
      </c>
      <c r="AO269" s="131"/>
    </row>
    <row r="270" spans="1:41" s="90" customFormat="1" ht="19.5" customHeight="1" x14ac:dyDescent="0.25">
      <c r="A270" s="242">
        <f t="shared" si="5"/>
        <v>51.2</v>
      </c>
      <c r="B270" s="242">
        <f>YEAR(Data_NFI_t[[#This Row],[Distribution Date]])</f>
        <v>2013</v>
      </c>
      <c r="C270" s="913">
        <v>41320</v>
      </c>
      <c r="D270" s="489" t="s">
        <v>287</v>
      </c>
      <c r="E270" s="488"/>
      <c r="F270" s="489" t="s">
        <v>7</v>
      </c>
      <c r="G270" s="790" t="s">
        <v>1002</v>
      </c>
      <c r="H270" s="790" t="s">
        <v>35</v>
      </c>
      <c r="I270" s="790">
        <v>35</v>
      </c>
      <c r="J270" s="51"/>
      <c r="K270" s="51"/>
      <c r="L270" s="51"/>
      <c r="M270" s="51"/>
      <c r="N270" s="51"/>
      <c r="O270" s="51"/>
      <c r="P270" s="51"/>
      <c r="Q270" s="51"/>
      <c r="R270" s="511"/>
      <c r="S270" s="51"/>
      <c r="T270" s="51"/>
      <c r="U270" s="51"/>
      <c r="V270" s="51"/>
      <c r="W270" s="51"/>
      <c r="X270" s="131">
        <f>IF(NFI_Expiration=1,IF($A270&lt;VLOOKUP(I$5,NFI,5,0),1,0)*Data_NFI_t[[#This Row],[Hygiene Kit]],0)</f>
        <v>0</v>
      </c>
      <c r="Y270" s="131">
        <f>IF(NFI_Expiration=1,IF($A270&lt;VLOOKUP(J$5,NFI,5,0),1,0)*Data_NFI_t[[#This Row],[NFI Core Kit]],0)</f>
        <v>0</v>
      </c>
      <c r="Z270" s="112">
        <f>IF(NFI_Expiration=1,IF($A270&lt;VLOOKUP(K$5,NFI,5,0),1,0)*Data_NFI_t[[#This Row],[Sanitary Kit]],0)</f>
        <v>0</v>
      </c>
      <c r="AA270" s="112">
        <f>IF(NFI_Expiration=1,IF($A270&lt;VLOOKUP(L$5,NFI,5,0),1,0)*Data_NFI_t[[#This Row],[Mosquito net]],0)</f>
        <v>0</v>
      </c>
      <c r="AB270" s="112">
        <f>IF(NFI_Expiration=1,IF($A270&lt;VLOOKUP(M$5,NFI,5,0),1,0)*Data_NFI_t[[#This Row],[Tarpaulin]],0)</f>
        <v>0</v>
      </c>
      <c r="AC270" s="112">
        <f>IF(NFI_Expiration=1,IF($A270&lt;VLOOKUP(N$5,NFI,5,0),1,0)*Data_NFI_t[[#This Row],[Blanket]],0)</f>
        <v>0</v>
      </c>
      <c r="AD270" s="112">
        <f>IF(NFI_Expiration=1,IF($A270&lt;VLOOKUP(O$5,NFI,5,0),1,0)*Data_NFI_t[[#This Row],[Kitchen Set]],0)</f>
        <v>0</v>
      </c>
      <c r="AE270" s="112">
        <f>IF(NFI_Expiration=1,IF($A270&lt;VLOOKUP(P$5,NFI,5,0),1,0)*Data_NFI_t[[#This Row],[Complementary Kit]],0)</f>
        <v>0</v>
      </c>
      <c r="AF270" s="112">
        <f>IF(NFI_Expiration=1,IF($A270&lt;VLOOKUP(Q$5,NFI,5,0),1,0)*Data_NFI_t[[#This Row],[Plastic Bucket]],0)</f>
        <v>0</v>
      </c>
      <c r="AG270" s="112">
        <f>IF(NFI_Expiration=1,IF($A270&lt;VLOOKUP(R$5,NFI,5,0),1,0)*Data_NFI_t[[#This Row],[Jerry Can]],0)</f>
        <v>0</v>
      </c>
      <c r="AH270" s="131">
        <f>IF(NFI_Expiration=1,IF($A270&lt;VLOOKUP(S$5,NFI,5,0),1,0)*Data_NFI_t[[#This Row],[Plastic Mat]],0)*IF(Data_NFI_t[[#This Row],[Distribution Date]]&gt;"01-06-2015",1,2.5)</f>
        <v>0</v>
      </c>
      <c r="AI270" s="901">
        <f>IF(NFI_Expiration=1,IF($A270&lt;VLOOKUP(T$5,NFI,5,0),1,0)*Data_NFI_t[[#This Row],[Adult Clothes]],0)</f>
        <v>0</v>
      </c>
      <c r="AJ270" s="131">
        <f>IF(NFI_Expiration=1,IF($A270&lt;VLOOKUP(U$5,NFI,5,0),1,0)*Data_NFI_t[[#This Row],[Children Clothes]],0)</f>
        <v>0</v>
      </c>
      <c r="AK270" s="131">
        <f>IF(NFI_Expiration=1,IF($A270&lt;VLOOKUP(V$5,NFI,5,0),1,0)*Data_NFI_t[[#This Row],[Sewing Kit]],0)</f>
        <v>0</v>
      </c>
      <c r="AL270" s="901">
        <f>IF(NFI_Expiration=1,IF($A270&lt;VLOOKUP(V$5,NFI,5,0),1,0)*Data_NFI_t[[#This Row],[Solar Lantern]],0)</f>
        <v>0</v>
      </c>
      <c r="AM270" s="131" t="str">
        <f ca="1">IFERROR(OFFSET(Camp_List[P_Code],MATCH(Data_NFI_t[[#This Row],[Camp Name]],Camp_List[Camp Name],0)-1,0,1,1),"")</f>
        <v>MMR012CMP011</v>
      </c>
      <c r="AN270" s="513" t="str">
        <f ca="1">IFERROR(OFFSET(Camp_List[Status],MATCH(Data_NFI_t[[#This Row],[Camp Name]],Camp_List[Camp Name],0)-1,0,1,1),"")</f>
        <v>Close</v>
      </c>
      <c r="AO270" s="131"/>
    </row>
    <row r="271" spans="1:41" s="90" customFormat="1" ht="19.5" customHeight="1" x14ac:dyDescent="0.25">
      <c r="A271" s="242">
        <f t="shared" si="5"/>
        <v>51.2</v>
      </c>
      <c r="B271" s="242">
        <f>YEAR(Data_NFI_t[[#This Row],[Distribution Date]])</f>
        <v>2013</v>
      </c>
      <c r="C271" s="913">
        <v>41320</v>
      </c>
      <c r="D271" s="489" t="s">
        <v>287</v>
      </c>
      <c r="E271" s="488"/>
      <c r="F271" s="489" t="s">
        <v>7</v>
      </c>
      <c r="G271" s="790" t="s">
        <v>11</v>
      </c>
      <c r="H271" s="790" t="s">
        <v>28</v>
      </c>
      <c r="I271" s="790">
        <v>230</v>
      </c>
      <c r="J271" s="51"/>
      <c r="K271" s="51"/>
      <c r="L271" s="51"/>
      <c r="M271" s="51"/>
      <c r="N271" s="51"/>
      <c r="O271" s="51"/>
      <c r="P271" s="51"/>
      <c r="Q271" s="51"/>
      <c r="R271" s="511"/>
      <c r="S271" s="51"/>
      <c r="T271" s="51"/>
      <c r="U271" s="51"/>
      <c r="V271" s="51"/>
      <c r="W271" s="51"/>
      <c r="X271" s="131">
        <f>IF(NFI_Expiration=1,IF($A271&lt;VLOOKUP(I$5,NFI,5,0),1,0)*Data_NFI_t[[#This Row],[Hygiene Kit]],0)</f>
        <v>0</v>
      </c>
      <c r="Y271" s="131">
        <f>IF(NFI_Expiration=1,IF($A271&lt;VLOOKUP(J$5,NFI,5,0),1,0)*Data_NFI_t[[#This Row],[NFI Core Kit]],0)</f>
        <v>0</v>
      </c>
      <c r="Z271" s="112">
        <f>IF(NFI_Expiration=1,IF($A271&lt;VLOOKUP(K$5,NFI,5,0),1,0)*Data_NFI_t[[#This Row],[Sanitary Kit]],0)</f>
        <v>0</v>
      </c>
      <c r="AA271" s="112">
        <f>IF(NFI_Expiration=1,IF($A271&lt;VLOOKUP(L$5,NFI,5,0),1,0)*Data_NFI_t[[#This Row],[Mosquito net]],0)</f>
        <v>0</v>
      </c>
      <c r="AB271" s="112">
        <f>IF(NFI_Expiration=1,IF($A271&lt;VLOOKUP(M$5,NFI,5,0),1,0)*Data_NFI_t[[#This Row],[Tarpaulin]],0)</f>
        <v>0</v>
      </c>
      <c r="AC271" s="112">
        <f>IF(NFI_Expiration=1,IF($A271&lt;VLOOKUP(N$5,NFI,5,0),1,0)*Data_NFI_t[[#This Row],[Blanket]],0)</f>
        <v>0</v>
      </c>
      <c r="AD271" s="112">
        <f>IF(NFI_Expiration=1,IF($A271&lt;VLOOKUP(O$5,NFI,5,0),1,0)*Data_NFI_t[[#This Row],[Kitchen Set]],0)</f>
        <v>0</v>
      </c>
      <c r="AE271" s="112">
        <f>IF(NFI_Expiration=1,IF($A271&lt;VLOOKUP(P$5,NFI,5,0),1,0)*Data_NFI_t[[#This Row],[Complementary Kit]],0)</f>
        <v>0</v>
      </c>
      <c r="AF271" s="112">
        <f>IF(NFI_Expiration=1,IF($A271&lt;VLOOKUP(Q$5,NFI,5,0),1,0)*Data_NFI_t[[#This Row],[Plastic Bucket]],0)</f>
        <v>0</v>
      </c>
      <c r="AG271" s="112">
        <f>IF(NFI_Expiration=1,IF($A271&lt;VLOOKUP(R$5,NFI,5,0),1,0)*Data_NFI_t[[#This Row],[Jerry Can]],0)</f>
        <v>0</v>
      </c>
      <c r="AH271" s="131">
        <f>IF(NFI_Expiration=1,IF($A271&lt;VLOOKUP(S$5,NFI,5,0),1,0)*Data_NFI_t[[#This Row],[Plastic Mat]],0)*IF(Data_NFI_t[[#This Row],[Distribution Date]]&gt;"01-06-2015",1,2.5)</f>
        <v>0</v>
      </c>
      <c r="AI271" s="901">
        <f>IF(NFI_Expiration=1,IF($A271&lt;VLOOKUP(T$5,NFI,5,0),1,0)*Data_NFI_t[[#This Row],[Adult Clothes]],0)</f>
        <v>0</v>
      </c>
      <c r="AJ271" s="131">
        <f>IF(NFI_Expiration=1,IF($A271&lt;VLOOKUP(U$5,NFI,5,0),1,0)*Data_NFI_t[[#This Row],[Children Clothes]],0)</f>
        <v>0</v>
      </c>
      <c r="AK271" s="131">
        <f>IF(NFI_Expiration=1,IF($A271&lt;VLOOKUP(V$5,NFI,5,0),1,0)*Data_NFI_t[[#This Row],[Sewing Kit]],0)</f>
        <v>0</v>
      </c>
      <c r="AL271" s="901">
        <f>IF(NFI_Expiration=1,IF($A271&lt;VLOOKUP(V$5,NFI,5,0),1,0)*Data_NFI_t[[#This Row],[Solar Lantern]],0)</f>
        <v>0</v>
      </c>
      <c r="AM271" s="131" t="str">
        <f ca="1">IFERROR(OFFSET(Camp_List[P_Code],MATCH(Data_NFI_t[[#This Row],[Camp Name]],Camp_List[Camp Name],0)-1,0,1,1),"")</f>
        <v>MMR012CMP004</v>
      </c>
      <c r="AN271" s="513" t="str">
        <f ca="1">IFERROR(OFFSET(Camp_List[Status],MATCH(Data_NFI_t[[#This Row],[Camp Name]],Camp_List[Camp Name],0)-1,0,1,1),"")</f>
        <v>Close</v>
      </c>
      <c r="AO271" s="131"/>
    </row>
    <row r="272" spans="1:41" s="90" customFormat="1" ht="19.5" customHeight="1" x14ac:dyDescent="0.25">
      <c r="A272" s="242">
        <f t="shared" si="5"/>
        <v>51.2</v>
      </c>
      <c r="B272" s="242">
        <f>YEAR(Data_NFI_t[[#This Row],[Distribution Date]])</f>
        <v>2013</v>
      </c>
      <c r="C272" s="913">
        <v>41320</v>
      </c>
      <c r="D272" s="489" t="s">
        <v>287</v>
      </c>
      <c r="E272" s="488"/>
      <c r="F272" s="489" t="s">
        <v>7</v>
      </c>
      <c r="G272" s="790" t="s">
        <v>1002</v>
      </c>
      <c r="H272" s="790" t="s">
        <v>33</v>
      </c>
      <c r="I272" s="790">
        <v>245</v>
      </c>
      <c r="J272" s="51"/>
      <c r="K272" s="51"/>
      <c r="L272" s="51"/>
      <c r="M272" s="51"/>
      <c r="N272" s="51"/>
      <c r="O272" s="51"/>
      <c r="P272" s="51"/>
      <c r="Q272" s="51"/>
      <c r="R272" s="511"/>
      <c r="S272" s="51"/>
      <c r="T272" s="51"/>
      <c r="U272" s="51"/>
      <c r="V272" s="51"/>
      <c r="W272" s="51"/>
      <c r="X272" s="131">
        <f>IF(NFI_Expiration=1,IF($A272&lt;VLOOKUP(I$5,NFI,5,0),1,0)*Data_NFI_t[[#This Row],[Hygiene Kit]],0)</f>
        <v>0</v>
      </c>
      <c r="Y272" s="131">
        <f>IF(NFI_Expiration=1,IF($A272&lt;VLOOKUP(J$5,NFI,5,0),1,0)*Data_NFI_t[[#This Row],[NFI Core Kit]],0)</f>
        <v>0</v>
      </c>
      <c r="Z272" s="112">
        <f>IF(NFI_Expiration=1,IF($A272&lt;VLOOKUP(K$5,NFI,5,0),1,0)*Data_NFI_t[[#This Row],[Sanitary Kit]],0)</f>
        <v>0</v>
      </c>
      <c r="AA272" s="112">
        <f>IF(NFI_Expiration=1,IF($A272&lt;VLOOKUP(L$5,NFI,5,0),1,0)*Data_NFI_t[[#This Row],[Mosquito net]],0)</f>
        <v>0</v>
      </c>
      <c r="AB272" s="112">
        <f>IF(NFI_Expiration=1,IF($A272&lt;VLOOKUP(M$5,NFI,5,0),1,0)*Data_NFI_t[[#This Row],[Tarpaulin]],0)</f>
        <v>0</v>
      </c>
      <c r="AC272" s="112">
        <f>IF(NFI_Expiration=1,IF($A272&lt;VLOOKUP(N$5,NFI,5,0),1,0)*Data_NFI_t[[#This Row],[Blanket]],0)</f>
        <v>0</v>
      </c>
      <c r="AD272" s="112">
        <f>IF(NFI_Expiration=1,IF($A272&lt;VLOOKUP(O$5,NFI,5,0),1,0)*Data_NFI_t[[#This Row],[Kitchen Set]],0)</f>
        <v>0</v>
      </c>
      <c r="AE272" s="112">
        <f>IF(NFI_Expiration=1,IF($A272&lt;VLOOKUP(P$5,NFI,5,0),1,0)*Data_NFI_t[[#This Row],[Complementary Kit]],0)</f>
        <v>0</v>
      </c>
      <c r="AF272" s="112">
        <f>IF(NFI_Expiration=1,IF($A272&lt;VLOOKUP(Q$5,NFI,5,0),1,0)*Data_NFI_t[[#This Row],[Plastic Bucket]],0)</f>
        <v>0</v>
      </c>
      <c r="AG272" s="112">
        <f>IF(NFI_Expiration=1,IF($A272&lt;VLOOKUP(R$5,NFI,5,0),1,0)*Data_NFI_t[[#This Row],[Jerry Can]],0)</f>
        <v>0</v>
      </c>
      <c r="AH272" s="131">
        <f>IF(NFI_Expiration=1,IF($A272&lt;VLOOKUP(S$5,NFI,5,0),1,0)*Data_NFI_t[[#This Row],[Plastic Mat]],0)*IF(Data_NFI_t[[#This Row],[Distribution Date]]&gt;"01-06-2015",1,2.5)</f>
        <v>0</v>
      </c>
      <c r="AI272" s="901">
        <f>IF(NFI_Expiration=1,IF($A272&lt;VLOOKUP(T$5,NFI,5,0),1,0)*Data_NFI_t[[#This Row],[Adult Clothes]],0)</f>
        <v>0</v>
      </c>
      <c r="AJ272" s="131">
        <f>IF(NFI_Expiration=1,IF($A272&lt;VLOOKUP(U$5,NFI,5,0),1,0)*Data_NFI_t[[#This Row],[Children Clothes]],0)</f>
        <v>0</v>
      </c>
      <c r="AK272" s="131">
        <f>IF(NFI_Expiration=1,IF($A272&lt;VLOOKUP(V$5,NFI,5,0),1,0)*Data_NFI_t[[#This Row],[Sewing Kit]],0)</f>
        <v>0</v>
      </c>
      <c r="AL272" s="901">
        <f>IF(NFI_Expiration=1,IF($A272&lt;VLOOKUP(V$5,NFI,5,0),1,0)*Data_NFI_t[[#This Row],[Solar Lantern]],0)</f>
        <v>0</v>
      </c>
      <c r="AM272" s="131" t="str">
        <f ca="1">IFERROR(OFFSET(Camp_List[P_Code],MATCH(Data_NFI_t[[#This Row],[Camp Name]],Camp_List[Camp Name],0)-1,0,1,1),"")</f>
        <v>MMR012CMP009</v>
      </c>
      <c r="AN272" s="513" t="str">
        <f ca="1">IFERROR(OFFSET(Camp_List[Status],MATCH(Data_NFI_t[[#This Row],[Camp Name]],Camp_List[Camp Name],0)-1,0,1,1),"")</f>
        <v>Returned</v>
      </c>
      <c r="AO272" s="131"/>
    </row>
    <row r="273" spans="1:41" s="90" customFormat="1" ht="19.5" customHeight="1" x14ac:dyDescent="0.25">
      <c r="A273" s="242">
        <f t="shared" si="5"/>
        <v>51.2</v>
      </c>
      <c r="B273" s="242">
        <f>YEAR(Data_NFI_t[[#This Row],[Distribution Date]])</f>
        <v>2013</v>
      </c>
      <c r="C273" s="913">
        <v>41320</v>
      </c>
      <c r="D273" s="489" t="s">
        <v>287</v>
      </c>
      <c r="E273" s="488"/>
      <c r="F273" s="489" t="s">
        <v>7</v>
      </c>
      <c r="G273" s="790" t="s">
        <v>11</v>
      </c>
      <c r="H273" s="790" t="s">
        <v>25</v>
      </c>
      <c r="I273" s="790">
        <v>20</v>
      </c>
      <c r="J273" s="51"/>
      <c r="K273" s="51"/>
      <c r="L273" s="51"/>
      <c r="M273" s="51"/>
      <c r="N273" s="51"/>
      <c r="O273" s="51"/>
      <c r="P273" s="51"/>
      <c r="Q273" s="51"/>
      <c r="R273" s="511"/>
      <c r="S273" s="51"/>
      <c r="T273" s="51"/>
      <c r="U273" s="51"/>
      <c r="V273" s="51"/>
      <c r="W273" s="51"/>
      <c r="X273" s="131">
        <f>IF(NFI_Expiration=1,IF($A273&lt;VLOOKUP(I$5,NFI,5,0),1,0)*Data_NFI_t[[#This Row],[Hygiene Kit]],0)</f>
        <v>0</v>
      </c>
      <c r="Y273" s="131">
        <f>IF(NFI_Expiration=1,IF($A273&lt;VLOOKUP(J$5,NFI,5,0),1,0)*Data_NFI_t[[#This Row],[NFI Core Kit]],0)</f>
        <v>0</v>
      </c>
      <c r="Z273" s="112">
        <f>IF(NFI_Expiration=1,IF($A273&lt;VLOOKUP(K$5,NFI,5,0),1,0)*Data_NFI_t[[#This Row],[Sanitary Kit]],0)</f>
        <v>0</v>
      </c>
      <c r="AA273" s="112">
        <f>IF(NFI_Expiration=1,IF($A273&lt;VLOOKUP(L$5,NFI,5,0),1,0)*Data_NFI_t[[#This Row],[Mosquito net]],0)</f>
        <v>0</v>
      </c>
      <c r="AB273" s="112">
        <f>IF(NFI_Expiration=1,IF($A273&lt;VLOOKUP(M$5,NFI,5,0),1,0)*Data_NFI_t[[#This Row],[Tarpaulin]],0)</f>
        <v>0</v>
      </c>
      <c r="AC273" s="112">
        <f>IF(NFI_Expiration=1,IF($A273&lt;VLOOKUP(N$5,NFI,5,0),1,0)*Data_NFI_t[[#This Row],[Blanket]],0)</f>
        <v>0</v>
      </c>
      <c r="AD273" s="112">
        <f>IF(NFI_Expiration=1,IF($A273&lt;VLOOKUP(O$5,NFI,5,0),1,0)*Data_NFI_t[[#This Row],[Kitchen Set]],0)</f>
        <v>0</v>
      </c>
      <c r="AE273" s="112">
        <f>IF(NFI_Expiration=1,IF($A273&lt;VLOOKUP(P$5,NFI,5,0),1,0)*Data_NFI_t[[#This Row],[Complementary Kit]],0)</f>
        <v>0</v>
      </c>
      <c r="AF273" s="112">
        <f>IF(NFI_Expiration=1,IF($A273&lt;VLOOKUP(Q$5,NFI,5,0),1,0)*Data_NFI_t[[#This Row],[Plastic Bucket]],0)</f>
        <v>0</v>
      </c>
      <c r="AG273" s="112">
        <f>IF(NFI_Expiration=1,IF($A273&lt;VLOOKUP(R$5,NFI,5,0),1,0)*Data_NFI_t[[#This Row],[Jerry Can]],0)</f>
        <v>0</v>
      </c>
      <c r="AH273" s="131">
        <f>IF(NFI_Expiration=1,IF($A273&lt;VLOOKUP(S$5,NFI,5,0),1,0)*Data_NFI_t[[#This Row],[Plastic Mat]],0)*IF(Data_NFI_t[[#This Row],[Distribution Date]]&gt;"01-06-2015",1,2.5)</f>
        <v>0</v>
      </c>
      <c r="AI273" s="901">
        <f>IF(NFI_Expiration=1,IF($A273&lt;VLOOKUP(T$5,NFI,5,0),1,0)*Data_NFI_t[[#This Row],[Adult Clothes]],0)</f>
        <v>0</v>
      </c>
      <c r="AJ273" s="131">
        <f>IF(NFI_Expiration=1,IF($A273&lt;VLOOKUP(U$5,NFI,5,0),1,0)*Data_NFI_t[[#This Row],[Children Clothes]],0)</f>
        <v>0</v>
      </c>
      <c r="AK273" s="131">
        <f>IF(NFI_Expiration=1,IF($A273&lt;VLOOKUP(V$5,NFI,5,0),1,0)*Data_NFI_t[[#This Row],[Sewing Kit]],0)</f>
        <v>0</v>
      </c>
      <c r="AL273" s="901">
        <f>IF(NFI_Expiration=1,IF($A273&lt;VLOOKUP(V$5,NFI,5,0),1,0)*Data_NFI_t[[#This Row],[Solar Lantern]],0)</f>
        <v>0</v>
      </c>
      <c r="AM273" s="131" t="str">
        <f ca="1">IFERROR(OFFSET(Camp_List[P_Code],MATCH(Data_NFI_t[[#This Row],[Camp Name]],Camp_List[Camp Name],0)-1,0,1,1),"")</f>
        <v>MMR012CMP001</v>
      </c>
      <c r="AN273" s="513" t="str">
        <f ca="1">IFERROR(OFFSET(Camp_List[Status],MATCH(Data_NFI_t[[#This Row],[Camp Name]],Camp_List[Camp Name],0)-1,0,1,1),"")</f>
        <v>Returned</v>
      </c>
      <c r="AO273" s="131"/>
    </row>
    <row r="274" spans="1:41" s="90" customFormat="1" ht="19.5" customHeight="1" x14ac:dyDescent="0.25">
      <c r="A274" s="242">
        <f t="shared" si="5"/>
        <v>51.2</v>
      </c>
      <c r="B274" s="242">
        <f>YEAR(Data_NFI_t[[#This Row],[Distribution Date]])</f>
        <v>2013</v>
      </c>
      <c r="C274" s="913">
        <v>41320</v>
      </c>
      <c r="D274" s="489" t="s">
        <v>287</v>
      </c>
      <c r="E274" s="488"/>
      <c r="F274" s="489" t="s">
        <v>7</v>
      </c>
      <c r="G274" s="790" t="s">
        <v>11</v>
      </c>
      <c r="H274" s="790" t="s">
        <v>32</v>
      </c>
      <c r="I274" s="790">
        <v>230</v>
      </c>
      <c r="J274" s="51"/>
      <c r="K274" s="51"/>
      <c r="L274" s="51"/>
      <c r="M274" s="51"/>
      <c r="N274" s="51"/>
      <c r="O274" s="51"/>
      <c r="P274" s="51"/>
      <c r="Q274" s="51"/>
      <c r="R274" s="511"/>
      <c r="S274" s="51"/>
      <c r="T274" s="51"/>
      <c r="U274" s="51"/>
      <c r="V274" s="51"/>
      <c r="W274" s="51"/>
      <c r="X274" s="131">
        <f>IF(NFI_Expiration=1,IF($A274&lt;VLOOKUP(I$5,NFI,5,0),1,0)*Data_NFI_t[[#This Row],[Hygiene Kit]],0)</f>
        <v>0</v>
      </c>
      <c r="Y274" s="131">
        <f>IF(NFI_Expiration=1,IF($A274&lt;VLOOKUP(J$5,NFI,5,0),1,0)*Data_NFI_t[[#This Row],[NFI Core Kit]],0)</f>
        <v>0</v>
      </c>
      <c r="Z274" s="112">
        <f>IF(NFI_Expiration=1,IF($A274&lt;VLOOKUP(K$5,NFI,5,0),1,0)*Data_NFI_t[[#This Row],[Sanitary Kit]],0)</f>
        <v>0</v>
      </c>
      <c r="AA274" s="112">
        <f>IF(NFI_Expiration=1,IF($A274&lt;VLOOKUP(L$5,NFI,5,0),1,0)*Data_NFI_t[[#This Row],[Mosquito net]],0)</f>
        <v>0</v>
      </c>
      <c r="AB274" s="112">
        <f>IF(NFI_Expiration=1,IF($A274&lt;VLOOKUP(M$5,NFI,5,0),1,0)*Data_NFI_t[[#This Row],[Tarpaulin]],0)</f>
        <v>0</v>
      </c>
      <c r="AC274" s="112">
        <f>IF(NFI_Expiration=1,IF($A274&lt;VLOOKUP(N$5,NFI,5,0),1,0)*Data_NFI_t[[#This Row],[Blanket]],0)</f>
        <v>0</v>
      </c>
      <c r="AD274" s="112">
        <f>IF(NFI_Expiration=1,IF($A274&lt;VLOOKUP(O$5,NFI,5,0),1,0)*Data_NFI_t[[#This Row],[Kitchen Set]],0)</f>
        <v>0</v>
      </c>
      <c r="AE274" s="112">
        <f>IF(NFI_Expiration=1,IF($A274&lt;VLOOKUP(P$5,NFI,5,0),1,0)*Data_NFI_t[[#This Row],[Complementary Kit]],0)</f>
        <v>0</v>
      </c>
      <c r="AF274" s="112">
        <f>IF(NFI_Expiration=1,IF($A274&lt;VLOOKUP(Q$5,NFI,5,0),1,0)*Data_NFI_t[[#This Row],[Plastic Bucket]],0)</f>
        <v>0</v>
      </c>
      <c r="AG274" s="112">
        <f>IF(NFI_Expiration=1,IF($A274&lt;VLOOKUP(R$5,NFI,5,0),1,0)*Data_NFI_t[[#This Row],[Jerry Can]],0)</f>
        <v>0</v>
      </c>
      <c r="AH274" s="131">
        <f>IF(NFI_Expiration=1,IF($A274&lt;VLOOKUP(S$5,NFI,5,0),1,0)*Data_NFI_t[[#This Row],[Plastic Mat]],0)*IF(Data_NFI_t[[#This Row],[Distribution Date]]&gt;"01-06-2015",1,2.5)</f>
        <v>0</v>
      </c>
      <c r="AI274" s="901">
        <f>IF(NFI_Expiration=1,IF($A274&lt;VLOOKUP(T$5,NFI,5,0),1,0)*Data_NFI_t[[#This Row],[Adult Clothes]],0)</f>
        <v>0</v>
      </c>
      <c r="AJ274" s="131">
        <f>IF(NFI_Expiration=1,IF($A274&lt;VLOOKUP(U$5,NFI,5,0),1,0)*Data_NFI_t[[#This Row],[Children Clothes]],0)</f>
        <v>0</v>
      </c>
      <c r="AK274" s="131">
        <f>IF(NFI_Expiration=1,IF($A274&lt;VLOOKUP(V$5,NFI,5,0),1,0)*Data_NFI_t[[#This Row],[Sewing Kit]],0)</f>
        <v>0</v>
      </c>
      <c r="AL274" s="901">
        <f>IF(NFI_Expiration=1,IF($A274&lt;VLOOKUP(V$5,NFI,5,0),1,0)*Data_NFI_t[[#This Row],[Solar Lantern]],0)</f>
        <v>0</v>
      </c>
      <c r="AM274" s="131" t="str">
        <f ca="1">IFERROR(OFFSET(Camp_List[P_Code],MATCH(Data_NFI_t[[#This Row],[Camp Name]],Camp_List[Camp Name],0)-1,0,1,1),"")</f>
        <v>MMR012CMP008</v>
      </c>
      <c r="AN274" s="513" t="str">
        <f ca="1">IFERROR(OFFSET(Camp_List[Status],MATCH(Data_NFI_t[[#This Row],[Camp Name]],Camp_List[Camp Name],0)-1,0,1,1),"")</f>
        <v>Returned</v>
      </c>
      <c r="AO274" s="131"/>
    </row>
    <row r="275" spans="1:41" s="90" customFormat="1" ht="19.5" customHeight="1" x14ac:dyDescent="0.25">
      <c r="A275" s="242">
        <f t="shared" si="5"/>
        <v>51.2</v>
      </c>
      <c r="B275" s="242">
        <f>YEAR(Data_NFI_t[[#This Row],[Distribution Date]])</f>
        <v>2013</v>
      </c>
      <c r="C275" s="913">
        <v>41320</v>
      </c>
      <c r="D275" s="489" t="s">
        <v>287</v>
      </c>
      <c r="E275" s="488"/>
      <c r="F275" s="489" t="s">
        <v>7</v>
      </c>
      <c r="G275" s="790" t="s">
        <v>11</v>
      </c>
      <c r="H275" s="790" t="s">
        <v>27</v>
      </c>
      <c r="I275" s="790">
        <v>90</v>
      </c>
      <c r="J275" s="51"/>
      <c r="K275" s="51"/>
      <c r="L275" s="51"/>
      <c r="M275" s="51"/>
      <c r="N275" s="51"/>
      <c r="O275" s="51"/>
      <c r="P275" s="51"/>
      <c r="Q275" s="51"/>
      <c r="R275" s="511"/>
      <c r="S275" s="51"/>
      <c r="T275" s="51"/>
      <c r="U275" s="51"/>
      <c r="V275" s="51"/>
      <c r="W275" s="51"/>
      <c r="X275" s="131">
        <f>IF(NFI_Expiration=1,IF($A275&lt;VLOOKUP(I$5,NFI,5,0),1,0)*Data_NFI_t[[#This Row],[Hygiene Kit]],0)</f>
        <v>0</v>
      </c>
      <c r="Y275" s="131">
        <f>IF(NFI_Expiration=1,IF($A275&lt;VLOOKUP(J$5,NFI,5,0),1,0)*Data_NFI_t[[#This Row],[NFI Core Kit]],0)</f>
        <v>0</v>
      </c>
      <c r="Z275" s="112">
        <f>IF(NFI_Expiration=1,IF($A275&lt;VLOOKUP(K$5,NFI,5,0),1,0)*Data_NFI_t[[#This Row],[Sanitary Kit]],0)</f>
        <v>0</v>
      </c>
      <c r="AA275" s="112">
        <f>IF(NFI_Expiration=1,IF($A275&lt;VLOOKUP(L$5,NFI,5,0),1,0)*Data_NFI_t[[#This Row],[Mosquito net]],0)</f>
        <v>0</v>
      </c>
      <c r="AB275" s="112">
        <f>IF(NFI_Expiration=1,IF($A275&lt;VLOOKUP(M$5,NFI,5,0),1,0)*Data_NFI_t[[#This Row],[Tarpaulin]],0)</f>
        <v>0</v>
      </c>
      <c r="AC275" s="112">
        <f>IF(NFI_Expiration=1,IF($A275&lt;VLOOKUP(N$5,NFI,5,0),1,0)*Data_NFI_t[[#This Row],[Blanket]],0)</f>
        <v>0</v>
      </c>
      <c r="AD275" s="112">
        <f>IF(NFI_Expiration=1,IF($A275&lt;VLOOKUP(O$5,NFI,5,0),1,0)*Data_NFI_t[[#This Row],[Kitchen Set]],0)</f>
        <v>0</v>
      </c>
      <c r="AE275" s="112">
        <f>IF(NFI_Expiration=1,IF($A275&lt;VLOOKUP(P$5,NFI,5,0),1,0)*Data_NFI_t[[#This Row],[Complementary Kit]],0)</f>
        <v>0</v>
      </c>
      <c r="AF275" s="112">
        <f>IF(NFI_Expiration=1,IF($A275&lt;VLOOKUP(Q$5,NFI,5,0),1,0)*Data_NFI_t[[#This Row],[Plastic Bucket]],0)</f>
        <v>0</v>
      </c>
      <c r="AG275" s="112">
        <f>IF(NFI_Expiration=1,IF($A275&lt;VLOOKUP(R$5,NFI,5,0),1,0)*Data_NFI_t[[#This Row],[Jerry Can]],0)</f>
        <v>0</v>
      </c>
      <c r="AH275" s="131">
        <f>IF(NFI_Expiration=1,IF($A275&lt;VLOOKUP(S$5,NFI,5,0),1,0)*Data_NFI_t[[#This Row],[Plastic Mat]],0)*IF(Data_NFI_t[[#This Row],[Distribution Date]]&gt;"01-06-2015",1,2.5)</f>
        <v>0</v>
      </c>
      <c r="AI275" s="901">
        <f>IF(NFI_Expiration=1,IF($A275&lt;VLOOKUP(T$5,NFI,5,0),1,0)*Data_NFI_t[[#This Row],[Adult Clothes]],0)</f>
        <v>0</v>
      </c>
      <c r="AJ275" s="131">
        <f>IF(NFI_Expiration=1,IF($A275&lt;VLOOKUP(U$5,NFI,5,0),1,0)*Data_NFI_t[[#This Row],[Children Clothes]],0)</f>
        <v>0</v>
      </c>
      <c r="AK275" s="131">
        <f>IF(NFI_Expiration=1,IF($A275&lt;VLOOKUP(V$5,NFI,5,0),1,0)*Data_NFI_t[[#This Row],[Sewing Kit]],0)</f>
        <v>0</v>
      </c>
      <c r="AL275" s="901">
        <f>IF(NFI_Expiration=1,IF($A275&lt;VLOOKUP(V$5,NFI,5,0),1,0)*Data_NFI_t[[#This Row],[Solar Lantern]],0)</f>
        <v>0</v>
      </c>
      <c r="AM275" s="131" t="str">
        <f ca="1">IFERROR(OFFSET(Camp_List[P_Code],MATCH(Data_NFI_t[[#This Row],[Camp Name]],Camp_List[Camp Name],0)-1,0,1,1),"")</f>
        <v>MMR012CMP003</v>
      </c>
      <c r="AN275" s="513" t="str">
        <f ca="1">IFERROR(OFFSET(Camp_List[Status],MATCH(Data_NFI_t[[#This Row],[Camp Name]],Camp_List[Camp Name],0)-1,0,1,1),"")</f>
        <v>Returned</v>
      </c>
      <c r="AO275" s="131"/>
    </row>
    <row r="276" spans="1:41" s="90" customFormat="1" ht="19.5" customHeight="1" x14ac:dyDescent="0.25">
      <c r="A276" s="242">
        <f t="shared" si="5"/>
        <v>51.2</v>
      </c>
      <c r="B276" s="242">
        <f>YEAR(Data_NFI_t[[#This Row],[Distribution Date]])</f>
        <v>2013</v>
      </c>
      <c r="C276" s="913">
        <v>41320</v>
      </c>
      <c r="D276" s="489" t="s">
        <v>287</v>
      </c>
      <c r="E276" s="488"/>
      <c r="F276" s="489" t="s">
        <v>7</v>
      </c>
      <c r="G276" s="790" t="s">
        <v>11</v>
      </c>
      <c r="H276" s="790" t="s">
        <v>26</v>
      </c>
      <c r="I276" s="790">
        <v>205</v>
      </c>
      <c r="J276" s="51"/>
      <c r="K276" s="51"/>
      <c r="L276" s="51"/>
      <c r="M276" s="51"/>
      <c r="N276" s="51"/>
      <c r="O276" s="51"/>
      <c r="P276" s="51"/>
      <c r="Q276" s="51"/>
      <c r="R276" s="511"/>
      <c r="S276" s="51"/>
      <c r="T276" s="51"/>
      <c r="U276" s="51"/>
      <c r="V276" s="51"/>
      <c r="W276" s="51"/>
      <c r="X276" s="131">
        <f>IF(NFI_Expiration=1,IF($A276&lt;VLOOKUP(I$5,NFI,5,0),1,0)*Data_NFI_t[[#This Row],[Hygiene Kit]],0)</f>
        <v>0</v>
      </c>
      <c r="Y276" s="131">
        <f>IF(NFI_Expiration=1,IF($A276&lt;VLOOKUP(J$5,NFI,5,0),1,0)*Data_NFI_t[[#This Row],[NFI Core Kit]],0)</f>
        <v>0</v>
      </c>
      <c r="Z276" s="112">
        <f>IF(NFI_Expiration=1,IF($A276&lt;VLOOKUP(K$5,NFI,5,0),1,0)*Data_NFI_t[[#This Row],[Sanitary Kit]],0)</f>
        <v>0</v>
      </c>
      <c r="AA276" s="112">
        <f>IF(NFI_Expiration=1,IF($A276&lt;VLOOKUP(L$5,NFI,5,0),1,0)*Data_NFI_t[[#This Row],[Mosquito net]],0)</f>
        <v>0</v>
      </c>
      <c r="AB276" s="112">
        <f>IF(NFI_Expiration=1,IF($A276&lt;VLOOKUP(M$5,NFI,5,0),1,0)*Data_NFI_t[[#This Row],[Tarpaulin]],0)</f>
        <v>0</v>
      </c>
      <c r="AC276" s="112">
        <f>IF(NFI_Expiration=1,IF($A276&lt;VLOOKUP(N$5,NFI,5,0),1,0)*Data_NFI_t[[#This Row],[Blanket]],0)</f>
        <v>0</v>
      </c>
      <c r="AD276" s="112">
        <f>IF(NFI_Expiration=1,IF($A276&lt;VLOOKUP(O$5,NFI,5,0),1,0)*Data_NFI_t[[#This Row],[Kitchen Set]],0)</f>
        <v>0</v>
      </c>
      <c r="AE276" s="112">
        <f>IF(NFI_Expiration=1,IF($A276&lt;VLOOKUP(P$5,NFI,5,0),1,0)*Data_NFI_t[[#This Row],[Complementary Kit]],0)</f>
        <v>0</v>
      </c>
      <c r="AF276" s="112">
        <f>IF(NFI_Expiration=1,IF($A276&lt;VLOOKUP(Q$5,NFI,5,0),1,0)*Data_NFI_t[[#This Row],[Plastic Bucket]],0)</f>
        <v>0</v>
      </c>
      <c r="AG276" s="112">
        <f>IF(NFI_Expiration=1,IF($A276&lt;VLOOKUP(R$5,NFI,5,0),1,0)*Data_NFI_t[[#This Row],[Jerry Can]],0)</f>
        <v>0</v>
      </c>
      <c r="AH276" s="131">
        <f>IF(NFI_Expiration=1,IF($A276&lt;VLOOKUP(S$5,NFI,5,0),1,0)*Data_NFI_t[[#This Row],[Plastic Mat]],0)*IF(Data_NFI_t[[#This Row],[Distribution Date]]&gt;"01-06-2015",1,2.5)</f>
        <v>0</v>
      </c>
      <c r="AI276" s="901">
        <f>IF(NFI_Expiration=1,IF($A276&lt;VLOOKUP(T$5,NFI,5,0),1,0)*Data_NFI_t[[#This Row],[Adult Clothes]],0)</f>
        <v>0</v>
      </c>
      <c r="AJ276" s="131">
        <f>IF(NFI_Expiration=1,IF($A276&lt;VLOOKUP(U$5,NFI,5,0),1,0)*Data_NFI_t[[#This Row],[Children Clothes]],0)</f>
        <v>0</v>
      </c>
      <c r="AK276" s="131">
        <f>IF(NFI_Expiration=1,IF($A276&lt;VLOOKUP(V$5,NFI,5,0),1,0)*Data_NFI_t[[#This Row],[Sewing Kit]],0)</f>
        <v>0</v>
      </c>
      <c r="AL276" s="901">
        <f>IF(NFI_Expiration=1,IF($A276&lt;VLOOKUP(V$5,NFI,5,0),1,0)*Data_NFI_t[[#This Row],[Solar Lantern]],0)</f>
        <v>0</v>
      </c>
      <c r="AM276" s="131" t="str">
        <f ca="1">IFERROR(OFFSET(Camp_List[P_Code],MATCH(Data_NFI_t[[#This Row],[Camp Name]],Camp_List[Camp Name],0)-1,0,1,1),"")</f>
        <v>MMR012CMP002</v>
      </c>
      <c r="AN276" s="513" t="str">
        <f ca="1">IFERROR(OFFSET(Camp_List[Status],MATCH(Data_NFI_t[[#This Row],[Camp Name]],Camp_List[Camp Name],0)-1,0,1,1),"")</f>
        <v>Returned</v>
      </c>
      <c r="AO276" s="131"/>
    </row>
    <row r="277" spans="1:41" s="90" customFormat="1" ht="19.5" customHeight="1" x14ac:dyDescent="0.25">
      <c r="A277" s="242">
        <f t="shared" si="5"/>
        <v>51.2</v>
      </c>
      <c r="B277" s="242">
        <f>YEAR(Data_NFI_t[[#This Row],[Distribution Date]])</f>
        <v>2013</v>
      </c>
      <c r="C277" s="913">
        <v>41320</v>
      </c>
      <c r="D277" s="489" t="s">
        <v>287</v>
      </c>
      <c r="E277" s="488"/>
      <c r="F277" s="489" t="s">
        <v>7</v>
      </c>
      <c r="G277" s="790" t="s">
        <v>11</v>
      </c>
      <c r="H277" s="790" t="s">
        <v>31</v>
      </c>
      <c r="I277" s="790">
        <v>35</v>
      </c>
      <c r="J277" s="51"/>
      <c r="K277" s="51"/>
      <c r="L277" s="51"/>
      <c r="M277" s="51"/>
      <c r="N277" s="51"/>
      <c r="O277" s="51"/>
      <c r="P277" s="51"/>
      <c r="Q277" s="51"/>
      <c r="R277" s="511"/>
      <c r="S277" s="51"/>
      <c r="T277" s="51"/>
      <c r="U277" s="51"/>
      <c r="V277" s="51"/>
      <c r="W277" s="51"/>
      <c r="X277" s="131">
        <f>IF(NFI_Expiration=1,IF($A277&lt;VLOOKUP(I$5,NFI,5,0),1,0)*Data_NFI_t[[#This Row],[Hygiene Kit]],0)</f>
        <v>0</v>
      </c>
      <c r="Y277" s="131">
        <f>IF(NFI_Expiration=1,IF($A277&lt;VLOOKUP(J$5,NFI,5,0),1,0)*Data_NFI_t[[#This Row],[NFI Core Kit]],0)</f>
        <v>0</v>
      </c>
      <c r="Z277" s="112">
        <f>IF(NFI_Expiration=1,IF($A277&lt;VLOOKUP(K$5,NFI,5,0),1,0)*Data_NFI_t[[#This Row],[Sanitary Kit]],0)</f>
        <v>0</v>
      </c>
      <c r="AA277" s="112">
        <f>IF(NFI_Expiration=1,IF($A277&lt;VLOOKUP(L$5,NFI,5,0),1,0)*Data_NFI_t[[#This Row],[Mosquito net]],0)</f>
        <v>0</v>
      </c>
      <c r="AB277" s="112">
        <f>IF(NFI_Expiration=1,IF($A277&lt;VLOOKUP(M$5,NFI,5,0),1,0)*Data_NFI_t[[#This Row],[Tarpaulin]],0)</f>
        <v>0</v>
      </c>
      <c r="AC277" s="112">
        <f>IF(NFI_Expiration=1,IF($A277&lt;VLOOKUP(N$5,NFI,5,0),1,0)*Data_NFI_t[[#This Row],[Blanket]],0)</f>
        <v>0</v>
      </c>
      <c r="AD277" s="112">
        <f>IF(NFI_Expiration=1,IF($A277&lt;VLOOKUP(O$5,NFI,5,0),1,0)*Data_NFI_t[[#This Row],[Kitchen Set]],0)</f>
        <v>0</v>
      </c>
      <c r="AE277" s="112">
        <f>IF(NFI_Expiration=1,IF($A277&lt;VLOOKUP(P$5,NFI,5,0),1,0)*Data_NFI_t[[#This Row],[Complementary Kit]],0)</f>
        <v>0</v>
      </c>
      <c r="AF277" s="112">
        <f>IF(NFI_Expiration=1,IF($A277&lt;VLOOKUP(Q$5,NFI,5,0),1,0)*Data_NFI_t[[#This Row],[Plastic Bucket]],0)</f>
        <v>0</v>
      </c>
      <c r="AG277" s="112">
        <f>IF(NFI_Expiration=1,IF($A277&lt;VLOOKUP(R$5,NFI,5,0),1,0)*Data_NFI_t[[#This Row],[Jerry Can]],0)</f>
        <v>0</v>
      </c>
      <c r="AH277" s="131">
        <f>IF(NFI_Expiration=1,IF($A277&lt;VLOOKUP(S$5,NFI,5,0),1,0)*Data_NFI_t[[#This Row],[Plastic Mat]],0)*IF(Data_NFI_t[[#This Row],[Distribution Date]]&gt;"01-06-2015",1,2.5)</f>
        <v>0</v>
      </c>
      <c r="AI277" s="901">
        <f>IF(NFI_Expiration=1,IF($A277&lt;VLOOKUP(T$5,NFI,5,0),1,0)*Data_NFI_t[[#This Row],[Adult Clothes]],0)</f>
        <v>0</v>
      </c>
      <c r="AJ277" s="131">
        <f>IF(NFI_Expiration=1,IF($A277&lt;VLOOKUP(U$5,NFI,5,0),1,0)*Data_NFI_t[[#This Row],[Children Clothes]],0)</f>
        <v>0</v>
      </c>
      <c r="AK277" s="131">
        <f>IF(NFI_Expiration=1,IF($A277&lt;VLOOKUP(V$5,NFI,5,0),1,0)*Data_NFI_t[[#This Row],[Sewing Kit]],0)</f>
        <v>0</v>
      </c>
      <c r="AL277" s="901">
        <f>IF(NFI_Expiration=1,IF($A277&lt;VLOOKUP(V$5,NFI,5,0),1,0)*Data_NFI_t[[#This Row],[Solar Lantern]],0)</f>
        <v>0</v>
      </c>
      <c r="AM277" s="131" t="str">
        <f ca="1">IFERROR(OFFSET(Camp_List[P_Code],MATCH(Data_NFI_t[[#This Row],[Camp Name]],Camp_List[Camp Name],0)-1,0,1,1),"")</f>
        <v>MMR012CMP007</v>
      </c>
      <c r="AN277" s="513" t="str">
        <f ca="1">IFERROR(OFFSET(Camp_List[Status],MATCH(Data_NFI_t[[#This Row],[Camp Name]],Camp_List[Camp Name],0)-1,0,1,1),"")</f>
        <v>Close</v>
      </c>
      <c r="AO277" s="131"/>
    </row>
    <row r="278" spans="1:41" s="90" customFormat="1" ht="19.5" customHeight="1" x14ac:dyDescent="0.25">
      <c r="A278" s="242">
        <f t="shared" si="5"/>
        <v>51.2</v>
      </c>
      <c r="B278" s="242">
        <f>YEAR(Data_NFI_t[[#This Row],[Distribution Date]])</f>
        <v>2013</v>
      </c>
      <c r="C278" s="913">
        <v>41320</v>
      </c>
      <c r="D278" s="489" t="s">
        <v>287</v>
      </c>
      <c r="E278" s="488"/>
      <c r="F278" s="489" t="s">
        <v>7</v>
      </c>
      <c r="G278" s="790" t="s">
        <v>1002</v>
      </c>
      <c r="H278" s="790" t="s">
        <v>34</v>
      </c>
      <c r="I278" s="790">
        <v>360</v>
      </c>
      <c r="J278" s="51"/>
      <c r="K278" s="51"/>
      <c r="L278" s="51"/>
      <c r="M278" s="51"/>
      <c r="N278" s="51"/>
      <c r="O278" s="51"/>
      <c r="P278" s="51"/>
      <c r="Q278" s="51"/>
      <c r="R278" s="511"/>
      <c r="S278" s="51"/>
      <c r="T278" s="51"/>
      <c r="U278" s="51"/>
      <c r="V278" s="51"/>
      <c r="W278" s="51"/>
      <c r="X278" s="131">
        <f>IF(NFI_Expiration=1,IF($A278&lt;VLOOKUP(I$5,NFI,5,0),1,0)*Data_NFI_t[[#This Row],[Hygiene Kit]],0)</f>
        <v>0</v>
      </c>
      <c r="Y278" s="131">
        <f>IF(NFI_Expiration=1,IF($A278&lt;VLOOKUP(J$5,NFI,5,0),1,0)*Data_NFI_t[[#This Row],[NFI Core Kit]],0)</f>
        <v>0</v>
      </c>
      <c r="Z278" s="112">
        <f>IF(NFI_Expiration=1,IF($A278&lt;VLOOKUP(K$5,NFI,5,0),1,0)*Data_NFI_t[[#This Row],[Sanitary Kit]],0)</f>
        <v>0</v>
      </c>
      <c r="AA278" s="112">
        <f>IF(NFI_Expiration=1,IF($A278&lt;VLOOKUP(L$5,NFI,5,0),1,0)*Data_NFI_t[[#This Row],[Mosquito net]],0)</f>
        <v>0</v>
      </c>
      <c r="AB278" s="112">
        <f>IF(NFI_Expiration=1,IF($A278&lt;VLOOKUP(M$5,NFI,5,0),1,0)*Data_NFI_t[[#This Row],[Tarpaulin]],0)</f>
        <v>0</v>
      </c>
      <c r="AC278" s="112">
        <f>IF(NFI_Expiration=1,IF($A278&lt;VLOOKUP(N$5,NFI,5,0),1,0)*Data_NFI_t[[#This Row],[Blanket]],0)</f>
        <v>0</v>
      </c>
      <c r="AD278" s="112">
        <f>IF(NFI_Expiration=1,IF($A278&lt;VLOOKUP(O$5,NFI,5,0),1,0)*Data_NFI_t[[#This Row],[Kitchen Set]],0)</f>
        <v>0</v>
      </c>
      <c r="AE278" s="112">
        <f>IF(NFI_Expiration=1,IF($A278&lt;VLOOKUP(P$5,NFI,5,0),1,0)*Data_NFI_t[[#This Row],[Complementary Kit]],0)</f>
        <v>0</v>
      </c>
      <c r="AF278" s="112">
        <f>IF(NFI_Expiration=1,IF($A278&lt;VLOOKUP(Q$5,NFI,5,0),1,0)*Data_NFI_t[[#This Row],[Plastic Bucket]],0)</f>
        <v>0</v>
      </c>
      <c r="AG278" s="112">
        <f>IF(NFI_Expiration=1,IF($A278&lt;VLOOKUP(R$5,NFI,5,0),1,0)*Data_NFI_t[[#This Row],[Jerry Can]],0)</f>
        <v>0</v>
      </c>
      <c r="AH278" s="131">
        <f>IF(NFI_Expiration=1,IF($A278&lt;VLOOKUP(S$5,NFI,5,0),1,0)*Data_NFI_t[[#This Row],[Plastic Mat]],0)*IF(Data_NFI_t[[#This Row],[Distribution Date]]&gt;"01-06-2015",1,2.5)</f>
        <v>0</v>
      </c>
      <c r="AI278" s="901">
        <f>IF(NFI_Expiration=1,IF($A278&lt;VLOOKUP(T$5,NFI,5,0),1,0)*Data_NFI_t[[#This Row],[Adult Clothes]],0)</f>
        <v>0</v>
      </c>
      <c r="AJ278" s="131">
        <f>IF(NFI_Expiration=1,IF($A278&lt;VLOOKUP(U$5,NFI,5,0),1,0)*Data_NFI_t[[#This Row],[Children Clothes]],0)</f>
        <v>0</v>
      </c>
      <c r="AK278" s="131">
        <f>IF(NFI_Expiration=1,IF($A278&lt;VLOOKUP(V$5,NFI,5,0),1,0)*Data_NFI_t[[#This Row],[Sewing Kit]],0)</f>
        <v>0</v>
      </c>
      <c r="AL278" s="901">
        <f>IF(NFI_Expiration=1,IF($A278&lt;VLOOKUP(V$5,NFI,5,0),1,0)*Data_NFI_t[[#This Row],[Solar Lantern]],0)</f>
        <v>0</v>
      </c>
      <c r="AM278" s="131" t="str">
        <f ca="1">IFERROR(OFFSET(Camp_List[P_Code],MATCH(Data_NFI_t[[#This Row],[Camp Name]],Camp_List[Camp Name],0)-1,0,1,1),"")</f>
        <v>MMR012CMP010</v>
      </c>
      <c r="AN278" s="513" t="str">
        <f ca="1">IFERROR(OFFSET(Camp_List[Status],MATCH(Data_NFI_t[[#This Row],[Camp Name]],Camp_List[Camp Name],0)-1,0,1,1),"")</f>
        <v>Returned</v>
      </c>
      <c r="AO278" s="131"/>
    </row>
    <row r="279" spans="1:41" s="90" customFormat="1" ht="19.5" customHeight="1" x14ac:dyDescent="0.25">
      <c r="A279" s="242">
        <f t="shared" ref="A279:A342" si="6">IF(ISBLANK(C279),"",(Report_Date-C279)/30)</f>
        <v>51.233333333333334</v>
      </c>
      <c r="B279" s="242">
        <f>YEAR(Data_NFI_t[[#This Row],[Distribution Date]])</f>
        <v>2013</v>
      </c>
      <c r="C279" s="913">
        <v>41319</v>
      </c>
      <c r="D279" s="489" t="s">
        <v>285</v>
      </c>
      <c r="E279" s="488"/>
      <c r="F279" s="489" t="s">
        <v>7</v>
      </c>
      <c r="G279" s="790" t="s">
        <v>20</v>
      </c>
      <c r="H279" s="790" t="s">
        <v>106</v>
      </c>
      <c r="I279" s="790"/>
      <c r="J279" s="51">
        <v>20</v>
      </c>
      <c r="K279" s="51"/>
      <c r="L279" s="51">
        <v>40</v>
      </c>
      <c r="M279" s="51">
        <v>20</v>
      </c>
      <c r="N279" s="51">
        <v>40</v>
      </c>
      <c r="O279" s="51">
        <v>20</v>
      </c>
      <c r="P279" s="51">
        <v>20</v>
      </c>
      <c r="Q279" s="51">
        <v>20</v>
      </c>
      <c r="R279" s="511"/>
      <c r="S279" s="51">
        <v>40</v>
      </c>
      <c r="T279" s="51"/>
      <c r="U279" s="51"/>
      <c r="V279" s="51"/>
      <c r="W279" s="51"/>
      <c r="X279" s="131">
        <f>IF(NFI_Expiration=1,IF($A279&lt;VLOOKUP(I$5,NFI,5,0),1,0)*Data_NFI_t[[#This Row],[Hygiene Kit]],0)</f>
        <v>0</v>
      </c>
      <c r="Y279" s="131">
        <f>IF(NFI_Expiration=1,IF($A279&lt;VLOOKUP(J$5,NFI,5,0),1,0)*Data_NFI_t[[#This Row],[NFI Core Kit]],0)</f>
        <v>0</v>
      </c>
      <c r="Z279" s="112">
        <f>IF(NFI_Expiration=1,IF($A279&lt;VLOOKUP(K$5,NFI,5,0),1,0)*Data_NFI_t[[#This Row],[Sanitary Kit]],0)</f>
        <v>0</v>
      </c>
      <c r="AA279" s="112">
        <f>IF(NFI_Expiration=1,IF($A279&lt;VLOOKUP(L$5,NFI,5,0),1,0)*Data_NFI_t[[#This Row],[Mosquito net]],0)</f>
        <v>0</v>
      </c>
      <c r="AB279" s="112">
        <f>IF(NFI_Expiration=1,IF($A279&lt;VLOOKUP(M$5,NFI,5,0),1,0)*Data_NFI_t[[#This Row],[Tarpaulin]],0)</f>
        <v>0</v>
      </c>
      <c r="AC279" s="112">
        <f>IF(NFI_Expiration=1,IF($A279&lt;VLOOKUP(N$5,NFI,5,0),1,0)*Data_NFI_t[[#This Row],[Blanket]],0)</f>
        <v>0</v>
      </c>
      <c r="AD279" s="112">
        <f>IF(NFI_Expiration=1,IF($A279&lt;VLOOKUP(O$5,NFI,5,0),1,0)*Data_NFI_t[[#This Row],[Kitchen Set]],0)</f>
        <v>0</v>
      </c>
      <c r="AE279" s="112">
        <f>IF(NFI_Expiration=1,IF($A279&lt;VLOOKUP(P$5,NFI,5,0),1,0)*Data_NFI_t[[#This Row],[Complementary Kit]],0)</f>
        <v>0</v>
      </c>
      <c r="AF279" s="112">
        <f>IF(NFI_Expiration=1,IF($A279&lt;VLOOKUP(Q$5,NFI,5,0),1,0)*Data_NFI_t[[#This Row],[Plastic Bucket]],0)</f>
        <v>0</v>
      </c>
      <c r="AG279" s="112">
        <f>IF(NFI_Expiration=1,IF($A279&lt;VLOOKUP(R$5,NFI,5,0),1,0)*Data_NFI_t[[#This Row],[Jerry Can]],0)</f>
        <v>0</v>
      </c>
      <c r="AH279" s="131">
        <f>IF(NFI_Expiration=1,IF($A279&lt;VLOOKUP(S$5,NFI,5,0),1,0)*Data_NFI_t[[#This Row],[Plastic Mat]],0)*IF(Data_NFI_t[[#This Row],[Distribution Date]]&gt;"01-06-2015",1,2.5)</f>
        <v>0</v>
      </c>
      <c r="AI279" s="901">
        <f>IF(NFI_Expiration=1,IF($A279&lt;VLOOKUP(T$5,NFI,5,0),1,0)*Data_NFI_t[[#This Row],[Adult Clothes]],0)</f>
        <v>0</v>
      </c>
      <c r="AJ279" s="131">
        <f>IF(NFI_Expiration=1,IF($A279&lt;VLOOKUP(U$5,NFI,5,0),1,0)*Data_NFI_t[[#This Row],[Children Clothes]],0)</f>
        <v>0</v>
      </c>
      <c r="AK279" s="131">
        <f>IF(NFI_Expiration=1,IF($A279&lt;VLOOKUP(V$5,NFI,5,0),1,0)*Data_NFI_t[[#This Row],[Sewing Kit]],0)</f>
        <v>0</v>
      </c>
      <c r="AL279" s="901">
        <f>IF(NFI_Expiration=1,IF($A279&lt;VLOOKUP(V$5,NFI,5,0),1,0)*Data_NFI_t[[#This Row],[Solar Lantern]],0)</f>
        <v>0</v>
      </c>
      <c r="AM279" s="131" t="str">
        <f ca="1">IFERROR(OFFSET(Camp_List[P_Code],MATCH(Data_NFI_t[[#This Row],[Camp Name]],Camp_List[Camp Name],0)-1,0,1,1),"")</f>
        <v>MMR012CMP085</v>
      </c>
      <c r="AN279" s="513" t="str">
        <f ca="1">IFERROR(OFFSET(Camp_List[Status],MATCH(Data_NFI_t[[#This Row],[Camp Name]],Camp_List[Camp Name],0)-1,0,1,1),"")</f>
        <v>Open</v>
      </c>
      <c r="AO279" s="131"/>
    </row>
    <row r="280" spans="1:41" s="90" customFormat="1" ht="19.5" customHeight="1" x14ac:dyDescent="0.25">
      <c r="A280" s="242">
        <f t="shared" si="6"/>
        <v>51.233333333333334</v>
      </c>
      <c r="B280" s="242">
        <f>YEAR(Data_NFI_t[[#This Row],[Distribution Date]])</f>
        <v>2013</v>
      </c>
      <c r="C280" s="913">
        <v>41319</v>
      </c>
      <c r="D280" s="489" t="s">
        <v>285</v>
      </c>
      <c r="E280" s="488"/>
      <c r="F280" s="489" t="s">
        <v>7</v>
      </c>
      <c r="G280" s="790" t="s">
        <v>20</v>
      </c>
      <c r="H280" s="790" t="s">
        <v>106</v>
      </c>
      <c r="I280" s="790"/>
      <c r="J280" s="51"/>
      <c r="K280" s="51">
        <v>40</v>
      </c>
      <c r="L280" s="51">
        <v>81</v>
      </c>
      <c r="M280" s="51">
        <v>20</v>
      </c>
      <c r="N280" s="51"/>
      <c r="O280" s="51"/>
      <c r="P280" s="51"/>
      <c r="Q280" s="51"/>
      <c r="R280" s="511"/>
      <c r="S280" s="51"/>
      <c r="T280" s="51"/>
      <c r="U280" s="51"/>
      <c r="V280" s="51"/>
      <c r="W280" s="51"/>
      <c r="X280" s="131">
        <f>IF(NFI_Expiration=1,IF($A280&lt;VLOOKUP(I$5,NFI,5,0),1,0)*Data_NFI_t[[#This Row],[Hygiene Kit]],0)</f>
        <v>0</v>
      </c>
      <c r="Y280" s="131">
        <f>IF(NFI_Expiration=1,IF($A280&lt;VLOOKUP(J$5,NFI,5,0),1,0)*Data_NFI_t[[#This Row],[NFI Core Kit]],0)</f>
        <v>0</v>
      </c>
      <c r="Z280" s="112">
        <f>IF(NFI_Expiration=1,IF($A280&lt;VLOOKUP(K$5,NFI,5,0),1,0)*Data_NFI_t[[#This Row],[Sanitary Kit]],0)</f>
        <v>0</v>
      </c>
      <c r="AA280" s="112">
        <f>IF(NFI_Expiration=1,IF($A280&lt;VLOOKUP(L$5,NFI,5,0),1,0)*Data_NFI_t[[#This Row],[Mosquito net]],0)</f>
        <v>0</v>
      </c>
      <c r="AB280" s="112">
        <f>IF(NFI_Expiration=1,IF($A280&lt;VLOOKUP(M$5,NFI,5,0),1,0)*Data_NFI_t[[#This Row],[Tarpaulin]],0)</f>
        <v>0</v>
      </c>
      <c r="AC280" s="112">
        <f>IF(NFI_Expiration=1,IF($A280&lt;VLOOKUP(N$5,NFI,5,0),1,0)*Data_NFI_t[[#This Row],[Blanket]],0)</f>
        <v>0</v>
      </c>
      <c r="AD280" s="112">
        <f>IF(NFI_Expiration=1,IF($A280&lt;VLOOKUP(O$5,NFI,5,0),1,0)*Data_NFI_t[[#This Row],[Kitchen Set]],0)</f>
        <v>0</v>
      </c>
      <c r="AE280" s="112">
        <f>IF(NFI_Expiration=1,IF($A280&lt;VLOOKUP(P$5,NFI,5,0),1,0)*Data_NFI_t[[#This Row],[Complementary Kit]],0)</f>
        <v>0</v>
      </c>
      <c r="AF280" s="112">
        <f>IF(NFI_Expiration=1,IF($A280&lt;VLOOKUP(Q$5,NFI,5,0),1,0)*Data_NFI_t[[#This Row],[Plastic Bucket]],0)</f>
        <v>0</v>
      </c>
      <c r="AG280" s="112">
        <f>IF(NFI_Expiration=1,IF($A280&lt;VLOOKUP(R$5,NFI,5,0),1,0)*Data_NFI_t[[#This Row],[Jerry Can]],0)</f>
        <v>0</v>
      </c>
      <c r="AH280" s="131">
        <f>IF(NFI_Expiration=1,IF($A280&lt;VLOOKUP(S$5,NFI,5,0),1,0)*Data_NFI_t[[#This Row],[Plastic Mat]],0)*IF(Data_NFI_t[[#This Row],[Distribution Date]]&gt;"01-06-2015",1,2.5)</f>
        <v>0</v>
      </c>
      <c r="AI280" s="901">
        <f>IF(NFI_Expiration=1,IF($A280&lt;VLOOKUP(T$5,NFI,5,0),1,0)*Data_NFI_t[[#This Row],[Adult Clothes]],0)</f>
        <v>0</v>
      </c>
      <c r="AJ280" s="131">
        <f>IF(NFI_Expiration=1,IF($A280&lt;VLOOKUP(U$5,NFI,5,0),1,0)*Data_NFI_t[[#This Row],[Children Clothes]],0)</f>
        <v>0</v>
      </c>
      <c r="AK280" s="131">
        <f>IF(NFI_Expiration=1,IF($A280&lt;VLOOKUP(V$5,NFI,5,0),1,0)*Data_NFI_t[[#This Row],[Sewing Kit]],0)</f>
        <v>0</v>
      </c>
      <c r="AL280" s="901">
        <f>IF(NFI_Expiration=1,IF($A280&lt;VLOOKUP(V$5,NFI,5,0),1,0)*Data_NFI_t[[#This Row],[Solar Lantern]],0)</f>
        <v>0</v>
      </c>
      <c r="AM280" s="131" t="str">
        <f ca="1">IFERROR(OFFSET(Camp_List[P_Code],MATCH(Data_NFI_t[[#This Row],[Camp Name]],Camp_List[Camp Name],0)-1,0,1,1),"")</f>
        <v>MMR012CMP085</v>
      </c>
      <c r="AN280" s="513" t="str">
        <f ca="1">IFERROR(OFFSET(Camp_List[Status],MATCH(Data_NFI_t[[#This Row],[Camp Name]],Camp_List[Camp Name],0)-1,0,1,1),"")</f>
        <v>Open</v>
      </c>
      <c r="AO280" s="131"/>
    </row>
    <row r="281" spans="1:41" s="90" customFormat="1" ht="19.5" customHeight="1" x14ac:dyDescent="0.25">
      <c r="A281" s="242">
        <f t="shared" si="6"/>
        <v>51.43333333333333</v>
      </c>
      <c r="B281" s="242">
        <f>YEAR(Data_NFI_t[[#This Row],[Distribution Date]])</f>
        <v>2013</v>
      </c>
      <c r="C281" s="913">
        <v>41313</v>
      </c>
      <c r="D281" s="489" t="s">
        <v>287</v>
      </c>
      <c r="E281" s="488"/>
      <c r="F281" s="489" t="s">
        <v>7</v>
      </c>
      <c r="G281" s="790" t="s">
        <v>607</v>
      </c>
      <c r="H281" s="790" t="s">
        <v>474</v>
      </c>
      <c r="I281" s="790">
        <v>71</v>
      </c>
      <c r="J281" s="51"/>
      <c r="K281" s="51"/>
      <c r="L281" s="51"/>
      <c r="M281" s="51"/>
      <c r="N281" s="51"/>
      <c r="O281" s="51"/>
      <c r="P281" s="51"/>
      <c r="Q281" s="51"/>
      <c r="R281" s="511"/>
      <c r="S281" s="51"/>
      <c r="T281" s="51"/>
      <c r="U281" s="51"/>
      <c r="V281" s="51"/>
      <c r="W281" s="51"/>
      <c r="X281" s="131">
        <f>IF(NFI_Expiration=1,IF($A281&lt;VLOOKUP(I$5,NFI,5,0),1,0)*Data_NFI_t[[#This Row],[Hygiene Kit]],0)</f>
        <v>0</v>
      </c>
      <c r="Y281" s="131">
        <f>IF(NFI_Expiration=1,IF($A281&lt;VLOOKUP(J$5,NFI,5,0),1,0)*Data_NFI_t[[#This Row],[NFI Core Kit]],0)</f>
        <v>0</v>
      </c>
      <c r="Z281" s="112">
        <f>IF(NFI_Expiration=1,IF($A281&lt;VLOOKUP(K$5,NFI,5,0),1,0)*Data_NFI_t[[#This Row],[Sanitary Kit]],0)</f>
        <v>0</v>
      </c>
      <c r="AA281" s="112">
        <f>IF(NFI_Expiration=1,IF($A281&lt;VLOOKUP(L$5,NFI,5,0),1,0)*Data_NFI_t[[#This Row],[Mosquito net]],0)</f>
        <v>0</v>
      </c>
      <c r="AB281" s="112">
        <f>IF(NFI_Expiration=1,IF($A281&lt;VLOOKUP(M$5,NFI,5,0),1,0)*Data_NFI_t[[#This Row],[Tarpaulin]],0)</f>
        <v>0</v>
      </c>
      <c r="AC281" s="112">
        <f>IF(NFI_Expiration=1,IF($A281&lt;VLOOKUP(N$5,NFI,5,0),1,0)*Data_NFI_t[[#This Row],[Blanket]],0)</f>
        <v>0</v>
      </c>
      <c r="AD281" s="112">
        <f>IF(NFI_Expiration=1,IF($A281&lt;VLOOKUP(O$5,NFI,5,0),1,0)*Data_NFI_t[[#This Row],[Kitchen Set]],0)</f>
        <v>0</v>
      </c>
      <c r="AE281" s="112">
        <f>IF(NFI_Expiration=1,IF($A281&lt;VLOOKUP(P$5,NFI,5,0),1,0)*Data_NFI_t[[#This Row],[Complementary Kit]],0)</f>
        <v>0</v>
      </c>
      <c r="AF281" s="112">
        <f>IF(NFI_Expiration=1,IF($A281&lt;VLOOKUP(Q$5,NFI,5,0),1,0)*Data_NFI_t[[#This Row],[Plastic Bucket]],0)</f>
        <v>0</v>
      </c>
      <c r="AG281" s="112">
        <f>IF(NFI_Expiration=1,IF($A281&lt;VLOOKUP(R$5,NFI,5,0),1,0)*Data_NFI_t[[#This Row],[Jerry Can]],0)</f>
        <v>0</v>
      </c>
      <c r="AH281" s="131">
        <f>IF(NFI_Expiration=1,IF($A281&lt;VLOOKUP(S$5,NFI,5,0),1,0)*Data_NFI_t[[#This Row],[Plastic Mat]],0)*IF(Data_NFI_t[[#This Row],[Distribution Date]]&gt;"01-06-2015",1,2.5)</f>
        <v>0</v>
      </c>
      <c r="AI281" s="901">
        <f>IF(NFI_Expiration=1,IF($A281&lt;VLOOKUP(T$5,NFI,5,0),1,0)*Data_NFI_t[[#This Row],[Adult Clothes]],0)</f>
        <v>0</v>
      </c>
      <c r="AJ281" s="131">
        <f>IF(NFI_Expiration=1,IF($A281&lt;VLOOKUP(U$5,NFI,5,0),1,0)*Data_NFI_t[[#This Row],[Children Clothes]],0)</f>
        <v>0</v>
      </c>
      <c r="AK281" s="131">
        <f>IF(NFI_Expiration=1,IF($A281&lt;VLOOKUP(V$5,NFI,5,0),1,0)*Data_NFI_t[[#This Row],[Sewing Kit]],0)</f>
        <v>0</v>
      </c>
      <c r="AL281" s="901">
        <f>IF(NFI_Expiration=1,IF($A281&lt;VLOOKUP(V$5,NFI,5,0),1,0)*Data_NFI_t[[#This Row],[Solar Lantern]],0)</f>
        <v>0</v>
      </c>
      <c r="AM281" s="131" t="str">
        <f ca="1">IFERROR(OFFSET(Camp_List[P_Code],MATCH(Data_NFI_t[[#This Row],[Camp Name]],Camp_List[Camp Name],0)-1,0,1,1),"")</f>
        <v>MMR012CMP036</v>
      </c>
      <c r="AN281" s="513" t="str">
        <f ca="1">IFERROR(OFFSET(Camp_List[Status],MATCH(Data_NFI_t[[#This Row],[Camp Name]],Camp_List[Camp Name],0)-1,0,1,1),"")</f>
        <v>Open</v>
      </c>
      <c r="AO281" s="131"/>
    </row>
    <row r="282" spans="1:41" s="90" customFormat="1" ht="19.5" customHeight="1" x14ac:dyDescent="0.25">
      <c r="A282" s="242">
        <f t="shared" si="6"/>
        <v>51.43333333333333</v>
      </c>
      <c r="B282" s="242">
        <f>YEAR(Data_NFI_t[[#This Row],[Distribution Date]])</f>
        <v>2013</v>
      </c>
      <c r="C282" s="913">
        <v>41313</v>
      </c>
      <c r="D282" s="489" t="s">
        <v>287</v>
      </c>
      <c r="E282" s="488"/>
      <c r="F282" s="489" t="s">
        <v>7</v>
      </c>
      <c r="G282" s="790" t="s">
        <v>866</v>
      </c>
      <c r="H282" s="790" t="s">
        <v>37</v>
      </c>
      <c r="I282" s="790">
        <v>45</v>
      </c>
      <c r="J282" s="51"/>
      <c r="K282" s="51"/>
      <c r="L282" s="51"/>
      <c r="M282" s="51"/>
      <c r="N282" s="51"/>
      <c r="O282" s="51"/>
      <c r="P282" s="51"/>
      <c r="Q282" s="51"/>
      <c r="R282" s="511"/>
      <c r="S282" s="51"/>
      <c r="T282" s="51"/>
      <c r="U282" s="51"/>
      <c r="V282" s="51"/>
      <c r="W282" s="51"/>
      <c r="X282" s="131">
        <f>IF(NFI_Expiration=1,IF($A282&lt;VLOOKUP(I$5,NFI,5,0),1,0)*Data_NFI_t[[#This Row],[Hygiene Kit]],0)</f>
        <v>0</v>
      </c>
      <c r="Y282" s="131">
        <f>IF(NFI_Expiration=1,IF($A282&lt;VLOOKUP(J$5,NFI,5,0),1,0)*Data_NFI_t[[#This Row],[NFI Core Kit]],0)</f>
        <v>0</v>
      </c>
      <c r="Z282" s="112">
        <f>IF(NFI_Expiration=1,IF($A282&lt;VLOOKUP(K$5,NFI,5,0),1,0)*Data_NFI_t[[#This Row],[Sanitary Kit]],0)</f>
        <v>0</v>
      </c>
      <c r="AA282" s="112">
        <f>IF(NFI_Expiration=1,IF($A282&lt;VLOOKUP(L$5,NFI,5,0),1,0)*Data_NFI_t[[#This Row],[Mosquito net]],0)</f>
        <v>0</v>
      </c>
      <c r="AB282" s="112">
        <f>IF(NFI_Expiration=1,IF($A282&lt;VLOOKUP(M$5,NFI,5,0),1,0)*Data_NFI_t[[#This Row],[Tarpaulin]],0)</f>
        <v>0</v>
      </c>
      <c r="AC282" s="112">
        <f>IF(NFI_Expiration=1,IF($A282&lt;VLOOKUP(N$5,NFI,5,0),1,0)*Data_NFI_t[[#This Row],[Blanket]],0)</f>
        <v>0</v>
      </c>
      <c r="AD282" s="112">
        <f>IF(NFI_Expiration=1,IF($A282&lt;VLOOKUP(O$5,NFI,5,0),1,0)*Data_NFI_t[[#This Row],[Kitchen Set]],0)</f>
        <v>0</v>
      </c>
      <c r="AE282" s="112">
        <f>IF(NFI_Expiration=1,IF($A282&lt;VLOOKUP(P$5,NFI,5,0),1,0)*Data_NFI_t[[#This Row],[Complementary Kit]],0)</f>
        <v>0</v>
      </c>
      <c r="AF282" s="112">
        <f>IF(NFI_Expiration=1,IF($A282&lt;VLOOKUP(Q$5,NFI,5,0),1,0)*Data_NFI_t[[#This Row],[Plastic Bucket]],0)</f>
        <v>0</v>
      </c>
      <c r="AG282" s="112">
        <f>IF(NFI_Expiration=1,IF($A282&lt;VLOOKUP(R$5,NFI,5,0),1,0)*Data_NFI_t[[#This Row],[Jerry Can]],0)</f>
        <v>0</v>
      </c>
      <c r="AH282" s="131">
        <f>IF(NFI_Expiration=1,IF($A282&lt;VLOOKUP(S$5,NFI,5,0),1,0)*Data_NFI_t[[#This Row],[Plastic Mat]],0)*IF(Data_NFI_t[[#This Row],[Distribution Date]]&gt;"01-06-2015",1,2.5)</f>
        <v>0</v>
      </c>
      <c r="AI282" s="901">
        <f>IF(NFI_Expiration=1,IF($A282&lt;VLOOKUP(T$5,NFI,5,0),1,0)*Data_NFI_t[[#This Row],[Adult Clothes]],0)</f>
        <v>0</v>
      </c>
      <c r="AJ282" s="131">
        <f>IF(NFI_Expiration=1,IF($A282&lt;VLOOKUP(U$5,NFI,5,0),1,0)*Data_NFI_t[[#This Row],[Children Clothes]],0)</f>
        <v>0</v>
      </c>
      <c r="AK282" s="131">
        <f>IF(NFI_Expiration=1,IF($A282&lt;VLOOKUP(V$5,NFI,5,0),1,0)*Data_NFI_t[[#This Row],[Sewing Kit]],0)</f>
        <v>0</v>
      </c>
      <c r="AL282" s="901">
        <f>IF(NFI_Expiration=1,IF($A282&lt;VLOOKUP(V$5,NFI,5,0),1,0)*Data_NFI_t[[#This Row],[Solar Lantern]],0)</f>
        <v>0</v>
      </c>
      <c r="AM282" s="131" t="str">
        <f ca="1">IFERROR(OFFSET(Camp_List[P_Code],MATCH(Data_NFI_t[[#This Row],[Camp Name]],Camp_List[Camp Name],0)-1,0,1,1),"")</f>
        <v>MMR012CMP013</v>
      </c>
      <c r="AN282" s="513" t="str">
        <f ca="1">IFERROR(OFFSET(Camp_List[Status],MATCH(Data_NFI_t[[#This Row],[Camp Name]],Camp_List[Camp Name],0)-1,0,1,1),"")</f>
        <v>Relocated</v>
      </c>
      <c r="AO282" s="131"/>
    </row>
    <row r="283" spans="1:41" s="90" customFormat="1" ht="19.5" customHeight="1" x14ac:dyDescent="0.25">
      <c r="A283" s="242">
        <f t="shared" si="6"/>
        <v>51.43333333333333</v>
      </c>
      <c r="B283" s="242">
        <f>YEAR(Data_NFI_t[[#This Row],[Distribution Date]])</f>
        <v>2013</v>
      </c>
      <c r="C283" s="913">
        <v>41313</v>
      </c>
      <c r="D283" s="489" t="s">
        <v>287</v>
      </c>
      <c r="E283" s="488"/>
      <c r="F283" s="489" t="s">
        <v>7</v>
      </c>
      <c r="G283" s="790" t="s">
        <v>607</v>
      </c>
      <c r="H283" s="790" t="s">
        <v>58</v>
      </c>
      <c r="I283" s="790">
        <v>418</v>
      </c>
      <c r="J283" s="51"/>
      <c r="K283" s="51"/>
      <c r="L283" s="51"/>
      <c r="M283" s="51"/>
      <c r="N283" s="51"/>
      <c r="O283" s="51"/>
      <c r="P283" s="51"/>
      <c r="Q283" s="51"/>
      <c r="R283" s="511"/>
      <c r="S283" s="51"/>
      <c r="T283" s="51"/>
      <c r="U283" s="51"/>
      <c r="V283" s="51"/>
      <c r="W283" s="51"/>
      <c r="X283" s="131">
        <f>IF(NFI_Expiration=1,IF($A283&lt;VLOOKUP(I$5,NFI,5,0),1,0)*Data_NFI_t[[#This Row],[Hygiene Kit]],0)</f>
        <v>0</v>
      </c>
      <c r="Y283" s="131">
        <f>IF(NFI_Expiration=1,IF($A283&lt;VLOOKUP(J$5,NFI,5,0),1,0)*Data_NFI_t[[#This Row],[NFI Core Kit]],0)</f>
        <v>0</v>
      </c>
      <c r="Z283" s="112">
        <f>IF(NFI_Expiration=1,IF($A283&lt;VLOOKUP(K$5,NFI,5,0),1,0)*Data_NFI_t[[#This Row],[Sanitary Kit]],0)</f>
        <v>0</v>
      </c>
      <c r="AA283" s="112">
        <f>IF(NFI_Expiration=1,IF($A283&lt;VLOOKUP(L$5,NFI,5,0),1,0)*Data_NFI_t[[#This Row],[Mosquito net]],0)</f>
        <v>0</v>
      </c>
      <c r="AB283" s="112">
        <f>IF(NFI_Expiration=1,IF($A283&lt;VLOOKUP(M$5,NFI,5,0),1,0)*Data_NFI_t[[#This Row],[Tarpaulin]],0)</f>
        <v>0</v>
      </c>
      <c r="AC283" s="112">
        <f>IF(NFI_Expiration=1,IF($A283&lt;VLOOKUP(N$5,NFI,5,0),1,0)*Data_NFI_t[[#This Row],[Blanket]],0)</f>
        <v>0</v>
      </c>
      <c r="AD283" s="112">
        <f>IF(NFI_Expiration=1,IF($A283&lt;VLOOKUP(O$5,NFI,5,0),1,0)*Data_NFI_t[[#This Row],[Kitchen Set]],0)</f>
        <v>0</v>
      </c>
      <c r="AE283" s="112">
        <f>IF(NFI_Expiration=1,IF($A283&lt;VLOOKUP(P$5,NFI,5,0),1,0)*Data_NFI_t[[#This Row],[Complementary Kit]],0)</f>
        <v>0</v>
      </c>
      <c r="AF283" s="112">
        <f>IF(NFI_Expiration=1,IF($A283&lt;VLOOKUP(Q$5,NFI,5,0),1,0)*Data_NFI_t[[#This Row],[Plastic Bucket]],0)</f>
        <v>0</v>
      </c>
      <c r="AG283" s="112">
        <f>IF(NFI_Expiration=1,IF($A283&lt;VLOOKUP(R$5,NFI,5,0),1,0)*Data_NFI_t[[#This Row],[Jerry Can]],0)</f>
        <v>0</v>
      </c>
      <c r="AH283" s="131">
        <f>IF(NFI_Expiration=1,IF($A283&lt;VLOOKUP(S$5,NFI,5,0),1,0)*Data_NFI_t[[#This Row],[Plastic Mat]],0)*IF(Data_NFI_t[[#This Row],[Distribution Date]]&gt;"01-06-2015",1,2.5)</f>
        <v>0</v>
      </c>
      <c r="AI283" s="901">
        <f>IF(NFI_Expiration=1,IF($A283&lt;VLOOKUP(T$5,NFI,5,0),1,0)*Data_NFI_t[[#This Row],[Adult Clothes]],0)</f>
        <v>0</v>
      </c>
      <c r="AJ283" s="131">
        <f>IF(NFI_Expiration=1,IF($A283&lt;VLOOKUP(U$5,NFI,5,0),1,0)*Data_NFI_t[[#This Row],[Children Clothes]],0)</f>
        <v>0</v>
      </c>
      <c r="AK283" s="131">
        <f>IF(NFI_Expiration=1,IF($A283&lt;VLOOKUP(V$5,NFI,5,0),1,0)*Data_NFI_t[[#This Row],[Sewing Kit]],0)</f>
        <v>0</v>
      </c>
      <c r="AL283" s="901">
        <f>IF(NFI_Expiration=1,IF($A283&lt;VLOOKUP(V$5,NFI,5,0),1,0)*Data_NFI_t[[#This Row],[Solar Lantern]],0)</f>
        <v>0</v>
      </c>
      <c r="AM283" s="131" t="str">
        <f ca="1">IFERROR(OFFSET(Camp_List[P_Code],MATCH(Data_NFI_t[[#This Row],[Camp Name]],Camp_List[Camp Name],0)-1,0,1,1),"")</f>
        <v>MMR012CMP035</v>
      </c>
      <c r="AN283" s="513" t="str">
        <f ca="1">IFERROR(OFFSET(Camp_List[Status],MATCH(Data_NFI_t[[#This Row],[Camp Name]],Camp_List[Camp Name],0)-1,0,1,1),"")</f>
        <v>Open</v>
      </c>
      <c r="AO283" s="131"/>
    </row>
    <row r="284" spans="1:41" s="90" customFormat="1" ht="19.5" customHeight="1" x14ac:dyDescent="0.25">
      <c r="A284" s="242">
        <f t="shared" si="6"/>
        <v>51.43333333333333</v>
      </c>
      <c r="B284" s="242">
        <f>YEAR(Data_NFI_t[[#This Row],[Distribution Date]])</f>
        <v>2013</v>
      </c>
      <c r="C284" s="913">
        <v>41313</v>
      </c>
      <c r="D284" s="489" t="s">
        <v>287</v>
      </c>
      <c r="E284" s="488"/>
      <c r="F284" s="489" t="s">
        <v>7</v>
      </c>
      <c r="G284" s="790" t="s">
        <v>18</v>
      </c>
      <c r="H284" s="790" t="s">
        <v>60</v>
      </c>
      <c r="I284" s="790">
        <v>24</v>
      </c>
      <c r="J284" s="51"/>
      <c r="K284" s="51"/>
      <c r="L284" s="51"/>
      <c r="M284" s="51"/>
      <c r="N284" s="51"/>
      <c r="O284" s="51"/>
      <c r="P284" s="51"/>
      <c r="Q284" s="51"/>
      <c r="R284" s="511"/>
      <c r="S284" s="51"/>
      <c r="T284" s="51"/>
      <c r="U284" s="51"/>
      <c r="V284" s="51"/>
      <c r="W284" s="51"/>
      <c r="X284" s="131">
        <f>IF(NFI_Expiration=1,IF($A284&lt;VLOOKUP(I$5,NFI,5,0),1,0)*Data_NFI_t[[#This Row],[Hygiene Kit]],0)</f>
        <v>0</v>
      </c>
      <c r="Y284" s="131">
        <f>IF(NFI_Expiration=1,IF($A284&lt;VLOOKUP(J$5,NFI,5,0),1,0)*Data_NFI_t[[#This Row],[NFI Core Kit]],0)</f>
        <v>0</v>
      </c>
      <c r="Z284" s="112">
        <f>IF(NFI_Expiration=1,IF($A284&lt;VLOOKUP(K$5,NFI,5,0),1,0)*Data_NFI_t[[#This Row],[Sanitary Kit]],0)</f>
        <v>0</v>
      </c>
      <c r="AA284" s="112">
        <f>IF(NFI_Expiration=1,IF($A284&lt;VLOOKUP(L$5,NFI,5,0),1,0)*Data_NFI_t[[#This Row],[Mosquito net]],0)</f>
        <v>0</v>
      </c>
      <c r="AB284" s="112">
        <f>IF(NFI_Expiration=1,IF($A284&lt;VLOOKUP(M$5,NFI,5,0),1,0)*Data_NFI_t[[#This Row],[Tarpaulin]],0)</f>
        <v>0</v>
      </c>
      <c r="AC284" s="112">
        <f>IF(NFI_Expiration=1,IF($A284&lt;VLOOKUP(N$5,NFI,5,0),1,0)*Data_NFI_t[[#This Row],[Blanket]],0)</f>
        <v>0</v>
      </c>
      <c r="AD284" s="112">
        <f>IF(NFI_Expiration=1,IF($A284&lt;VLOOKUP(O$5,NFI,5,0),1,0)*Data_NFI_t[[#This Row],[Kitchen Set]],0)</f>
        <v>0</v>
      </c>
      <c r="AE284" s="112">
        <f>IF(NFI_Expiration=1,IF($A284&lt;VLOOKUP(P$5,NFI,5,0),1,0)*Data_NFI_t[[#This Row],[Complementary Kit]],0)</f>
        <v>0</v>
      </c>
      <c r="AF284" s="112">
        <f>IF(NFI_Expiration=1,IF($A284&lt;VLOOKUP(Q$5,NFI,5,0),1,0)*Data_NFI_t[[#This Row],[Plastic Bucket]],0)</f>
        <v>0</v>
      </c>
      <c r="AG284" s="112">
        <f>IF(NFI_Expiration=1,IF($A284&lt;VLOOKUP(R$5,NFI,5,0),1,0)*Data_NFI_t[[#This Row],[Jerry Can]],0)</f>
        <v>0</v>
      </c>
      <c r="AH284" s="131">
        <f>IF(NFI_Expiration=1,IF($A284&lt;VLOOKUP(S$5,NFI,5,0),1,0)*Data_NFI_t[[#This Row],[Plastic Mat]],0)*IF(Data_NFI_t[[#This Row],[Distribution Date]]&gt;"01-06-2015",1,2.5)</f>
        <v>0</v>
      </c>
      <c r="AI284" s="901">
        <f>IF(NFI_Expiration=1,IF($A284&lt;VLOOKUP(T$5,NFI,5,0),1,0)*Data_NFI_t[[#This Row],[Adult Clothes]],0)</f>
        <v>0</v>
      </c>
      <c r="AJ284" s="131">
        <f>IF(NFI_Expiration=1,IF($A284&lt;VLOOKUP(U$5,NFI,5,0),1,0)*Data_NFI_t[[#This Row],[Children Clothes]],0)</f>
        <v>0</v>
      </c>
      <c r="AK284" s="131">
        <f>IF(NFI_Expiration=1,IF($A284&lt;VLOOKUP(V$5,NFI,5,0),1,0)*Data_NFI_t[[#This Row],[Sewing Kit]],0)</f>
        <v>0</v>
      </c>
      <c r="AL284" s="901">
        <f>IF(NFI_Expiration=1,IF($A284&lt;VLOOKUP(V$5,NFI,5,0),1,0)*Data_NFI_t[[#This Row],[Solar Lantern]],0)</f>
        <v>0</v>
      </c>
      <c r="AM284" s="131" t="str">
        <f ca="1">IFERROR(OFFSET(Camp_List[P_Code],MATCH(Data_NFI_t[[#This Row],[Camp Name]],Camp_List[Camp Name],0)-1,0,1,1),"")</f>
        <v>MMR012CMP038</v>
      </c>
      <c r="AN284" s="513" t="str">
        <f ca="1">IFERROR(OFFSET(Camp_List[Status],MATCH(Data_NFI_t[[#This Row],[Camp Name]],Camp_List[Camp Name],0)-1,0,1,1),"")</f>
        <v>Open</v>
      </c>
      <c r="AO284" s="131"/>
    </row>
    <row r="285" spans="1:41" s="90" customFormat="1" ht="19.5" customHeight="1" x14ac:dyDescent="0.25">
      <c r="A285" s="242">
        <f t="shared" si="6"/>
        <v>51.43333333333333</v>
      </c>
      <c r="B285" s="242">
        <f>YEAR(Data_NFI_t[[#This Row],[Distribution Date]])</f>
        <v>2013</v>
      </c>
      <c r="C285" s="913">
        <v>41313</v>
      </c>
      <c r="D285" s="489" t="s">
        <v>287</v>
      </c>
      <c r="E285" s="488"/>
      <c r="F285" s="489" t="s">
        <v>7</v>
      </c>
      <c r="G285" s="790" t="s">
        <v>18</v>
      </c>
      <c r="H285" s="790" t="s">
        <v>59</v>
      </c>
      <c r="I285" s="790">
        <v>97</v>
      </c>
      <c r="J285" s="51"/>
      <c r="K285" s="51"/>
      <c r="L285" s="51"/>
      <c r="M285" s="51"/>
      <c r="N285" s="51"/>
      <c r="O285" s="51"/>
      <c r="P285" s="51"/>
      <c r="Q285" s="51"/>
      <c r="R285" s="511"/>
      <c r="S285" s="51"/>
      <c r="T285" s="51"/>
      <c r="U285" s="51"/>
      <c r="V285" s="51"/>
      <c r="W285" s="51"/>
      <c r="X285" s="131">
        <f>IF(NFI_Expiration=1,IF($A285&lt;VLOOKUP(I$5,NFI,5,0),1,0)*Data_NFI_t[[#This Row],[Hygiene Kit]],0)</f>
        <v>0</v>
      </c>
      <c r="Y285" s="131">
        <f>IF(NFI_Expiration=1,IF($A285&lt;VLOOKUP(J$5,NFI,5,0),1,0)*Data_NFI_t[[#This Row],[NFI Core Kit]],0)</f>
        <v>0</v>
      </c>
      <c r="Z285" s="112">
        <f>IF(NFI_Expiration=1,IF($A285&lt;VLOOKUP(K$5,NFI,5,0),1,0)*Data_NFI_t[[#This Row],[Sanitary Kit]],0)</f>
        <v>0</v>
      </c>
      <c r="AA285" s="112">
        <f>IF(NFI_Expiration=1,IF($A285&lt;VLOOKUP(L$5,NFI,5,0),1,0)*Data_NFI_t[[#This Row],[Mosquito net]],0)</f>
        <v>0</v>
      </c>
      <c r="AB285" s="112">
        <f>IF(NFI_Expiration=1,IF($A285&lt;VLOOKUP(M$5,NFI,5,0),1,0)*Data_NFI_t[[#This Row],[Tarpaulin]],0)</f>
        <v>0</v>
      </c>
      <c r="AC285" s="112">
        <f>IF(NFI_Expiration=1,IF($A285&lt;VLOOKUP(N$5,NFI,5,0),1,0)*Data_NFI_t[[#This Row],[Blanket]],0)</f>
        <v>0</v>
      </c>
      <c r="AD285" s="112">
        <f>IF(NFI_Expiration=1,IF($A285&lt;VLOOKUP(O$5,NFI,5,0),1,0)*Data_NFI_t[[#This Row],[Kitchen Set]],0)</f>
        <v>0</v>
      </c>
      <c r="AE285" s="112">
        <f>IF(NFI_Expiration=1,IF($A285&lt;VLOOKUP(P$5,NFI,5,0),1,0)*Data_NFI_t[[#This Row],[Complementary Kit]],0)</f>
        <v>0</v>
      </c>
      <c r="AF285" s="112">
        <f>IF(NFI_Expiration=1,IF($A285&lt;VLOOKUP(Q$5,NFI,5,0),1,0)*Data_NFI_t[[#This Row],[Plastic Bucket]],0)</f>
        <v>0</v>
      </c>
      <c r="AG285" s="112">
        <f>IF(NFI_Expiration=1,IF($A285&lt;VLOOKUP(R$5,NFI,5,0),1,0)*Data_NFI_t[[#This Row],[Jerry Can]],0)</f>
        <v>0</v>
      </c>
      <c r="AH285" s="131">
        <f>IF(NFI_Expiration=1,IF($A285&lt;VLOOKUP(S$5,NFI,5,0),1,0)*Data_NFI_t[[#This Row],[Plastic Mat]],0)*IF(Data_NFI_t[[#This Row],[Distribution Date]]&gt;"01-06-2015",1,2.5)</f>
        <v>0</v>
      </c>
      <c r="AI285" s="901">
        <f>IF(NFI_Expiration=1,IF($A285&lt;VLOOKUP(T$5,NFI,5,0),1,0)*Data_NFI_t[[#This Row],[Adult Clothes]],0)</f>
        <v>0</v>
      </c>
      <c r="AJ285" s="131">
        <f>IF(NFI_Expiration=1,IF($A285&lt;VLOOKUP(U$5,NFI,5,0),1,0)*Data_NFI_t[[#This Row],[Children Clothes]],0)</f>
        <v>0</v>
      </c>
      <c r="AK285" s="131">
        <f>IF(NFI_Expiration=1,IF($A285&lt;VLOOKUP(V$5,NFI,5,0),1,0)*Data_NFI_t[[#This Row],[Sewing Kit]],0)</f>
        <v>0</v>
      </c>
      <c r="AL285" s="901">
        <f>IF(NFI_Expiration=1,IF($A285&lt;VLOOKUP(V$5,NFI,5,0),1,0)*Data_NFI_t[[#This Row],[Solar Lantern]],0)</f>
        <v>0</v>
      </c>
      <c r="AM285" s="131" t="str">
        <f ca="1">IFERROR(OFFSET(Camp_List[P_Code],MATCH(Data_NFI_t[[#This Row],[Camp Name]],Camp_List[Camp Name],0)-1,0,1,1),"")</f>
        <v>MMR012CMP037</v>
      </c>
      <c r="AN285" s="513" t="str">
        <f ca="1">IFERROR(OFFSET(Camp_List[Status],MATCH(Data_NFI_t[[#This Row],[Camp Name]],Camp_List[Camp Name],0)-1,0,1,1),"")</f>
        <v>Open</v>
      </c>
      <c r="AO285" s="131"/>
    </row>
    <row r="286" spans="1:41" s="90" customFormat="1" ht="19.5" customHeight="1" x14ac:dyDescent="0.25">
      <c r="A286" s="242">
        <f t="shared" si="6"/>
        <v>51.43333333333333</v>
      </c>
      <c r="B286" s="242">
        <f>YEAR(Data_NFI_t[[#This Row],[Distribution Date]])</f>
        <v>2013</v>
      </c>
      <c r="C286" s="913">
        <v>41313</v>
      </c>
      <c r="D286" s="489" t="s">
        <v>287</v>
      </c>
      <c r="E286" s="488"/>
      <c r="F286" s="489" t="s">
        <v>7</v>
      </c>
      <c r="G286" s="790" t="s">
        <v>866</v>
      </c>
      <c r="H286" s="790" t="s">
        <v>38</v>
      </c>
      <c r="I286" s="790">
        <v>705</v>
      </c>
      <c r="J286" s="51"/>
      <c r="K286" s="51"/>
      <c r="L286" s="51"/>
      <c r="M286" s="51"/>
      <c r="N286" s="51"/>
      <c r="O286" s="51"/>
      <c r="P286" s="51"/>
      <c r="Q286" s="51"/>
      <c r="R286" s="511"/>
      <c r="S286" s="51"/>
      <c r="T286" s="51"/>
      <c r="U286" s="51"/>
      <c r="V286" s="51"/>
      <c r="W286" s="51"/>
      <c r="X286" s="131">
        <f>IF(NFI_Expiration=1,IF($A286&lt;VLOOKUP(I$5,NFI,5,0),1,0)*Data_NFI_t[[#This Row],[Hygiene Kit]],0)</f>
        <v>0</v>
      </c>
      <c r="Y286" s="131">
        <f>IF(NFI_Expiration=1,IF($A286&lt;VLOOKUP(J$5,NFI,5,0),1,0)*Data_NFI_t[[#This Row],[NFI Core Kit]],0)</f>
        <v>0</v>
      </c>
      <c r="Z286" s="112">
        <f>IF(NFI_Expiration=1,IF($A286&lt;VLOOKUP(K$5,NFI,5,0),1,0)*Data_NFI_t[[#This Row],[Sanitary Kit]],0)</f>
        <v>0</v>
      </c>
      <c r="AA286" s="112">
        <f>IF(NFI_Expiration=1,IF($A286&lt;VLOOKUP(L$5,NFI,5,0),1,0)*Data_NFI_t[[#This Row],[Mosquito net]],0)</f>
        <v>0</v>
      </c>
      <c r="AB286" s="112">
        <f>IF(NFI_Expiration=1,IF($A286&lt;VLOOKUP(M$5,NFI,5,0),1,0)*Data_NFI_t[[#This Row],[Tarpaulin]],0)</f>
        <v>0</v>
      </c>
      <c r="AC286" s="112">
        <f>IF(NFI_Expiration=1,IF($A286&lt;VLOOKUP(N$5,NFI,5,0),1,0)*Data_NFI_t[[#This Row],[Blanket]],0)</f>
        <v>0</v>
      </c>
      <c r="AD286" s="112">
        <f>IF(NFI_Expiration=1,IF($A286&lt;VLOOKUP(O$5,NFI,5,0),1,0)*Data_NFI_t[[#This Row],[Kitchen Set]],0)</f>
        <v>0</v>
      </c>
      <c r="AE286" s="112">
        <f>IF(NFI_Expiration=1,IF($A286&lt;VLOOKUP(P$5,NFI,5,0),1,0)*Data_NFI_t[[#This Row],[Complementary Kit]],0)</f>
        <v>0</v>
      </c>
      <c r="AF286" s="112">
        <f>IF(NFI_Expiration=1,IF($A286&lt;VLOOKUP(Q$5,NFI,5,0),1,0)*Data_NFI_t[[#This Row],[Plastic Bucket]],0)</f>
        <v>0</v>
      </c>
      <c r="AG286" s="112">
        <f>IF(NFI_Expiration=1,IF($A286&lt;VLOOKUP(R$5,NFI,5,0),1,0)*Data_NFI_t[[#This Row],[Jerry Can]],0)</f>
        <v>0</v>
      </c>
      <c r="AH286" s="131">
        <f>IF(NFI_Expiration=1,IF($A286&lt;VLOOKUP(S$5,NFI,5,0),1,0)*Data_NFI_t[[#This Row],[Plastic Mat]],0)*IF(Data_NFI_t[[#This Row],[Distribution Date]]&gt;"01-06-2015",1,2.5)</f>
        <v>0</v>
      </c>
      <c r="AI286" s="901">
        <f>IF(NFI_Expiration=1,IF($A286&lt;VLOOKUP(T$5,NFI,5,0),1,0)*Data_NFI_t[[#This Row],[Adult Clothes]],0)</f>
        <v>0</v>
      </c>
      <c r="AJ286" s="131">
        <f>IF(NFI_Expiration=1,IF($A286&lt;VLOOKUP(U$5,NFI,5,0),1,0)*Data_NFI_t[[#This Row],[Children Clothes]],0)</f>
        <v>0</v>
      </c>
      <c r="AK286" s="131">
        <f>IF(NFI_Expiration=1,IF($A286&lt;VLOOKUP(V$5,NFI,5,0),1,0)*Data_NFI_t[[#This Row],[Sewing Kit]],0)</f>
        <v>0</v>
      </c>
      <c r="AL286" s="901">
        <f>IF(NFI_Expiration=1,IF($A286&lt;VLOOKUP(V$5,NFI,5,0),1,0)*Data_NFI_t[[#This Row],[Solar Lantern]],0)</f>
        <v>0</v>
      </c>
      <c r="AM286" s="131" t="str">
        <f ca="1">IFERROR(OFFSET(Camp_List[P_Code],MATCH(Data_NFI_t[[#This Row],[Camp Name]],Camp_List[Camp Name],0)-1,0,1,1),"")</f>
        <v>MMR012CMP014</v>
      </c>
      <c r="AN286" s="513" t="str">
        <f ca="1">IFERROR(OFFSET(Camp_List[Status],MATCH(Data_NFI_t[[#This Row],[Camp Name]],Camp_List[Camp Name],0)-1,0,1,1),"")</f>
        <v>Open</v>
      </c>
      <c r="AO286" s="131"/>
    </row>
    <row r="287" spans="1:41" s="90" customFormat="1" ht="19.5" customHeight="1" x14ac:dyDescent="0.25">
      <c r="A287" s="242">
        <f t="shared" si="6"/>
        <v>51.666666666666664</v>
      </c>
      <c r="B287" s="242">
        <f>YEAR(Data_NFI_t[[#This Row],[Distribution Date]])</f>
        <v>2013</v>
      </c>
      <c r="C287" s="913">
        <v>41306</v>
      </c>
      <c r="D287" s="489" t="s">
        <v>515</v>
      </c>
      <c r="E287" s="488" t="s">
        <v>515</v>
      </c>
      <c r="F287" s="489" t="s">
        <v>7</v>
      </c>
      <c r="G287" s="790" t="s">
        <v>14</v>
      </c>
      <c r="H287" s="790" t="s">
        <v>40</v>
      </c>
      <c r="I287" s="790">
        <v>803</v>
      </c>
      <c r="J287" s="51"/>
      <c r="K287" s="51"/>
      <c r="L287" s="51"/>
      <c r="M287" s="51"/>
      <c r="N287" s="51"/>
      <c r="O287" s="51"/>
      <c r="P287" s="51"/>
      <c r="Q287" s="51"/>
      <c r="R287" s="511"/>
      <c r="S287" s="51"/>
      <c r="T287" s="51"/>
      <c r="U287" s="51"/>
      <c r="V287" s="51"/>
      <c r="W287" s="51"/>
      <c r="X287" s="131">
        <f>IF(NFI_Expiration=1,IF($A287&lt;VLOOKUP(I$5,NFI,5,0),1,0)*Data_NFI_t[[#This Row],[Hygiene Kit]],0)</f>
        <v>0</v>
      </c>
      <c r="Y287" s="131">
        <f>IF(NFI_Expiration=1,IF($A287&lt;VLOOKUP(J$5,NFI,5,0),1,0)*Data_NFI_t[[#This Row],[NFI Core Kit]],0)</f>
        <v>0</v>
      </c>
      <c r="Z287" s="112">
        <f>IF(NFI_Expiration=1,IF($A287&lt;VLOOKUP(K$5,NFI,5,0),1,0)*Data_NFI_t[[#This Row],[Sanitary Kit]],0)</f>
        <v>0</v>
      </c>
      <c r="AA287" s="112">
        <f>IF(NFI_Expiration=1,IF($A287&lt;VLOOKUP(L$5,NFI,5,0),1,0)*Data_NFI_t[[#This Row],[Mosquito net]],0)</f>
        <v>0</v>
      </c>
      <c r="AB287" s="112">
        <f>IF(NFI_Expiration=1,IF($A287&lt;VLOOKUP(M$5,NFI,5,0),1,0)*Data_NFI_t[[#This Row],[Tarpaulin]],0)</f>
        <v>0</v>
      </c>
      <c r="AC287" s="112">
        <f>IF(NFI_Expiration=1,IF($A287&lt;VLOOKUP(N$5,NFI,5,0),1,0)*Data_NFI_t[[#This Row],[Blanket]],0)</f>
        <v>0</v>
      </c>
      <c r="AD287" s="112">
        <f>IF(NFI_Expiration=1,IF($A287&lt;VLOOKUP(O$5,NFI,5,0),1,0)*Data_NFI_t[[#This Row],[Kitchen Set]],0)</f>
        <v>0</v>
      </c>
      <c r="AE287" s="112">
        <f>IF(NFI_Expiration=1,IF($A287&lt;VLOOKUP(P$5,NFI,5,0),1,0)*Data_NFI_t[[#This Row],[Complementary Kit]],0)</f>
        <v>0</v>
      </c>
      <c r="AF287" s="112">
        <f>IF(NFI_Expiration=1,IF($A287&lt;VLOOKUP(Q$5,NFI,5,0),1,0)*Data_NFI_t[[#This Row],[Plastic Bucket]],0)</f>
        <v>0</v>
      </c>
      <c r="AG287" s="112">
        <f>IF(NFI_Expiration=1,IF($A287&lt;VLOOKUP(R$5,NFI,5,0),1,0)*Data_NFI_t[[#This Row],[Jerry Can]],0)</f>
        <v>0</v>
      </c>
      <c r="AH287" s="131">
        <f>IF(NFI_Expiration=1,IF($A287&lt;VLOOKUP(S$5,NFI,5,0),1,0)*Data_NFI_t[[#This Row],[Plastic Mat]],0)*IF(Data_NFI_t[[#This Row],[Distribution Date]]&gt;"01-06-2015",1,2.5)</f>
        <v>0</v>
      </c>
      <c r="AI287" s="901">
        <f>IF(NFI_Expiration=1,IF($A287&lt;VLOOKUP(T$5,NFI,5,0),1,0)*Data_NFI_t[[#This Row],[Adult Clothes]],0)</f>
        <v>0</v>
      </c>
      <c r="AJ287" s="131">
        <f>IF(NFI_Expiration=1,IF($A287&lt;VLOOKUP(U$5,NFI,5,0),1,0)*Data_NFI_t[[#This Row],[Children Clothes]],0)</f>
        <v>0</v>
      </c>
      <c r="AK287" s="131">
        <f>IF(NFI_Expiration=1,IF($A287&lt;VLOOKUP(V$5,NFI,5,0),1,0)*Data_NFI_t[[#This Row],[Sewing Kit]],0)</f>
        <v>0</v>
      </c>
      <c r="AL287" s="901">
        <f>IF(NFI_Expiration=1,IF($A287&lt;VLOOKUP(V$5,NFI,5,0),1,0)*Data_NFI_t[[#This Row],[Solar Lantern]],0)</f>
        <v>0</v>
      </c>
      <c r="AM287" s="131" t="str">
        <f ca="1">IFERROR(OFFSET(Camp_List[P_Code],MATCH(Data_NFI_t[[#This Row],[Camp Name]],Camp_List[Camp Name],0)-1,0,1,1),"")</f>
        <v>MMR012CMP016</v>
      </c>
      <c r="AN287" s="513" t="str">
        <f ca="1">IFERROR(OFFSET(Camp_List[Status],MATCH(Data_NFI_t[[#This Row],[Camp Name]],Camp_List[Camp Name],0)-1,0,1,1),"")</f>
        <v>Open</v>
      </c>
      <c r="AO287" s="131"/>
    </row>
    <row r="288" spans="1:41" s="90" customFormat="1" ht="19.5" customHeight="1" x14ac:dyDescent="0.25">
      <c r="A288" s="242">
        <f t="shared" si="6"/>
        <v>51.666666666666664</v>
      </c>
      <c r="B288" s="242">
        <f>YEAR(Data_NFI_t[[#This Row],[Distribution Date]])</f>
        <v>2013</v>
      </c>
      <c r="C288" s="913">
        <v>41306</v>
      </c>
      <c r="D288" s="489" t="s">
        <v>515</v>
      </c>
      <c r="E288" s="488" t="s">
        <v>515</v>
      </c>
      <c r="F288" s="489" t="s">
        <v>7</v>
      </c>
      <c r="G288" s="790" t="s">
        <v>14</v>
      </c>
      <c r="H288" s="790" t="s">
        <v>42</v>
      </c>
      <c r="I288" s="790">
        <v>858</v>
      </c>
      <c r="J288" s="51"/>
      <c r="K288" s="51"/>
      <c r="L288" s="51"/>
      <c r="M288" s="51"/>
      <c r="N288" s="51"/>
      <c r="O288" s="51"/>
      <c r="P288" s="51"/>
      <c r="Q288" s="51"/>
      <c r="R288" s="511"/>
      <c r="S288" s="51"/>
      <c r="T288" s="51"/>
      <c r="U288" s="51"/>
      <c r="V288" s="51"/>
      <c r="W288" s="51"/>
      <c r="X288" s="131">
        <f>IF(NFI_Expiration=1,IF($A288&lt;VLOOKUP(I$5,NFI,5,0),1,0)*Data_NFI_t[[#This Row],[Hygiene Kit]],0)</f>
        <v>0</v>
      </c>
      <c r="Y288" s="131">
        <f>IF(NFI_Expiration=1,IF($A288&lt;VLOOKUP(J$5,NFI,5,0),1,0)*Data_NFI_t[[#This Row],[NFI Core Kit]],0)</f>
        <v>0</v>
      </c>
      <c r="Z288" s="112">
        <f>IF(NFI_Expiration=1,IF($A288&lt;VLOOKUP(K$5,NFI,5,0),1,0)*Data_NFI_t[[#This Row],[Sanitary Kit]],0)</f>
        <v>0</v>
      </c>
      <c r="AA288" s="112">
        <f>IF(NFI_Expiration=1,IF($A288&lt;VLOOKUP(L$5,NFI,5,0),1,0)*Data_NFI_t[[#This Row],[Mosquito net]],0)</f>
        <v>0</v>
      </c>
      <c r="AB288" s="112">
        <f>IF(NFI_Expiration=1,IF($A288&lt;VLOOKUP(M$5,NFI,5,0),1,0)*Data_NFI_t[[#This Row],[Tarpaulin]],0)</f>
        <v>0</v>
      </c>
      <c r="AC288" s="112">
        <f>IF(NFI_Expiration=1,IF($A288&lt;VLOOKUP(N$5,NFI,5,0),1,0)*Data_NFI_t[[#This Row],[Blanket]],0)</f>
        <v>0</v>
      </c>
      <c r="AD288" s="112">
        <f>IF(NFI_Expiration=1,IF($A288&lt;VLOOKUP(O$5,NFI,5,0),1,0)*Data_NFI_t[[#This Row],[Kitchen Set]],0)</f>
        <v>0</v>
      </c>
      <c r="AE288" s="112">
        <f>IF(NFI_Expiration=1,IF($A288&lt;VLOOKUP(P$5,NFI,5,0),1,0)*Data_NFI_t[[#This Row],[Complementary Kit]],0)</f>
        <v>0</v>
      </c>
      <c r="AF288" s="112">
        <f>IF(NFI_Expiration=1,IF($A288&lt;VLOOKUP(Q$5,NFI,5,0),1,0)*Data_NFI_t[[#This Row],[Plastic Bucket]],0)</f>
        <v>0</v>
      </c>
      <c r="AG288" s="112">
        <f>IF(NFI_Expiration=1,IF($A288&lt;VLOOKUP(R$5,NFI,5,0),1,0)*Data_NFI_t[[#This Row],[Jerry Can]],0)</f>
        <v>0</v>
      </c>
      <c r="AH288" s="131">
        <f>IF(NFI_Expiration=1,IF($A288&lt;VLOOKUP(S$5,NFI,5,0),1,0)*Data_NFI_t[[#This Row],[Plastic Mat]],0)*IF(Data_NFI_t[[#This Row],[Distribution Date]]&gt;"01-06-2015",1,2.5)</f>
        <v>0</v>
      </c>
      <c r="AI288" s="901">
        <f>IF(NFI_Expiration=1,IF($A288&lt;VLOOKUP(T$5,NFI,5,0),1,0)*Data_NFI_t[[#This Row],[Adult Clothes]],0)</f>
        <v>0</v>
      </c>
      <c r="AJ288" s="131">
        <f>IF(NFI_Expiration=1,IF($A288&lt;VLOOKUP(U$5,NFI,5,0),1,0)*Data_NFI_t[[#This Row],[Children Clothes]],0)</f>
        <v>0</v>
      </c>
      <c r="AK288" s="131">
        <f>IF(NFI_Expiration=1,IF($A288&lt;VLOOKUP(V$5,NFI,5,0),1,0)*Data_NFI_t[[#This Row],[Sewing Kit]],0)</f>
        <v>0</v>
      </c>
      <c r="AL288" s="901">
        <f>IF(NFI_Expiration=1,IF($A288&lt;VLOOKUP(V$5,NFI,5,0),1,0)*Data_NFI_t[[#This Row],[Solar Lantern]],0)</f>
        <v>0</v>
      </c>
      <c r="AM288" s="131" t="str">
        <f ca="1">IFERROR(OFFSET(Camp_List[P_Code],MATCH(Data_NFI_t[[#This Row],[Camp Name]],Camp_List[Camp Name],0)-1,0,1,1),"")</f>
        <v>MMR012CMP018</v>
      </c>
      <c r="AN288" s="513" t="str">
        <f ca="1">IFERROR(OFFSET(Camp_List[Status],MATCH(Data_NFI_t[[#This Row],[Camp Name]],Camp_List[Camp Name],0)-1,0,1,1),"")</f>
        <v>Open</v>
      </c>
      <c r="AO288" s="131"/>
    </row>
    <row r="289" spans="1:41" s="90" customFormat="1" ht="19.5" customHeight="1" x14ac:dyDescent="0.25">
      <c r="A289" s="242">
        <f t="shared" si="6"/>
        <v>51.733333333333334</v>
      </c>
      <c r="B289" s="242">
        <f>YEAR(Data_NFI_t[[#This Row],[Distribution Date]])</f>
        <v>2013</v>
      </c>
      <c r="C289" s="913">
        <v>41304</v>
      </c>
      <c r="D289" s="489" t="s">
        <v>515</v>
      </c>
      <c r="E289" s="488" t="s">
        <v>515</v>
      </c>
      <c r="F289" s="489" t="s">
        <v>7</v>
      </c>
      <c r="G289" s="790" t="s">
        <v>14</v>
      </c>
      <c r="H289" s="790" t="s">
        <v>43</v>
      </c>
      <c r="I289" s="790">
        <v>810</v>
      </c>
      <c r="J289" s="51"/>
      <c r="K289" s="51"/>
      <c r="L289" s="51"/>
      <c r="M289" s="51"/>
      <c r="N289" s="51"/>
      <c r="O289" s="51"/>
      <c r="P289" s="51"/>
      <c r="Q289" s="51"/>
      <c r="R289" s="511"/>
      <c r="S289" s="51"/>
      <c r="T289" s="51"/>
      <c r="U289" s="51"/>
      <c r="V289" s="51"/>
      <c r="W289" s="51"/>
      <c r="X289" s="131">
        <f>IF(NFI_Expiration=1,IF($A289&lt;VLOOKUP(I$5,NFI,5,0),1,0)*Data_NFI_t[[#This Row],[Hygiene Kit]],0)</f>
        <v>0</v>
      </c>
      <c r="Y289" s="131">
        <f>IF(NFI_Expiration=1,IF($A289&lt;VLOOKUP(J$5,NFI,5,0),1,0)*Data_NFI_t[[#This Row],[NFI Core Kit]],0)</f>
        <v>0</v>
      </c>
      <c r="Z289" s="112">
        <f>IF(NFI_Expiration=1,IF($A289&lt;VLOOKUP(K$5,NFI,5,0),1,0)*Data_NFI_t[[#This Row],[Sanitary Kit]],0)</f>
        <v>0</v>
      </c>
      <c r="AA289" s="112">
        <f>IF(NFI_Expiration=1,IF($A289&lt;VLOOKUP(L$5,NFI,5,0),1,0)*Data_NFI_t[[#This Row],[Mosquito net]],0)</f>
        <v>0</v>
      </c>
      <c r="AB289" s="112">
        <f>IF(NFI_Expiration=1,IF($A289&lt;VLOOKUP(M$5,NFI,5,0),1,0)*Data_NFI_t[[#This Row],[Tarpaulin]],0)</f>
        <v>0</v>
      </c>
      <c r="AC289" s="112">
        <f>IF(NFI_Expiration=1,IF($A289&lt;VLOOKUP(N$5,NFI,5,0),1,0)*Data_NFI_t[[#This Row],[Blanket]],0)</f>
        <v>0</v>
      </c>
      <c r="AD289" s="112">
        <f>IF(NFI_Expiration=1,IF($A289&lt;VLOOKUP(O$5,NFI,5,0),1,0)*Data_NFI_t[[#This Row],[Kitchen Set]],0)</f>
        <v>0</v>
      </c>
      <c r="AE289" s="112">
        <f>IF(NFI_Expiration=1,IF($A289&lt;VLOOKUP(P$5,NFI,5,0),1,0)*Data_NFI_t[[#This Row],[Complementary Kit]],0)</f>
        <v>0</v>
      </c>
      <c r="AF289" s="112">
        <f>IF(NFI_Expiration=1,IF($A289&lt;VLOOKUP(Q$5,NFI,5,0),1,0)*Data_NFI_t[[#This Row],[Plastic Bucket]],0)</f>
        <v>0</v>
      </c>
      <c r="AG289" s="112">
        <f>IF(NFI_Expiration=1,IF($A289&lt;VLOOKUP(R$5,NFI,5,0),1,0)*Data_NFI_t[[#This Row],[Jerry Can]],0)</f>
        <v>0</v>
      </c>
      <c r="AH289" s="131">
        <f>IF(NFI_Expiration=1,IF($A289&lt;VLOOKUP(S$5,NFI,5,0),1,0)*Data_NFI_t[[#This Row],[Plastic Mat]],0)*IF(Data_NFI_t[[#This Row],[Distribution Date]]&gt;"01-06-2015",1,2.5)</f>
        <v>0</v>
      </c>
      <c r="AI289" s="901">
        <f>IF(NFI_Expiration=1,IF($A289&lt;VLOOKUP(T$5,NFI,5,0),1,0)*Data_NFI_t[[#This Row],[Adult Clothes]],0)</f>
        <v>0</v>
      </c>
      <c r="AJ289" s="131">
        <f>IF(NFI_Expiration=1,IF($A289&lt;VLOOKUP(U$5,NFI,5,0),1,0)*Data_NFI_t[[#This Row],[Children Clothes]],0)</f>
        <v>0</v>
      </c>
      <c r="AK289" s="131">
        <f>IF(NFI_Expiration=1,IF($A289&lt;VLOOKUP(V$5,NFI,5,0),1,0)*Data_NFI_t[[#This Row],[Sewing Kit]],0)</f>
        <v>0</v>
      </c>
      <c r="AL289" s="901">
        <f>IF(NFI_Expiration=1,IF($A289&lt;VLOOKUP(V$5,NFI,5,0),1,0)*Data_NFI_t[[#This Row],[Solar Lantern]],0)</f>
        <v>0</v>
      </c>
      <c r="AM289" s="131" t="str">
        <f ca="1">IFERROR(OFFSET(Camp_List[P_Code],MATCH(Data_NFI_t[[#This Row],[Camp Name]],Camp_List[Camp Name],0)-1,0,1,1),"")</f>
        <v>MMR012CMP019</v>
      </c>
      <c r="AN289" s="513" t="str">
        <f ca="1">IFERROR(OFFSET(Camp_List[Status],MATCH(Data_NFI_t[[#This Row],[Camp Name]],Camp_List[Camp Name],0)-1,0,1,1),"")</f>
        <v>Open</v>
      </c>
      <c r="AO289" s="131"/>
    </row>
    <row r="290" spans="1:41" s="90" customFormat="1" ht="19.5" customHeight="1" x14ac:dyDescent="0.25">
      <c r="A290" s="242">
        <f t="shared" si="6"/>
        <v>51.93333333333333</v>
      </c>
      <c r="B290" s="242">
        <f>YEAR(Data_NFI_t[[#This Row],[Distribution Date]])</f>
        <v>2013</v>
      </c>
      <c r="C290" s="913">
        <v>41298</v>
      </c>
      <c r="D290" s="489" t="s">
        <v>515</v>
      </c>
      <c r="E290" s="488" t="s">
        <v>515</v>
      </c>
      <c r="F290" s="489" t="s">
        <v>7</v>
      </c>
      <c r="G290" s="790" t="s">
        <v>19</v>
      </c>
      <c r="H290" s="790" t="s">
        <v>70</v>
      </c>
      <c r="I290" s="790">
        <v>3100</v>
      </c>
      <c r="J290" s="51"/>
      <c r="K290" s="51"/>
      <c r="L290" s="51"/>
      <c r="M290" s="51"/>
      <c r="N290" s="51"/>
      <c r="O290" s="51"/>
      <c r="P290" s="51"/>
      <c r="Q290" s="51"/>
      <c r="R290" s="511"/>
      <c r="S290" s="51"/>
      <c r="T290" s="51"/>
      <c r="U290" s="51"/>
      <c r="V290" s="51"/>
      <c r="W290" s="51"/>
      <c r="X290" s="131">
        <f>IF(NFI_Expiration=1,IF($A290&lt;VLOOKUP(I$5,NFI,5,0),1,0)*Data_NFI_t[[#This Row],[Hygiene Kit]],0)</f>
        <v>0</v>
      </c>
      <c r="Y290" s="131">
        <f>IF(NFI_Expiration=1,IF($A290&lt;VLOOKUP(J$5,NFI,5,0),1,0)*Data_NFI_t[[#This Row],[NFI Core Kit]],0)</f>
        <v>0</v>
      </c>
      <c r="Z290" s="112">
        <f>IF(NFI_Expiration=1,IF($A290&lt;VLOOKUP(K$5,NFI,5,0),1,0)*Data_NFI_t[[#This Row],[Sanitary Kit]],0)</f>
        <v>0</v>
      </c>
      <c r="AA290" s="112">
        <f>IF(NFI_Expiration=1,IF($A290&lt;VLOOKUP(L$5,NFI,5,0),1,0)*Data_NFI_t[[#This Row],[Mosquito net]],0)</f>
        <v>0</v>
      </c>
      <c r="AB290" s="112">
        <f>IF(NFI_Expiration=1,IF($A290&lt;VLOOKUP(M$5,NFI,5,0),1,0)*Data_NFI_t[[#This Row],[Tarpaulin]],0)</f>
        <v>0</v>
      </c>
      <c r="AC290" s="112">
        <f>IF(NFI_Expiration=1,IF($A290&lt;VLOOKUP(N$5,NFI,5,0),1,0)*Data_NFI_t[[#This Row],[Blanket]],0)</f>
        <v>0</v>
      </c>
      <c r="AD290" s="112">
        <f>IF(NFI_Expiration=1,IF($A290&lt;VLOOKUP(O$5,NFI,5,0),1,0)*Data_NFI_t[[#This Row],[Kitchen Set]],0)</f>
        <v>0</v>
      </c>
      <c r="AE290" s="112">
        <f>IF(NFI_Expiration=1,IF($A290&lt;VLOOKUP(P$5,NFI,5,0),1,0)*Data_NFI_t[[#This Row],[Complementary Kit]],0)</f>
        <v>0</v>
      </c>
      <c r="AF290" s="112">
        <f>IF(NFI_Expiration=1,IF($A290&lt;VLOOKUP(Q$5,NFI,5,0),1,0)*Data_NFI_t[[#This Row],[Plastic Bucket]],0)</f>
        <v>0</v>
      </c>
      <c r="AG290" s="112">
        <f>IF(NFI_Expiration=1,IF($A290&lt;VLOOKUP(R$5,NFI,5,0),1,0)*Data_NFI_t[[#This Row],[Jerry Can]],0)</f>
        <v>0</v>
      </c>
      <c r="AH290" s="131">
        <f>IF(NFI_Expiration=1,IF($A290&lt;VLOOKUP(S$5,NFI,5,0),1,0)*Data_NFI_t[[#This Row],[Plastic Mat]],0)*IF(Data_NFI_t[[#This Row],[Distribution Date]]&gt;"01-06-2015",1,2.5)</f>
        <v>0</v>
      </c>
      <c r="AI290" s="901">
        <f>IF(NFI_Expiration=1,IF($A290&lt;VLOOKUP(T$5,NFI,5,0),1,0)*Data_NFI_t[[#This Row],[Adult Clothes]],0)</f>
        <v>0</v>
      </c>
      <c r="AJ290" s="131">
        <f>IF(NFI_Expiration=1,IF($A290&lt;VLOOKUP(U$5,NFI,5,0),1,0)*Data_NFI_t[[#This Row],[Children Clothes]],0)</f>
        <v>0</v>
      </c>
      <c r="AK290" s="131">
        <f>IF(NFI_Expiration=1,IF($A290&lt;VLOOKUP(V$5,NFI,5,0),1,0)*Data_NFI_t[[#This Row],[Sewing Kit]],0)</f>
        <v>0</v>
      </c>
      <c r="AL290" s="901">
        <f>IF(NFI_Expiration=1,IF($A290&lt;VLOOKUP(V$5,NFI,5,0),1,0)*Data_NFI_t[[#This Row],[Solar Lantern]],0)</f>
        <v>0</v>
      </c>
      <c r="AM290" s="131" t="str">
        <f ca="1">IFERROR(OFFSET(Camp_List[P_Code],MATCH(Data_NFI_t[[#This Row],[Camp Name]],Camp_List[Camp Name],0)-1,0,1,1),"")</f>
        <v>MMR012CMP048</v>
      </c>
      <c r="AN290" s="513" t="str">
        <f ca="1">IFERROR(OFFSET(Camp_List[Status],MATCH(Data_NFI_t[[#This Row],[Camp Name]],Camp_List[Camp Name],0)-1,0,1,1),"")</f>
        <v>Open</v>
      </c>
      <c r="AO290" s="131"/>
    </row>
    <row r="291" spans="1:41" s="90" customFormat="1" ht="19.5" customHeight="1" x14ac:dyDescent="0.25">
      <c r="A291" s="242">
        <f t="shared" si="6"/>
        <v>52.033333333333331</v>
      </c>
      <c r="B291" s="242">
        <f>YEAR(Data_NFI_t[[#This Row],[Distribution Date]])</f>
        <v>2013</v>
      </c>
      <c r="C291" s="913">
        <v>41295</v>
      </c>
      <c r="D291" s="489" t="s">
        <v>289</v>
      </c>
      <c r="E291" s="488" t="s">
        <v>285</v>
      </c>
      <c r="F291" s="489" t="s">
        <v>7</v>
      </c>
      <c r="G291" s="790" t="s">
        <v>19</v>
      </c>
      <c r="H291" s="790" t="s">
        <v>244</v>
      </c>
      <c r="I291" s="790"/>
      <c r="J291" s="51"/>
      <c r="K291" s="51"/>
      <c r="L291" s="51"/>
      <c r="M291" s="51"/>
      <c r="N291" s="51">
        <v>38</v>
      </c>
      <c r="O291" s="51"/>
      <c r="P291" s="51"/>
      <c r="Q291" s="51"/>
      <c r="R291" s="511"/>
      <c r="S291" s="51"/>
      <c r="T291" s="51"/>
      <c r="U291" s="51"/>
      <c r="V291" s="51"/>
      <c r="W291" s="51"/>
      <c r="X291" s="131">
        <f>IF(NFI_Expiration=1,IF($A291&lt;VLOOKUP(I$5,NFI,5,0),1,0)*Data_NFI_t[[#This Row],[Hygiene Kit]],0)</f>
        <v>0</v>
      </c>
      <c r="Y291" s="131">
        <f>IF(NFI_Expiration=1,IF($A291&lt;VLOOKUP(J$5,NFI,5,0),1,0)*Data_NFI_t[[#This Row],[NFI Core Kit]],0)</f>
        <v>0</v>
      </c>
      <c r="Z291" s="112">
        <f>IF(NFI_Expiration=1,IF($A291&lt;VLOOKUP(K$5,NFI,5,0),1,0)*Data_NFI_t[[#This Row],[Sanitary Kit]],0)</f>
        <v>0</v>
      </c>
      <c r="AA291" s="112">
        <f>IF(NFI_Expiration=1,IF($A291&lt;VLOOKUP(L$5,NFI,5,0),1,0)*Data_NFI_t[[#This Row],[Mosquito net]],0)</f>
        <v>0</v>
      </c>
      <c r="AB291" s="112">
        <f>IF(NFI_Expiration=1,IF($A291&lt;VLOOKUP(M$5,NFI,5,0),1,0)*Data_NFI_t[[#This Row],[Tarpaulin]],0)</f>
        <v>0</v>
      </c>
      <c r="AC291" s="112">
        <f>IF(NFI_Expiration=1,IF($A291&lt;VLOOKUP(N$5,NFI,5,0),1,0)*Data_NFI_t[[#This Row],[Blanket]],0)</f>
        <v>0</v>
      </c>
      <c r="AD291" s="112">
        <f>IF(NFI_Expiration=1,IF($A291&lt;VLOOKUP(O$5,NFI,5,0),1,0)*Data_NFI_t[[#This Row],[Kitchen Set]],0)</f>
        <v>0</v>
      </c>
      <c r="AE291" s="112">
        <f>IF(NFI_Expiration=1,IF($A291&lt;VLOOKUP(P$5,NFI,5,0),1,0)*Data_NFI_t[[#This Row],[Complementary Kit]],0)</f>
        <v>0</v>
      </c>
      <c r="AF291" s="112">
        <f>IF(NFI_Expiration=1,IF($A291&lt;VLOOKUP(Q$5,NFI,5,0),1,0)*Data_NFI_t[[#This Row],[Plastic Bucket]],0)</f>
        <v>0</v>
      </c>
      <c r="AG291" s="112">
        <f>IF(NFI_Expiration=1,IF($A291&lt;VLOOKUP(R$5,NFI,5,0),1,0)*Data_NFI_t[[#This Row],[Jerry Can]],0)</f>
        <v>0</v>
      </c>
      <c r="AH291" s="131">
        <f>IF(NFI_Expiration=1,IF($A291&lt;VLOOKUP(S$5,NFI,5,0),1,0)*Data_NFI_t[[#This Row],[Plastic Mat]],0)*IF(Data_NFI_t[[#This Row],[Distribution Date]]&gt;"01-06-2015",1,2.5)</f>
        <v>0</v>
      </c>
      <c r="AI291" s="901">
        <f>IF(NFI_Expiration=1,IF($A291&lt;VLOOKUP(T$5,NFI,5,0),1,0)*Data_NFI_t[[#This Row],[Adult Clothes]],0)</f>
        <v>0</v>
      </c>
      <c r="AJ291" s="131">
        <f>IF(NFI_Expiration=1,IF($A291&lt;VLOOKUP(U$5,NFI,5,0),1,0)*Data_NFI_t[[#This Row],[Children Clothes]],0)</f>
        <v>0</v>
      </c>
      <c r="AK291" s="131">
        <f>IF(NFI_Expiration=1,IF($A291&lt;VLOOKUP(V$5,NFI,5,0),1,0)*Data_NFI_t[[#This Row],[Sewing Kit]],0)</f>
        <v>0</v>
      </c>
      <c r="AL291" s="901">
        <f>IF(NFI_Expiration=1,IF($A291&lt;VLOOKUP(V$5,NFI,5,0),1,0)*Data_NFI_t[[#This Row],[Solar Lantern]],0)</f>
        <v>0</v>
      </c>
      <c r="AM291" s="131" t="str">
        <f ca="1">IFERROR(OFFSET(Camp_List[P_Code],MATCH(Data_NFI_t[[#This Row],[Camp Name]],Camp_List[Camp Name],0)-1,0,1,1),"")</f>
        <v>MMR012CMP090</v>
      </c>
      <c r="AN291" s="513" t="str">
        <f ca="1">IFERROR(OFFSET(Camp_List[Status],MATCH(Data_NFI_t[[#This Row],[Camp Name]],Camp_List[Camp Name],0)-1,0,1,1),"")</f>
        <v>Close</v>
      </c>
      <c r="AO291" s="131"/>
    </row>
    <row r="292" spans="1:41" s="90" customFormat="1" ht="19.5" customHeight="1" x14ac:dyDescent="0.25">
      <c r="A292" s="242">
        <f t="shared" si="6"/>
        <v>52.133333333333333</v>
      </c>
      <c r="B292" s="242">
        <f>YEAR(Data_NFI_t[[#This Row],[Distribution Date]])</f>
        <v>2013</v>
      </c>
      <c r="C292" s="913">
        <v>41292</v>
      </c>
      <c r="D292" s="489" t="s">
        <v>285</v>
      </c>
      <c r="E292" s="488"/>
      <c r="F292" s="489" t="s">
        <v>7</v>
      </c>
      <c r="G292" s="790" t="s">
        <v>20</v>
      </c>
      <c r="H292" s="790" t="s">
        <v>109</v>
      </c>
      <c r="I292" s="790"/>
      <c r="J292" s="51">
        <v>63</v>
      </c>
      <c r="K292" s="51"/>
      <c r="L292" s="51">
        <v>126</v>
      </c>
      <c r="M292" s="51">
        <v>63</v>
      </c>
      <c r="N292" s="51">
        <v>126</v>
      </c>
      <c r="O292" s="51">
        <v>63</v>
      </c>
      <c r="P292" s="51">
        <v>63</v>
      </c>
      <c r="Q292" s="51">
        <v>63</v>
      </c>
      <c r="R292" s="511"/>
      <c r="S292" s="51">
        <v>126</v>
      </c>
      <c r="T292" s="51"/>
      <c r="U292" s="51"/>
      <c r="V292" s="51"/>
      <c r="W292" s="51"/>
      <c r="X292" s="131">
        <f>IF(NFI_Expiration=1,IF($A292&lt;VLOOKUP(I$5,NFI,5,0),1,0)*Data_NFI_t[[#This Row],[Hygiene Kit]],0)</f>
        <v>0</v>
      </c>
      <c r="Y292" s="131">
        <f>IF(NFI_Expiration=1,IF($A292&lt;VLOOKUP(J$5,NFI,5,0),1,0)*Data_NFI_t[[#This Row],[NFI Core Kit]],0)</f>
        <v>0</v>
      </c>
      <c r="Z292" s="112">
        <f>IF(NFI_Expiration=1,IF($A292&lt;VLOOKUP(K$5,NFI,5,0),1,0)*Data_NFI_t[[#This Row],[Sanitary Kit]],0)</f>
        <v>0</v>
      </c>
      <c r="AA292" s="112">
        <f>IF(NFI_Expiration=1,IF($A292&lt;VLOOKUP(L$5,NFI,5,0),1,0)*Data_NFI_t[[#This Row],[Mosquito net]],0)</f>
        <v>0</v>
      </c>
      <c r="AB292" s="112">
        <f>IF(NFI_Expiration=1,IF($A292&lt;VLOOKUP(M$5,NFI,5,0),1,0)*Data_NFI_t[[#This Row],[Tarpaulin]],0)</f>
        <v>0</v>
      </c>
      <c r="AC292" s="112">
        <f>IF(NFI_Expiration=1,IF($A292&lt;VLOOKUP(N$5,NFI,5,0),1,0)*Data_NFI_t[[#This Row],[Blanket]],0)</f>
        <v>0</v>
      </c>
      <c r="AD292" s="112">
        <f>IF(NFI_Expiration=1,IF($A292&lt;VLOOKUP(O$5,NFI,5,0),1,0)*Data_NFI_t[[#This Row],[Kitchen Set]],0)</f>
        <v>0</v>
      </c>
      <c r="AE292" s="112">
        <f>IF(NFI_Expiration=1,IF($A292&lt;VLOOKUP(P$5,NFI,5,0),1,0)*Data_NFI_t[[#This Row],[Complementary Kit]],0)</f>
        <v>0</v>
      </c>
      <c r="AF292" s="112">
        <f>IF(NFI_Expiration=1,IF($A292&lt;VLOOKUP(Q$5,NFI,5,0),1,0)*Data_NFI_t[[#This Row],[Plastic Bucket]],0)</f>
        <v>0</v>
      </c>
      <c r="AG292" s="112">
        <f>IF(NFI_Expiration=1,IF($A292&lt;VLOOKUP(R$5,NFI,5,0),1,0)*Data_NFI_t[[#This Row],[Jerry Can]],0)</f>
        <v>0</v>
      </c>
      <c r="AH292" s="131">
        <f>IF(NFI_Expiration=1,IF($A292&lt;VLOOKUP(S$5,NFI,5,0),1,0)*Data_NFI_t[[#This Row],[Plastic Mat]],0)*IF(Data_NFI_t[[#This Row],[Distribution Date]]&gt;"01-06-2015",1,2.5)</f>
        <v>0</v>
      </c>
      <c r="AI292" s="901">
        <f>IF(NFI_Expiration=1,IF($A292&lt;VLOOKUP(T$5,NFI,5,0),1,0)*Data_NFI_t[[#This Row],[Adult Clothes]],0)</f>
        <v>0</v>
      </c>
      <c r="AJ292" s="131">
        <f>IF(NFI_Expiration=1,IF($A292&lt;VLOOKUP(U$5,NFI,5,0),1,0)*Data_NFI_t[[#This Row],[Children Clothes]],0)</f>
        <v>0</v>
      </c>
      <c r="AK292" s="131">
        <f>IF(NFI_Expiration=1,IF($A292&lt;VLOOKUP(V$5,NFI,5,0),1,0)*Data_NFI_t[[#This Row],[Sewing Kit]],0)</f>
        <v>0</v>
      </c>
      <c r="AL292" s="901">
        <f>IF(NFI_Expiration=1,IF($A292&lt;VLOOKUP(V$5,NFI,5,0),1,0)*Data_NFI_t[[#This Row],[Solar Lantern]],0)</f>
        <v>0</v>
      </c>
      <c r="AM292" s="131" t="str">
        <f ca="1">IFERROR(OFFSET(Camp_List[P_Code],MATCH(Data_NFI_t[[#This Row],[Camp Name]],Camp_List[Camp Name],0)-1,0,1,1),"")</f>
        <v>MMR012CMP088</v>
      </c>
      <c r="AN292" s="513" t="str">
        <f ca="1">IFERROR(OFFSET(Camp_List[Status],MATCH(Data_NFI_t[[#This Row],[Camp Name]],Camp_List[Camp Name],0)-1,0,1,1),"")</f>
        <v>Open</v>
      </c>
      <c r="AO292" s="131"/>
    </row>
    <row r="293" spans="1:41" s="90" customFormat="1" ht="19.5" customHeight="1" x14ac:dyDescent="0.25">
      <c r="A293" s="242">
        <f t="shared" si="6"/>
        <v>52.133333333333333</v>
      </c>
      <c r="B293" s="242">
        <f>YEAR(Data_NFI_t[[#This Row],[Distribution Date]])</f>
        <v>2013</v>
      </c>
      <c r="C293" s="913">
        <v>41292</v>
      </c>
      <c r="D293" s="489" t="s">
        <v>285</v>
      </c>
      <c r="E293" s="488"/>
      <c r="F293" s="489" t="s">
        <v>7</v>
      </c>
      <c r="G293" s="790" t="s">
        <v>20</v>
      </c>
      <c r="H293" s="790" t="s">
        <v>109</v>
      </c>
      <c r="I293" s="790"/>
      <c r="J293" s="51"/>
      <c r="K293" s="51">
        <v>63</v>
      </c>
      <c r="L293" s="51">
        <v>126</v>
      </c>
      <c r="M293" s="51">
        <v>63</v>
      </c>
      <c r="N293" s="51">
        <v>0</v>
      </c>
      <c r="O293" s="51"/>
      <c r="P293" s="51"/>
      <c r="Q293" s="51"/>
      <c r="R293" s="511"/>
      <c r="S293" s="51"/>
      <c r="T293" s="51"/>
      <c r="U293" s="51"/>
      <c r="V293" s="51"/>
      <c r="W293" s="51"/>
      <c r="X293" s="131">
        <f>IF(NFI_Expiration=1,IF($A293&lt;VLOOKUP(I$5,NFI,5,0),1,0)*Data_NFI_t[[#This Row],[Hygiene Kit]],0)</f>
        <v>0</v>
      </c>
      <c r="Y293" s="131">
        <f>IF(NFI_Expiration=1,IF($A293&lt;VLOOKUP(J$5,NFI,5,0),1,0)*Data_NFI_t[[#This Row],[NFI Core Kit]],0)</f>
        <v>0</v>
      </c>
      <c r="Z293" s="112">
        <f>IF(NFI_Expiration=1,IF($A293&lt;VLOOKUP(K$5,NFI,5,0),1,0)*Data_NFI_t[[#This Row],[Sanitary Kit]],0)</f>
        <v>0</v>
      </c>
      <c r="AA293" s="112">
        <f>IF(NFI_Expiration=1,IF($A293&lt;VLOOKUP(L$5,NFI,5,0),1,0)*Data_NFI_t[[#This Row],[Mosquito net]],0)</f>
        <v>0</v>
      </c>
      <c r="AB293" s="112">
        <f>IF(NFI_Expiration=1,IF($A293&lt;VLOOKUP(M$5,NFI,5,0),1,0)*Data_NFI_t[[#This Row],[Tarpaulin]],0)</f>
        <v>0</v>
      </c>
      <c r="AC293" s="112">
        <f>IF(NFI_Expiration=1,IF($A293&lt;VLOOKUP(N$5,NFI,5,0),1,0)*Data_NFI_t[[#This Row],[Blanket]],0)</f>
        <v>0</v>
      </c>
      <c r="AD293" s="112">
        <f>IF(NFI_Expiration=1,IF($A293&lt;VLOOKUP(O$5,NFI,5,0),1,0)*Data_NFI_t[[#This Row],[Kitchen Set]],0)</f>
        <v>0</v>
      </c>
      <c r="AE293" s="112">
        <f>IF(NFI_Expiration=1,IF($A293&lt;VLOOKUP(P$5,NFI,5,0),1,0)*Data_NFI_t[[#This Row],[Complementary Kit]],0)</f>
        <v>0</v>
      </c>
      <c r="AF293" s="112">
        <f>IF(NFI_Expiration=1,IF($A293&lt;VLOOKUP(Q$5,NFI,5,0),1,0)*Data_NFI_t[[#This Row],[Plastic Bucket]],0)</f>
        <v>0</v>
      </c>
      <c r="AG293" s="112">
        <f>IF(NFI_Expiration=1,IF($A293&lt;VLOOKUP(R$5,NFI,5,0),1,0)*Data_NFI_t[[#This Row],[Jerry Can]],0)</f>
        <v>0</v>
      </c>
      <c r="AH293" s="131">
        <f>IF(NFI_Expiration=1,IF($A293&lt;VLOOKUP(S$5,NFI,5,0),1,0)*Data_NFI_t[[#This Row],[Plastic Mat]],0)*IF(Data_NFI_t[[#This Row],[Distribution Date]]&gt;"01-06-2015",1,2.5)</f>
        <v>0</v>
      </c>
      <c r="AI293" s="901">
        <f>IF(NFI_Expiration=1,IF($A293&lt;VLOOKUP(T$5,NFI,5,0),1,0)*Data_NFI_t[[#This Row],[Adult Clothes]],0)</f>
        <v>0</v>
      </c>
      <c r="AJ293" s="131">
        <f>IF(NFI_Expiration=1,IF($A293&lt;VLOOKUP(U$5,NFI,5,0),1,0)*Data_NFI_t[[#This Row],[Children Clothes]],0)</f>
        <v>0</v>
      </c>
      <c r="AK293" s="131">
        <f>IF(NFI_Expiration=1,IF($A293&lt;VLOOKUP(V$5,NFI,5,0),1,0)*Data_NFI_t[[#This Row],[Sewing Kit]],0)</f>
        <v>0</v>
      </c>
      <c r="AL293" s="901">
        <f>IF(NFI_Expiration=1,IF($A293&lt;VLOOKUP(V$5,NFI,5,0),1,0)*Data_NFI_t[[#This Row],[Solar Lantern]],0)</f>
        <v>0</v>
      </c>
      <c r="AM293" s="131" t="str">
        <f ca="1">IFERROR(OFFSET(Camp_List[P_Code],MATCH(Data_NFI_t[[#This Row],[Camp Name]],Camp_List[Camp Name],0)-1,0,1,1),"")</f>
        <v>MMR012CMP088</v>
      </c>
      <c r="AN293" s="513" t="str">
        <f ca="1">IFERROR(OFFSET(Camp_List[Status],MATCH(Data_NFI_t[[#This Row],[Camp Name]],Camp_List[Camp Name],0)-1,0,1,1),"")</f>
        <v>Open</v>
      </c>
      <c r="AO293" s="131"/>
    </row>
    <row r="294" spans="1:41" s="90" customFormat="1" ht="19.5" customHeight="1" x14ac:dyDescent="0.25">
      <c r="A294" s="242">
        <f t="shared" si="6"/>
        <v>52.133333333333333</v>
      </c>
      <c r="B294" s="242">
        <f>YEAR(Data_NFI_t[[#This Row],[Distribution Date]])</f>
        <v>2013</v>
      </c>
      <c r="C294" s="913">
        <v>41292</v>
      </c>
      <c r="D294" s="489" t="s">
        <v>289</v>
      </c>
      <c r="E294" s="488" t="s">
        <v>285</v>
      </c>
      <c r="F294" s="489" t="s">
        <v>7</v>
      </c>
      <c r="G294" s="790" t="s">
        <v>19</v>
      </c>
      <c r="H294" s="790" t="s">
        <v>244</v>
      </c>
      <c r="I294" s="790"/>
      <c r="J294" s="51"/>
      <c r="K294" s="51"/>
      <c r="L294" s="51"/>
      <c r="M294" s="51"/>
      <c r="N294" s="51">
        <v>50</v>
      </c>
      <c r="O294" s="51"/>
      <c r="P294" s="51"/>
      <c r="Q294" s="51"/>
      <c r="R294" s="511"/>
      <c r="S294" s="51"/>
      <c r="T294" s="51"/>
      <c r="U294" s="51"/>
      <c r="V294" s="51"/>
      <c r="W294" s="51"/>
      <c r="X294" s="131">
        <f>IF(NFI_Expiration=1,IF($A294&lt;VLOOKUP(I$5,NFI,5,0),1,0)*Data_NFI_t[[#This Row],[Hygiene Kit]],0)</f>
        <v>0</v>
      </c>
      <c r="Y294" s="131">
        <f>IF(NFI_Expiration=1,IF($A294&lt;VLOOKUP(J$5,NFI,5,0),1,0)*Data_NFI_t[[#This Row],[NFI Core Kit]],0)</f>
        <v>0</v>
      </c>
      <c r="Z294" s="112">
        <f>IF(NFI_Expiration=1,IF($A294&lt;VLOOKUP(K$5,NFI,5,0),1,0)*Data_NFI_t[[#This Row],[Sanitary Kit]],0)</f>
        <v>0</v>
      </c>
      <c r="AA294" s="112">
        <f>IF(NFI_Expiration=1,IF($A294&lt;VLOOKUP(L$5,NFI,5,0),1,0)*Data_NFI_t[[#This Row],[Mosquito net]],0)</f>
        <v>0</v>
      </c>
      <c r="AB294" s="112">
        <f>IF(NFI_Expiration=1,IF($A294&lt;VLOOKUP(M$5,NFI,5,0),1,0)*Data_NFI_t[[#This Row],[Tarpaulin]],0)</f>
        <v>0</v>
      </c>
      <c r="AC294" s="112">
        <f>IF(NFI_Expiration=1,IF($A294&lt;VLOOKUP(N$5,NFI,5,0),1,0)*Data_NFI_t[[#This Row],[Blanket]],0)</f>
        <v>0</v>
      </c>
      <c r="AD294" s="112">
        <f>IF(NFI_Expiration=1,IF($A294&lt;VLOOKUP(O$5,NFI,5,0),1,0)*Data_NFI_t[[#This Row],[Kitchen Set]],0)</f>
        <v>0</v>
      </c>
      <c r="AE294" s="112">
        <f>IF(NFI_Expiration=1,IF($A294&lt;VLOOKUP(P$5,NFI,5,0),1,0)*Data_NFI_t[[#This Row],[Complementary Kit]],0)</f>
        <v>0</v>
      </c>
      <c r="AF294" s="112">
        <f>IF(NFI_Expiration=1,IF($A294&lt;VLOOKUP(Q$5,NFI,5,0),1,0)*Data_NFI_t[[#This Row],[Plastic Bucket]],0)</f>
        <v>0</v>
      </c>
      <c r="AG294" s="112">
        <f>IF(NFI_Expiration=1,IF($A294&lt;VLOOKUP(R$5,NFI,5,0),1,0)*Data_NFI_t[[#This Row],[Jerry Can]],0)</f>
        <v>0</v>
      </c>
      <c r="AH294" s="131">
        <f>IF(NFI_Expiration=1,IF($A294&lt;VLOOKUP(S$5,NFI,5,0),1,0)*Data_NFI_t[[#This Row],[Plastic Mat]],0)*IF(Data_NFI_t[[#This Row],[Distribution Date]]&gt;"01-06-2015",1,2.5)</f>
        <v>0</v>
      </c>
      <c r="AI294" s="901">
        <f>IF(NFI_Expiration=1,IF($A294&lt;VLOOKUP(T$5,NFI,5,0),1,0)*Data_NFI_t[[#This Row],[Adult Clothes]],0)</f>
        <v>0</v>
      </c>
      <c r="AJ294" s="131">
        <f>IF(NFI_Expiration=1,IF($A294&lt;VLOOKUP(U$5,NFI,5,0),1,0)*Data_NFI_t[[#This Row],[Children Clothes]],0)</f>
        <v>0</v>
      </c>
      <c r="AK294" s="131">
        <f>IF(NFI_Expiration=1,IF($A294&lt;VLOOKUP(V$5,NFI,5,0),1,0)*Data_NFI_t[[#This Row],[Sewing Kit]],0)</f>
        <v>0</v>
      </c>
      <c r="AL294" s="901">
        <f>IF(NFI_Expiration=1,IF($A294&lt;VLOOKUP(V$5,NFI,5,0),1,0)*Data_NFI_t[[#This Row],[Solar Lantern]],0)</f>
        <v>0</v>
      </c>
      <c r="AM294" s="131" t="str">
        <f ca="1">IFERROR(OFFSET(Camp_List[P_Code],MATCH(Data_NFI_t[[#This Row],[Camp Name]],Camp_List[Camp Name],0)-1,0,1,1),"")</f>
        <v>MMR012CMP090</v>
      </c>
      <c r="AN294" s="513" t="str">
        <f ca="1">IFERROR(OFFSET(Camp_List[Status],MATCH(Data_NFI_t[[#This Row],[Camp Name]],Camp_List[Camp Name],0)-1,0,1,1),"")</f>
        <v>Close</v>
      </c>
      <c r="AO294" s="131"/>
    </row>
    <row r="295" spans="1:41" s="90" customFormat="1" ht="19.5" customHeight="1" x14ac:dyDescent="0.25">
      <c r="A295" s="242">
        <f t="shared" si="6"/>
        <v>52.166666666666664</v>
      </c>
      <c r="B295" s="242">
        <f>YEAR(Data_NFI_t[[#This Row],[Distribution Date]])</f>
        <v>2013</v>
      </c>
      <c r="C295" s="913">
        <v>41291</v>
      </c>
      <c r="D295" s="489" t="s">
        <v>289</v>
      </c>
      <c r="E295" s="488" t="s">
        <v>285</v>
      </c>
      <c r="F295" s="489" t="s">
        <v>7</v>
      </c>
      <c r="G295" s="790" t="s">
        <v>19</v>
      </c>
      <c r="H295" s="790" t="s">
        <v>244</v>
      </c>
      <c r="I295" s="790"/>
      <c r="J295" s="51"/>
      <c r="K295" s="51"/>
      <c r="L295" s="51"/>
      <c r="M295" s="51"/>
      <c r="N295" s="51">
        <v>50</v>
      </c>
      <c r="O295" s="51"/>
      <c r="P295" s="51"/>
      <c r="Q295" s="51"/>
      <c r="R295" s="511"/>
      <c r="S295" s="51"/>
      <c r="T295" s="51"/>
      <c r="U295" s="51"/>
      <c r="V295" s="51"/>
      <c r="W295" s="51"/>
      <c r="X295" s="131">
        <f>IF(NFI_Expiration=1,IF($A295&lt;VLOOKUP(I$5,NFI,5,0),1,0)*Data_NFI_t[[#This Row],[Hygiene Kit]],0)</f>
        <v>0</v>
      </c>
      <c r="Y295" s="131">
        <f>IF(NFI_Expiration=1,IF($A295&lt;VLOOKUP(J$5,NFI,5,0),1,0)*Data_NFI_t[[#This Row],[NFI Core Kit]],0)</f>
        <v>0</v>
      </c>
      <c r="Z295" s="112">
        <f>IF(NFI_Expiration=1,IF($A295&lt;VLOOKUP(K$5,NFI,5,0),1,0)*Data_NFI_t[[#This Row],[Sanitary Kit]],0)</f>
        <v>0</v>
      </c>
      <c r="AA295" s="112">
        <f>IF(NFI_Expiration=1,IF($A295&lt;VLOOKUP(L$5,NFI,5,0),1,0)*Data_NFI_t[[#This Row],[Mosquito net]],0)</f>
        <v>0</v>
      </c>
      <c r="AB295" s="112">
        <f>IF(NFI_Expiration=1,IF($A295&lt;VLOOKUP(M$5,NFI,5,0),1,0)*Data_NFI_t[[#This Row],[Tarpaulin]],0)</f>
        <v>0</v>
      </c>
      <c r="AC295" s="112">
        <f>IF(NFI_Expiration=1,IF($A295&lt;VLOOKUP(N$5,NFI,5,0),1,0)*Data_NFI_t[[#This Row],[Blanket]],0)</f>
        <v>0</v>
      </c>
      <c r="AD295" s="112">
        <f>IF(NFI_Expiration=1,IF($A295&lt;VLOOKUP(O$5,NFI,5,0),1,0)*Data_NFI_t[[#This Row],[Kitchen Set]],0)</f>
        <v>0</v>
      </c>
      <c r="AE295" s="112">
        <f>IF(NFI_Expiration=1,IF($A295&lt;VLOOKUP(P$5,NFI,5,0),1,0)*Data_NFI_t[[#This Row],[Complementary Kit]],0)</f>
        <v>0</v>
      </c>
      <c r="AF295" s="112">
        <f>IF(NFI_Expiration=1,IF($A295&lt;VLOOKUP(Q$5,NFI,5,0),1,0)*Data_NFI_t[[#This Row],[Plastic Bucket]],0)</f>
        <v>0</v>
      </c>
      <c r="AG295" s="112">
        <f>IF(NFI_Expiration=1,IF($A295&lt;VLOOKUP(R$5,NFI,5,0),1,0)*Data_NFI_t[[#This Row],[Jerry Can]],0)</f>
        <v>0</v>
      </c>
      <c r="AH295" s="131">
        <f>IF(NFI_Expiration=1,IF($A295&lt;VLOOKUP(S$5,NFI,5,0),1,0)*Data_NFI_t[[#This Row],[Plastic Mat]],0)*IF(Data_NFI_t[[#This Row],[Distribution Date]]&gt;"01-06-2015",1,2.5)</f>
        <v>0</v>
      </c>
      <c r="AI295" s="901">
        <f>IF(NFI_Expiration=1,IF($A295&lt;VLOOKUP(T$5,NFI,5,0),1,0)*Data_NFI_t[[#This Row],[Adult Clothes]],0)</f>
        <v>0</v>
      </c>
      <c r="AJ295" s="131">
        <f>IF(NFI_Expiration=1,IF($A295&lt;VLOOKUP(U$5,NFI,5,0),1,0)*Data_NFI_t[[#This Row],[Children Clothes]],0)</f>
        <v>0</v>
      </c>
      <c r="AK295" s="131">
        <f>IF(NFI_Expiration=1,IF($A295&lt;VLOOKUP(V$5,NFI,5,0),1,0)*Data_NFI_t[[#This Row],[Sewing Kit]],0)</f>
        <v>0</v>
      </c>
      <c r="AL295" s="901">
        <f>IF(NFI_Expiration=1,IF($A295&lt;VLOOKUP(V$5,NFI,5,0),1,0)*Data_NFI_t[[#This Row],[Solar Lantern]],0)</f>
        <v>0</v>
      </c>
      <c r="AM295" s="131" t="str">
        <f ca="1">IFERROR(OFFSET(Camp_List[P_Code],MATCH(Data_NFI_t[[#This Row],[Camp Name]],Camp_List[Camp Name],0)-1,0,1,1),"")</f>
        <v>MMR012CMP090</v>
      </c>
      <c r="AN295" s="513" t="str">
        <f ca="1">IFERROR(OFFSET(Camp_List[Status],MATCH(Data_NFI_t[[#This Row],[Camp Name]],Camp_List[Camp Name],0)-1,0,1,1),"")</f>
        <v>Close</v>
      </c>
      <c r="AO295" s="131"/>
    </row>
    <row r="296" spans="1:41" s="90" customFormat="1" ht="19.5" customHeight="1" x14ac:dyDescent="0.25">
      <c r="A296" s="242">
        <f t="shared" si="6"/>
        <v>52.4</v>
      </c>
      <c r="B296" s="242">
        <f>YEAR(Data_NFI_t[[#This Row],[Distribution Date]])</f>
        <v>2013</v>
      </c>
      <c r="C296" s="913">
        <v>41284</v>
      </c>
      <c r="D296" s="489" t="s">
        <v>285</v>
      </c>
      <c r="E296" s="488"/>
      <c r="F296" s="489" t="s">
        <v>7</v>
      </c>
      <c r="G296" s="790" t="s">
        <v>20</v>
      </c>
      <c r="H296" s="790" t="s">
        <v>108</v>
      </c>
      <c r="I296" s="790"/>
      <c r="J296" s="51">
        <v>56</v>
      </c>
      <c r="K296" s="51"/>
      <c r="L296" s="51">
        <v>112</v>
      </c>
      <c r="M296" s="51">
        <v>56</v>
      </c>
      <c r="N296" s="51">
        <v>112</v>
      </c>
      <c r="O296" s="51">
        <v>56</v>
      </c>
      <c r="P296" s="51">
        <v>56</v>
      </c>
      <c r="Q296" s="51">
        <v>56</v>
      </c>
      <c r="R296" s="511"/>
      <c r="S296" s="51">
        <v>112</v>
      </c>
      <c r="T296" s="51"/>
      <c r="U296" s="51"/>
      <c r="V296" s="51"/>
      <c r="W296" s="51"/>
      <c r="X296" s="131">
        <f>IF(NFI_Expiration=1,IF($A296&lt;VLOOKUP(I$5,NFI,5,0),1,0)*Data_NFI_t[[#This Row],[Hygiene Kit]],0)</f>
        <v>0</v>
      </c>
      <c r="Y296" s="131">
        <f>IF(NFI_Expiration=1,IF($A296&lt;VLOOKUP(J$5,NFI,5,0),1,0)*Data_NFI_t[[#This Row],[NFI Core Kit]],0)</f>
        <v>0</v>
      </c>
      <c r="Z296" s="112">
        <f>IF(NFI_Expiration=1,IF($A296&lt;VLOOKUP(K$5,NFI,5,0),1,0)*Data_NFI_t[[#This Row],[Sanitary Kit]],0)</f>
        <v>0</v>
      </c>
      <c r="AA296" s="112">
        <f>IF(NFI_Expiration=1,IF($A296&lt;VLOOKUP(L$5,NFI,5,0),1,0)*Data_NFI_t[[#This Row],[Mosquito net]],0)</f>
        <v>0</v>
      </c>
      <c r="AB296" s="112">
        <f>IF(NFI_Expiration=1,IF($A296&lt;VLOOKUP(M$5,NFI,5,0),1,0)*Data_NFI_t[[#This Row],[Tarpaulin]],0)</f>
        <v>0</v>
      </c>
      <c r="AC296" s="112">
        <f>IF(NFI_Expiration=1,IF($A296&lt;VLOOKUP(N$5,NFI,5,0),1,0)*Data_NFI_t[[#This Row],[Blanket]],0)</f>
        <v>0</v>
      </c>
      <c r="AD296" s="112">
        <f>IF(NFI_Expiration=1,IF($A296&lt;VLOOKUP(O$5,NFI,5,0),1,0)*Data_NFI_t[[#This Row],[Kitchen Set]],0)</f>
        <v>0</v>
      </c>
      <c r="AE296" s="112">
        <f>IF(NFI_Expiration=1,IF($A296&lt;VLOOKUP(P$5,NFI,5,0),1,0)*Data_NFI_t[[#This Row],[Complementary Kit]],0)</f>
        <v>0</v>
      </c>
      <c r="AF296" s="112">
        <f>IF(NFI_Expiration=1,IF($A296&lt;VLOOKUP(Q$5,NFI,5,0),1,0)*Data_NFI_t[[#This Row],[Plastic Bucket]],0)</f>
        <v>0</v>
      </c>
      <c r="AG296" s="112">
        <f>IF(NFI_Expiration=1,IF($A296&lt;VLOOKUP(R$5,NFI,5,0),1,0)*Data_NFI_t[[#This Row],[Jerry Can]],0)</f>
        <v>0</v>
      </c>
      <c r="AH296" s="131">
        <f>IF(NFI_Expiration=1,IF($A296&lt;VLOOKUP(S$5,NFI,5,0),1,0)*Data_NFI_t[[#This Row],[Plastic Mat]],0)*IF(Data_NFI_t[[#This Row],[Distribution Date]]&gt;"01-06-2015",1,2.5)</f>
        <v>0</v>
      </c>
      <c r="AI296" s="901">
        <f>IF(NFI_Expiration=1,IF($A296&lt;VLOOKUP(T$5,NFI,5,0),1,0)*Data_NFI_t[[#This Row],[Adult Clothes]],0)</f>
        <v>0</v>
      </c>
      <c r="AJ296" s="131">
        <f>IF(NFI_Expiration=1,IF($A296&lt;VLOOKUP(U$5,NFI,5,0),1,0)*Data_NFI_t[[#This Row],[Children Clothes]],0)</f>
        <v>0</v>
      </c>
      <c r="AK296" s="131">
        <f>IF(NFI_Expiration=1,IF($A296&lt;VLOOKUP(V$5,NFI,5,0),1,0)*Data_NFI_t[[#This Row],[Sewing Kit]],0)</f>
        <v>0</v>
      </c>
      <c r="AL296" s="901">
        <f>IF(NFI_Expiration=1,IF($A296&lt;VLOOKUP(V$5,NFI,5,0),1,0)*Data_NFI_t[[#This Row],[Solar Lantern]],0)</f>
        <v>0</v>
      </c>
      <c r="AM296" s="131" t="str">
        <f ca="1">IFERROR(OFFSET(Camp_List[P_Code],MATCH(Data_NFI_t[[#This Row],[Camp Name]],Camp_List[Camp Name],0)-1,0,1,1),"")</f>
        <v>MMR012CMP087</v>
      </c>
      <c r="AN296" s="513" t="str">
        <f ca="1">IFERROR(OFFSET(Camp_List[Status],MATCH(Data_NFI_t[[#This Row],[Camp Name]],Camp_List[Camp Name],0)-1,0,1,1),"")</f>
        <v>Close</v>
      </c>
      <c r="AO296" s="131"/>
    </row>
    <row r="297" spans="1:41" s="90" customFormat="1" ht="19.5" customHeight="1" x14ac:dyDescent="0.25">
      <c r="A297" s="242">
        <f t="shared" si="6"/>
        <v>52.4</v>
      </c>
      <c r="B297" s="242">
        <f>YEAR(Data_NFI_t[[#This Row],[Distribution Date]])</f>
        <v>2013</v>
      </c>
      <c r="C297" s="913">
        <v>41284</v>
      </c>
      <c r="D297" s="489" t="s">
        <v>285</v>
      </c>
      <c r="E297" s="488"/>
      <c r="F297" s="489" t="s">
        <v>7</v>
      </c>
      <c r="G297" s="790" t="s">
        <v>20</v>
      </c>
      <c r="H297" s="790" t="s">
        <v>108</v>
      </c>
      <c r="I297" s="790"/>
      <c r="J297" s="51"/>
      <c r="K297" s="51">
        <v>112</v>
      </c>
      <c r="L297" s="51">
        <v>112</v>
      </c>
      <c r="M297" s="51">
        <v>56</v>
      </c>
      <c r="N297" s="51">
        <v>0</v>
      </c>
      <c r="O297" s="51"/>
      <c r="P297" s="51"/>
      <c r="Q297" s="51"/>
      <c r="R297" s="511"/>
      <c r="S297" s="51"/>
      <c r="T297" s="51"/>
      <c r="U297" s="51"/>
      <c r="V297" s="51"/>
      <c r="W297" s="51"/>
      <c r="X297" s="131">
        <f>IF(NFI_Expiration=1,IF($A297&lt;VLOOKUP(I$5,NFI,5,0),1,0)*Data_NFI_t[[#This Row],[Hygiene Kit]],0)</f>
        <v>0</v>
      </c>
      <c r="Y297" s="131">
        <f>IF(NFI_Expiration=1,IF($A297&lt;VLOOKUP(J$5,NFI,5,0),1,0)*Data_NFI_t[[#This Row],[NFI Core Kit]],0)</f>
        <v>0</v>
      </c>
      <c r="Z297" s="112">
        <f>IF(NFI_Expiration=1,IF($A297&lt;VLOOKUP(K$5,NFI,5,0),1,0)*Data_NFI_t[[#This Row],[Sanitary Kit]],0)</f>
        <v>0</v>
      </c>
      <c r="AA297" s="112">
        <f>IF(NFI_Expiration=1,IF($A297&lt;VLOOKUP(L$5,NFI,5,0),1,0)*Data_NFI_t[[#This Row],[Mosquito net]],0)</f>
        <v>0</v>
      </c>
      <c r="AB297" s="112">
        <f>IF(NFI_Expiration=1,IF($A297&lt;VLOOKUP(M$5,NFI,5,0),1,0)*Data_NFI_t[[#This Row],[Tarpaulin]],0)</f>
        <v>0</v>
      </c>
      <c r="AC297" s="112">
        <f>IF(NFI_Expiration=1,IF($A297&lt;VLOOKUP(N$5,NFI,5,0),1,0)*Data_NFI_t[[#This Row],[Blanket]],0)</f>
        <v>0</v>
      </c>
      <c r="AD297" s="112">
        <f>IF(NFI_Expiration=1,IF($A297&lt;VLOOKUP(O$5,NFI,5,0),1,0)*Data_NFI_t[[#This Row],[Kitchen Set]],0)</f>
        <v>0</v>
      </c>
      <c r="AE297" s="112">
        <f>IF(NFI_Expiration=1,IF($A297&lt;VLOOKUP(P$5,NFI,5,0),1,0)*Data_NFI_t[[#This Row],[Complementary Kit]],0)</f>
        <v>0</v>
      </c>
      <c r="AF297" s="112">
        <f>IF(NFI_Expiration=1,IF($A297&lt;VLOOKUP(Q$5,NFI,5,0),1,0)*Data_NFI_t[[#This Row],[Plastic Bucket]],0)</f>
        <v>0</v>
      </c>
      <c r="AG297" s="112">
        <f>IF(NFI_Expiration=1,IF($A297&lt;VLOOKUP(R$5,NFI,5,0),1,0)*Data_NFI_t[[#This Row],[Jerry Can]],0)</f>
        <v>0</v>
      </c>
      <c r="AH297" s="131">
        <f>IF(NFI_Expiration=1,IF($A297&lt;VLOOKUP(S$5,NFI,5,0),1,0)*Data_NFI_t[[#This Row],[Plastic Mat]],0)*IF(Data_NFI_t[[#This Row],[Distribution Date]]&gt;"01-06-2015",1,2.5)</f>
        <v>0</v>
      </c>
      <c r="AI297" s="901">
        <f>IF(NFI_Expiration=1,IF($A297&lt;VLOOKUP(T$5,NFI,5,0),1,0)*Data_NFI_t[[#This Row],[Adult Clothes]],0)</f>
        <v>0</v>
      </c>
      <c r="AJ297" s="131">
        <f>IF(NFI_Expiration=1,IF($A297&lt;VLOOKUP(U$5,NFI,5,0),1,0)*Data_NFI_t[[#This Row],[Children Clothes]],0)</f>
        <v>0</v>
      </c>
      <c r="AK297" s="131">
        <f>IF(NFI_Expiration=1,IF($A297&lt;VLOOKUP(V$5,NFI,5,0),1,0)*Data_NFI_t[[#This Row],[Sewing Kit]],0)</f>
        <v>0</v>
      </c>
      <c r="AL297" s="901">
        <f>IF(NFI_Expiration=1,IF($A297&lt;VLOOKUP(V$5,NFI,5,0),1,0)*Data_NFI_t[[#This Row],[Solar Lantern]],0)</f>
        <v>0</v>
      </c>
      <c r="AM297" s="131" t="str">
        <f ca="1">IFERROR(OFFSET(Camp_List[P_Code],MATCH(Data_NFI_t[[#This Row],[Camp Name]],Camp_List[Camp Name],0)-1,0,1,1),"")</f>
        <v>MMR012CMP087</v>
      </c>
      <c r="AN297" s="513" t="str">
        <f ca="1">IFERROR(OFFSET(Camp_List[Status],MATCH(Data_NFI_t[[#This Row],[Camp Name]],Camp_List[Camp Name],0)-1,0,1,1),"")</f>
        <v>Close</v>
      </c>
      <c r="AO297" s="131"/>
    </row>
    <row r="298" spans="1:41" s="90" customFormat="1" ht="19.5" customHeight="1" x14ac:dyDescent="0.25">
      <c r="A298" s="242">
        <f t="shared" si="6"/>
        <v>52.4</v>
      </c>
      <c r="B298" s="242">
        <f>YEAR(Data_NFI_t[[#This Row],[Distribution Date]])</f>
        <v>2013</v>
      </c>
      <c r="C298" s="913">
        <v>41284</v>
      </c>
      <c r="D298" s="489" t="s">
        <v>289</v>
      </c>
      <c r="E298" s="488" t="s">
        <v>285</v>
      </c>
      <c r="F298" s="489" t="s">
        <v>7</v>
      </c>
      <c r="G298" s="790" t="s">
        <v>19</v>
      </c>
      <c r="H298" s="790" t="s">
        <v>244</v>
      </c>
      <c r="I298" s="790"/>
      <c r="J298" s="51"/>
      <c r="K298" s="51"/>
      <c r="L298" s="51"/>
      <c r="M298" s="51"/>
      <c r="N298" s="51">
        <v>45</v>
      </c>
      <c r="O298" s="51"/>
      <c r="P298" s="51"/>
      <c r="Q298" s="51"/>
      <c r="R298" s="511"/>
      <c r="S298" s="51"/>
      <c r="T298" s="51"/>
      <c r="U298" s="51"/>
      <c r="V298" s="51"/>
      <c r="W298" s="51"/>
      <c r="X298" s="131">
        <f>IF(NFI_Expiration=1,IF($A298&lt;VLOOKUP(I$5,NFI,5,0),1,0)*Data_NFI_t[[#This Row],[Hygiene Kit]],0)</f>
        <v>0</v>
      </c>
      <c r="Y298" s="131">
        <f>IF(NFI_Expiration=1,IF($A298&lt;VLOOKUP(J$5,NFI,5,0),1,0)*Data_NFI_t[[#This Row],[NFI Core Kit]],0)</f>
        <v>0</v>
      </c>
      <c r="Z298" s="112">
        <f>IF(NFI_Expiration=1,IF($A298&lt;VLOOKUP(K$5,NFI,5,0),1,0)*Data_NFI_t[[#This Row],[Sanitary Kit]],0)</f>
        <v>0</v>
      </c>
      <c r="AA298" s="112">
        <f>IF(NFI_Expiration=1,IF($A298&lt;VLOOKUP(L$5,NFI,5,0),1,0)*Data_NFI_t[[#This Row],[Mosquito net]],0)</f>
        <v>0</v>
      </c>
      <c r="AB298" s="112">
        <f>IF(NFI_Expiration=1,IF($A298&lt;VLOOKUP(M$5,NFI,5,0),1,0)*Data_NFI_t[[#This Row],[Tarpaulin]],0)</f>
        <v>0</v>
      </c>
      <c r="AC298" s="112">
        <f>IF(NFI_Expiration=1,IF($A298&lt;VLOOKUP(N$5,NFI,5,0),1,0)*Data_NFI_t[[#This Row],[Blanket]],0)</f>
        <v>0</v>
      </c>
      <c r="AD298" s="112">
        <f>IF(NFI_Expiration=1,IF($A298&lt;VLOOKUP(O$5,NFI,5,0),1,0)*Data_NFI_t[[#This Row],[Kitchen Set]],0)</f>
        <v>0</v>
      </c>
      <c r="AE298" s="112">
        <f>IF(NFI_Expiration=1,IF($A298&lt;VLOOKUP(P$5,NFI,5,0),1,0)*Data_NFI_t[[#This Row],[Complementary Kit]],0)</f>
        <v>0</v>
      </c>
      <c r="AF298" s="112">
        <f>IF(NFI_Expiration=1,IF($A298&lt;VLOOKUP(Q$5,NFI,5,0),1,0)*Data_NFI_t[[#This Row],[Plastic Bucket]],0)</f>
        <v>0</v>
      </c>
      <c r="AG298" s="112">
        <f>IF(NFI_Expiration=1,IF($A298&lt;VLOOKUP(R$5,NFI,5,0),1,0)*Data_NFI_t[[#This Row],[Jerry Can]],0)</f>
        <v>0</v>
      </c>
      <c r="AH298" s="131">
        <f>IF(NFI_Expiration=1,IF($A298&lt;VLOOKUP(S$5,NFI,5,0),1,0)*Data_NFI_t[[#This Row],[Plastic Mat]],0)*IF(Data_NFI_t[[#This Row],[Distribution Date]]&gt;"01-06-2015",1,2.5)</f>
        <v>0</v>
      </c>
      <c r="AI298" s="901">
        <f>IF(NFI_Expiration=1,IF($A298&lt;VLOOKUP(T$5,NFI,5,0),1,0)*Data_NFI_t[[#This Row],[Adult Clothes]],0)</f>
        <v>0</v>
      </c>
      <c r="AJ298" s="131">
        <f>IF(NFI_Expiration=1,IF($A298&lt;VLOOKUP(U$5,NFI,5,0),1,0)*Data_NFI_t[[#This Row],[Children Clothes]],0)</f>
        <v>0</v>
      </c>
      <c r="AK298" s="131">
        <f>IF(NFI_Expiration=1,IF($A298&lt;VLOOKUP(V$5,NFI,5,0),1,0)*Data_NFI_t[[#This Row],[Sewing Kit]],0)</f>
        <v>0</v>
      </c>
      <c r="AL298" s="901">
        <f>IF(NFI_Expiration=1,IF($A298&lt;VLOOKUP(V$5,NFI,5,0),1,0)*Data_NFI_t[[#This Row],[Solar Lantern]],0)</f>
        <v>0</v>
      </c>
      <c r="AM298" s="131" t="str">
        <f ca="1">IFERROR(OFFSET(Camp_List[P_Code],MATCH(Data_NFI_t[[#This Row],[Camp Name]],Camp_List[Camp Name],0)-1,0,1,1),"")</f>
        <v>MMR012CMP090</v>
      </c>
      <c r="AN298" s="513" t="str">
        <f ca="1">IFERROR(OFFSET(Camp_List[Status],MATCH(Data_NFI_t[[#This Row],[Camp Name]],Camp_List[Camp Name],0)-1,0,1,1),"")</f>
        <v>Close</v>
      </c>
      <c r="AO298" s="131"/>
    </row>
    <row r="299" spans="1:41" s="90" customFormat="1" ht="19.5" customHeight="1" x14ac:dyDescent="0.25">
      <c r="A299" s="242">
        <f t="shared" si="6"/>
        <v>52.43333333333333</v>
      </c>
      <c r="B299" s="242">
        <f>YEAR(Data_NFI_t[[#This Row],[Distribution Date]])</f>
        <v>2013</v>
      </c>
      <c r="C299" s="913">
        <v>41283</v>
      </c>
      <c r="D299" s="489" t="s">
        <v>289</v>
      </c>
      <c r="E299" s="488" t="s">
        <v>285</v>
      </c>
      <c r="F299" s="489" t="s">
        <v>7</v>
      </c>
      <c r="G299" s="790" t="s">
        <v>19</v>
      </c>
      <c r="H299" s="790" t="s">
        <v>244</v>
      </c>
      <c r="I299" s="790"/>
      <c r="J299" s="51"/>
      <c r="K299" s="51"/>
      <c r="L299" s="51"/>
      <c r="M299" s="51"/>
      <c r="N299" s="51">
        <v>50</v>
      </c>
      <c r="O299" s="51"/>
      <c r="P299" s="51"/>
      <c r="Q299" s="51"/>
      <c r="R299" s="511"/>
      <c r="S299" s="51"/>
      <c r="T299" s="51"/>
      <c r="U299" s="51"/>
      <c r="V299" s="51"/>
      <c r="W299" s="51"/>
      <c r="X299" s="131">
        <f>IF(NFI_Expiration=1,IF($A299&lt;VLOOKUP(I$5,NFI,5,0),1,0)*Data_NFI_t[[#This Row],[Hygiene Kit]],0)</f>
        <v>0</v>
      </c>
      <c r="Y299" s="131">
        <f>IF(NFI_Expiration=1,IF($A299&lt;VLOOKUP(J$5,NFI,5,0),1,0)*Data_NFI_t[[#This Row],[NFI Core Kit]],0)</f>
        <v>0</v>
      </c>
      <c r="Z299" s="112">
        <f>IF(NFI_Expiration=1,IF($A299&lt;VLOOKUP(K$5,NFI,5,0),1,0)*Data_NFI_t[[#This Row],[Sanitary Kit]],0)</f>
        <v>0</v>
      </c>
      <c r="AA299" s="112">
        <f>IF(NFI_Expiration=1,IF($A299&lt;VLOOKUP(L$5,NFI,5,0),1,0)*Data_NFI_t[[#This Row],[Mosquito net]],0)</f>
        <v>0</v>
      </c>
      <c r="AB299" s="112">
        <f>IF(NFI_Expiration=1,IF($A299&lt;VLOOKUP(M$5,NFI,5,0),1,0)*Data_NFI_t[[#This Row],[Tarpaulin]],0)</f>
        <v>0</v>
      </c>
      <c r="AC299" s="112">
        <f>IF(NFI_Expiration=1,IF($A299&lt;VLOOKUP(N$5,NFI,5,0),1,0)*Data_NFI_t[[#This Row],[Blanket]],0)</f>
        <v>0</v>
      </c>
      <c r="AD299" s="112">
        <f>IF(NFI_Expiration=1,IF($A299&lt;VLOOKUP(O$5,NFI,5,0),1,0)*Data_NFI_t[[#This Row],[Kitchen Set]],0)</f>
        <v>0</v>
      </c>
      <c r="AE299" s="112">
        <f>IF(NFI_Expiration=1,IF($A299&lt;VLOOKUP(P$5,NFI,5,0),1,0)*Data_NFI_t[[#This Row],[Complementary Kit]],0)</f>
        <v>0</v>
      </c>
      <c r="AF299" s="112">
        <f>IF(NFI_Expiration=1,IF($A299&lt;VLOOKUP(Q$5,NFI,5,0),1,0)*Data_NFI_t[[#This Row],[Plastic Bucket]],0)</f>
        <v>0</v>
      </c>
      <c r="AG299" s="112">
        <f>IF(NFI_Expiration=1,IF($A299&lt;VLOOKUP(R$5,NFI,5,0),1,0)*Data_NFI_t[[#This Row],[Jerry Can]],0)</f>
        <v>0</v>
      </c>
      <c r="AH299" s="131">
        <f>IF(NFI_Expiration=1,IF($A299&lt;VLOOKUP(S$5,NFI,5,0),1,0)*Data_NFI_t[[#This Row],[Plastic Mat]],0)*IF(Data_NFI_t[[#This Row],[Distribution Date]]&gt;"01-06-2015",1,2.5)</f>
        <v>0</v>
      </c>
      <c r="AI299" s="901">
        <f>IF(NFI_Expiration=1,IF($A299&lt;VLOOKUP(T$5,NFI,5,0),1,0)*Data_NFI_t[[#This Row],[Adult Clothes]],0)</f>
        <v>0</v>
      </c>
      <c r="AJ299" s="131">
        <f>IF(NFI_Expiration=1,IF($A299&lt;VLOOKUP(U$5,NFI,5,0),1,0)*Data_NFI_t[[#This Row],[Children Clothes]],0)</f>
        <v>0</v>
      </c>
      <c r="AK299" s="131">
        <f>IF(NFI_Expiration=1,IF($A299&lt;VLOOKUP(V$5,NFI,5,0),1,0)*Data_NFI_t[[#This Row],[Sewing Kit]],0)</f>
        <v>0</v>
      </c>
      <c r="AL299" s="901">
        <f>IF(NFI_Expiration=1,IF($A299&lt;VLOOKUP(V$5,NFI,5,0),1,0)*Data_NFI_t[[#This Row],[Solar Lantern]],0)</f>
        <v>0</v>
      </c>
      <c r="AM299" s="131" t="str">
        <f ca="1">IFERROR(OFFSET(Camp_List[P_Code],MATCH(Data_NFI_t[[#This Row],[Camp Name]],Camp_List[Camp Name],0)-1,0,1,1),"")</f>
        <v>MMR012CMP090</v>
      </c>
      <c r="AN299" s="513" t="str">
        <f ca="1">IFERROR(OFFSET(Camp_List[Status],MATCH(Data_NFI_t[[#This Row],[Camp Name]],Camp_List[Camp Name],0)-1,0,1,1),"")</f>
        <v>Close</v>
      </c>
      <c r="AO299" s="131"/>
    </row>
    <row r="300" spans="1:41" s="90" customFormat="1" ht="19.5" customHeight="1" x14ac:dyDescent="0.25">
      <c r="A300" s="242">
        <f t="shared" si="6"/>
        <v>52.5</v>
      </c>
      <c r="B300" s="242">
        <f>YEAR(Data_NFI_t[[#This Row],[Distribution Date]])</f>
        <v>2013</v>
      </c>
      <c r="C300" s="913">
        <v>41281</v>
      </c>
      <c r="D300" s="489" t="s">
        <v>285</v>
      </c>
      <c r="E300" s="488"/>
      <c r="F300" s="489" t="s">
        <v>7</v>
      </c>
      <c r="G300" s="790" t="s">
        <v>16</v>
      </c>
      <c r="H300" s="790" t="s">
        <v>57</v>
      </c>
      <c r="I300" s="790"/>
      <c r="J300" s="51">
        <v>228</v>
      </c>
      <c r="K300" s="51"/>
      <c r="L300" s="51">
        <v>456</v>
      </c>
      <c r="M300" s="51">
        <v>228</v>
      </c>
      <c r="N300" s="51">
        <v>456</v>
      </c>
      <c r="O300" s="51">
        <v>228</v>
      </c>
      <c r="P300" s="51">
        <v>228</v>
      </c>
      <c r="Q300" s="51">
        <v>228</v>
      </c>
      <c r="R300" s="511"/>
      <c r="S300" s="51">
        <v>456</v>
      </c>
      <c r="T300" s="51"/>
      <c r="U300" s="51"/>
      <c r="V300" s="51"/>
      <c r="W300" s="51"/>
      <c r="X300" s="131">
        <f>IF(NFI_Expiration=1,IF($A300&lt;VLOOKUP(I$5,NFI,5,0),1,0)*Data_NFI_t[[#This Row],[Hygiene Kit]],0)</f>
        <v>0</v>
      </c>
      <c r="Y300" s="131">
        <f>IF(NFI_Expiration=1,IF($A300&lt;VLOOKUP(J$5,NFI,5,0),1,0)*Data_NFI_t[[#This Row],[NFI Core Kit]],0)</f>
        <v>0</v>
      </c>
      <c r="Z300" s="112">
        <f>IF(NFI_Expiration=1,IF($A300&lt;VLOOKUP(K$5,NFI,5,0),1,0)*Data_NFI_t[[#This Row],[Sanitary Kit]],0)</f>
        <v>0</v>
      </c>
      <c r="AA300" s="112">
        <f>IF(NFI_Expiration=1,IF($A300&lt;VLOOKUP(L$5,NFI,5,0),1,0)*Data_NFI_t[[#This Row],[Mosquito net]],0)</f>
        <v>0</v>
      </c>
      <c r="AB300" s="112">
        <f>IF(NFI_Expiration=1,IF($A300&lt;VLOOKUP(M$5,NFI,5,0),1,0)*Data_NFI_t[[#This Row],[Tarpaulin]],0)</f>
        <v>0</v>
      </c>
      <c r="AC300" s="112">
        <f>IF(NFI_Expiration=1,IF($A300&lt;VLOOKUP(N$5,NFI,5,0),1,0)*Data_NFI_t[[#This Row],[Blanket]],0)</f>
        <v>0</v>
      </c>
      <c r="AD300" s="112">
        <f>IF(NFI_Expiration=1,IF($A300&lt;VLOOKUP(O$5,NFI,5,0),1,0)*Data_NFI_t[[#This Row],[Kitchen Set]],0)</f>
        <v>0</v>
      </c>
      <c r="AE300" s="112">
        <f>IF(NFI_Expiration=1,IF($A300&lt;VLOOKUP(P$5,NFI,5,0),1,0)*Data_NFI_t[[#This Row],[Complementary Kit]],0)</f>
        <v>0</v>
      </c>
      <c r="AF300" s="112">
        <f>IF(NFI_Expiration=1,IF($A300&lt;VLOOKUP(Q$5,NFI,5,0),1,0)*Data_NFI_t[[#This Row],[Plastic Bucket]],0)</f>
        <v>0</v>
      </c>
      <c r="AG300" s="112">
        <f>IF(NFI_Expiration=1,IF($A300&lt;VLOOKUP(R$5,NFI,5,0),1,0)*Data_NFI_t[[#This Row],[Jerry Can]],0)</f>
        <v>0</v>
      </c>
      <c r="AH300" s="131">
        <f>IF(NFI_Expiration=1,IF($A300&lt;VLOOKUP(S$5,NFI,5,0),1,0)*Data_NFI_t[[#This Row],[Plastic Mat]],0)*IF(Data_NFI_t[[#This Row],[Distribution Date]]&gt;"01-06-2015",1,2.5)</f>
        <v>0</v>
      </c>
      <c r="AI300" s="901">
        <f>IF(NFI_Expiration=1,IF($A300&lt;VLOOKUP(T$5,NFI,5,0),1,0)*Data_NFI_t[[#This Row],[Adult Clothes]],0)</f>
        <v>0</v>
      </c>
      <c r="AJ300" s="131">
        <f>IF(NFI_Expiration=1,IF($A300&lt;VLOOKUP(U$5,NFI,5,0),1,0)*Data_NFI_t[[#This Row],[Children Clothes]],0)</f>
        <v>0</v>
      </c>
      <c r="AK300" s="131">
        <f>IF(NFI_Expiration=1,IF($A300&lt;VLOOKUP(V$5,NFI,5,0),1,0)*Data_NFI_t[[#This Row],[Sewing Kit]],0)</f>
        <v>0</v>
      </c>
      <c r="AL300" s="901">
        <f>IF(NFI_Expiration=1,IF($A300&lt;VLOOKUP(V$5,NFI,5,0),1,0)*Data_NFI_t[[#This Row],[Solar Lantern]],0)</f>
        <v>0</v>
      </c>
      <c r="AM300" s="131" t="str">
        <f ca="1">IFERROR(OFFSET(Camp_List[P_Code],MATCH(Data_NFI_t[[#This Row],[Camp Name]],Camp_List[Camp Name],0)-1,0,1,1),"")</f>
        <v>MMR012CMP034</v>
      </c>
      <c r="AN300" s="513" t="str">
        <f ca="1">IFERROR(OFFSET(Camp_List[Status],MATCH(Data_NFI_t[[#This Row],[Camp Name]],Camp_List[Camp Name],0)-1,0,1,1),"")</f>
        <v>Open</v>
      </c>
      <c r="AO300" s="131"/>
    </row>
    <row r="301" spans="1:41" s="90" customFormat="1" ht="19.5" customHeight="1" x14ac:dyDescent="0.25">
      <c r="A301" s="242">
        <f t="shared" si="6"/>
        <v>52.5</v>
      </c>
      <c r="B301" s="242">
        <f>YEAR(Data_NFI_t[[#This Row],[Distribution Date]])</f>
        <v>2013</v>
      </c>
      <c r="C301" s="913">
        <v>41281</v>
      </c>
      <c r="D301" s="489" t="s">
        <v>285</v>
      </c>
      <c r="E301" s="488"/>
      <c r="F301" s="489" t="s">
        <v>7</v>
      </c>
      <c r="G301" s="790" t="s">
        <v>16</v>
      </c>
      <c r="H301" s="790" t="s">
        <v>57</v>
      </c>
      <c r="I301" s="790"/>
      <c r="J301" s="51"/>
      <c r="K301" s="51">
        <v>228</v>
      </c>
      <c r="L301" s="51">
        <v>443</v>
      </c>
      <c r="M301" s="51">
        <v>228</v>
      </c>
      <c r="N301" s="51">
        <v>0</v>
      </c>
      <c r="O301" s="51"/>
      <c r="P301" s="51"/>
      <c r="Q301" s="51"/>
      <c r="R301" s="511"/>
      <c r="S301" s="51"/>
      <c r="T301" s="51"/>
      <c r="U301" s="51"/>
      <c r="V301" s="51"/>
      <c r="W301" s="51"/>
      <c r="X301" s="131">
        <f>IF(NFI_Expiration=1,IF($A301&lt;VLOOKUP(I$5,NFI,5,0),1,0)*Data_NFI_t[[#This Row],[Hygiene Kit]],0)</f>
        <v>0</v>
      </c>
      <c r="Y301" s="131">
        <f>IF(NFI_Expiration=1,IF($A301&lt;VLOOKUP(J$5,NFI,5,0),1,0)*Data_NFI_t[[#This Row],[NFI Core Kit]],0)</f>
        <v>0</v>
      </c>
      <c r="Z301" s="112">
        <f>IF(NFI_Expiration=1,IF($A301&lt;VLOOKUP(K$5,NFI,5,0),1,0)*Data_NFI_t[[#This Row],[Sanitary Kit]],0)</f>
        <v>0</v>
      </c>
      <c r="AA301" s="112">
        <f>IF(NFI_Expiration=1,IF($A301&lt;VLOOKUP(L$5,NFI,5,0),1,0)*Data_NFI_t[[#This Row],[Mosquito net]],0)</f>
        <v>0</v>
      </c>
      <c r="AB301" s="112">
        <f>IF(NFI_Expiration=1,IF($A301&lt;VLOOKUP(M$5,NFI,5,0),1,0)*Data_NFI_t[[#This Row],[Tarpaulin]],0)</f>
        <v>0</v>
      </c>
      <c r="AC301" s="112">
        <f>IF(NFI_Expiration=1,IF($A301&lt;VLOOKUP(N$5,NFI,5,0),1,0)*Data_NFI_t[[#This Row],[Blanket]],0)</f>
        <v>0</v>
      </c>
      <c r="AD301" s="112">
        <f>IF(NFI_Expiration=1,IF($A301&lt;VLOOKUP(O$5,NFI,5,0),1,0)*Data_NFI_t[[#This Row],[Kitchen Set]],0)</f>
        <v>0</v>
      </c>
      <c r="AE301" s="112">
        <f>IF(NFI_Expiration=1,IF($A301&lt;VLOOKUP(P$5,NFI,5,0),1,0)*Data_NFI_t[[#This Row],[Complementary Kit]],0)</f>
        <v>0</v>
      </c>
      <c r="AF301" s="112">
        <f>IF(NFI_Expiration=1,IF($A301&lt;VLOOKUP(Q$5,NFI,5,0),1,0)*Data_NFI_t[[#This Row],[Plastic Bucket]],0)</f>
        <v>0</v>
      </c>
      <c r="AG301" s="112">
        <f>IF(NFI_Expiration=1,IF($A301&lt;VLOOKUP(R$5,NFI,5,0),1,0)*Data_NFI_t[[#This Row],[Jerry Can]],0)</f>
        <v>0</v>
      </c>
      <c r="AH301" s="131">
        <f>IF(NFI_Expiration=1,IF($A301&lt;VLOOKUP(S$5,NFI,5,0),1,0)*Data_NFI_t[[#This Row],[Plastic Mat]],0)*IF(Data_NFI_t[[#This Row],[Distribution Date]]&gt;"01-06-2015",1,2.5)</f>
        <v>0</v>
      </c>
      <c r="AI301" s="901">
        <f>IF(NFI_Expiration=1,IF($A301&lt;VLOOKUP(T$5,NFI,5,0),1,0)*Data_NFI_t[[#This Row],[Adult Clothes]],0)</f>
        <v>0</v>
      </c>
      <c r="AJ301" s="131">
        <f>IF(NFI_Expiration=1,IF($A301&lt;VLOOKUP(U$5,NFI,5,0),1,0)*Data_NFI_t[[#This Row],[Children Clothes]],0)</f>
        <v>0</v>
      </c>
      <c r="AK301" s="131">
        <f>IF(NFI_Expiration=1,IF($A301&lt;VLOOKUP(V$5,NFI,5,0),1,0)*Data_NFI_t[[#This Row],[Sewing Kit]],0)</f>
        <v>0</v>
      </c>
      <c r="AL301" s="901">
        <f>IF(NFI_Expiration=1,IF($A301&lt;VLOOKUP(V$5,NFI,5,0),1,0)*Data_NFI_t[[#This Row],[Solar Lantern]],0)</f>
        <v>0</v>
      </c>
      <c r="AM301" s="131" t="str">
        <f ca="1">IFERROR(OFFSET(Camp_List[P_Code],MATCH(Data_NFI_t[[#This Row],[Camp Name]],Camp_List[Camp Name],0)-1,0,1,1),"")</f>
        <v>MMR012CMP034</v>
      </c>
      <c r="AN301" s="513" t="str">
        <f ca="1">IFERROR(OFFSET(Camp_List[Status],MATCH(Data_NFI_t[[#This Row],[Camp Name]],Camp_List[Camp Name],0)-1,0,1,1),"")</f>
        <v>Open</v>
      </c>
      <c r="AO301" s="131"/>
    </row>
    <row r="302" spans="1:41" s="90" customFormat="1" ht="19.5" customHeight="1" x14ac:dyDescent="0.25">
      <c r="A302" s="242">
        <f t="shared" si="6"/>
        <v>52.5</v>
      </c>
      <c r="B302" s="242">
        <f>YEAR(Data_NFI_t[[#This Row],[Distribution Date]])</f>
        <v>2013</v>
      </c>
      <c r="C302" s="913">
        <v>41281</v>
      </c>
      <c r="D302" s="489" t="s">
        <v>285</v>
      </c>
      <c r="E302" s="488"/>
      <c r="F302" s="489" t="s">
        <v>7</v>
      </c>
      <c r="G302" s="790" t="s">
        <v>20</v>
      </c>
      <c r="H302" s="790" t="s">
        <v>104</v>
      </c>
      <c r="I302" s="790"/>
      <c r="J302" s="51">
        <v>93</v>
      </c>
      <c r="K302" s="51"/>
      <c r="L302" s="51">
        <v>186</v>
      </c>
      <c r="M302" s="51">
        <v>93</v>
      </c>
      <c r="N302" s="51">
        <v>186</v>
      </c>
      <c r="O302" s="51">
        <v>93</v>
      </c>
      <c r="P302" s="51">
        <v>93</v>
      </c>
      <c r="Q302" s="51">
        <v>93</v>
      </c>
      <c r="R302" s="511"/>
      <c r="S302" s="51">
        <v>186</v>
      </c>
      <c r="T302" s="51"/>
      <c r="U302" s="51"/>
      <c r="V302" s="51"/>
      <c r="W302" s="51"/>
      <c r="X302" s="131">
        <f>IF(NFI_Expiration=1,IF($A302&lt;VLOOKUP(I$5,NFI,5,0),1,0)*Data_NFI_t[[#This Row],[Hygiene Kit]],0)</f>
        <v>0</v>
      </c>
      <c r="Y302" s="131">
        <f>IF(NFI_Expiration=1,IF($A302&lt;VLOOKUP(J$5,NFI,5,0),1,0)*Data_NFI_t[[#This Row],[NFI Core Kit]],0)</f>
        <v>0</v>
      </c>
      <c r="Z302" s="112">
        <f>IF(NFI_Expiration=1,IF($A302&lt;VLOOKUP(K$5,NFI,5,0),1,0)*Data_NFI_t[[#This Row],[Sanitary Kit]],0)</f>
        <v>0</v>
      </c>
      <c r="AA302" s="112">
        <f>IF(NFI_Expiration=1,IF($A302&lt;VLOOKUP(L$5,NFI,5,0),1,0)*Data_NFI_t[[#This Row],[Mosquito net]],0)</f>
        <v>0</v>
      </c>
      <c r="AB302" s="112">
        <f>IF(NFI_Expiration=1,IF($A302&lt;VLOOKUP(M$5,NFI,5,0),1,0)*Data_NFI_t[[#This Row],[Tarpaulin]],0)</f>
        <v>0</v>
      </c>
      <c r="AC302" s="112">
        <f>IF(NFI_Expiration=1,IF($A302&lt;VLOOKUP(N$5,NFI,5,0),1,0)*Data_NFI_t[[#This Row],[Blanket]],0)</f>
        <v>0</v>
      </c>
      <c r="AD302" s="112">
        <f>IF(NFI_Expiration=1,IF($A302&lt;VLOOKUP(O$5,NFI,5,0),1,0)*Data_NFI_t[[#This Row],[Kitchen Set]],0)</f>
        <v>0</v>
      </c>
      <c r="AE302" s="112">
        <f>IF(NFI_Expiration=1,IF($A302&lt;VLOOKUP(P$5,NFI,5,0),1,0)*Data_NFI_t[[#This Row],[Complementary Kit]],0)</f>
        <v>0</v>
      </c>
      <c r="AF302" s="112">
        <f>IF(NFI_Expiration=1,IF($A302&lt;VLOOKUP(Q$5,NFI,5,0),1,0)*Data_NFI_t[[#This Row],[Plastic Bucket]],0)</f>
        <v>0</v>
      </c>
      <c r="AG302" s="112">
        <f>IF(NFI_Expiration=1,IF($A302&lt;VLOOKUP(R$5,NFI,5,0),1,0)*Data_NFI_t[[#This Row],[Jerry Can]],0)</f>
        <v>0</v>
      </c>
      <c r="AH302" s="131">
        <f>IF(NFI_Expiration=1,IF($A302&lt;VLOOKUP(S$5,NFI,5,0),1,0)*Data_NFI_t[[#This Row],[Plastic Mat]],0)*IF(Data_NFI_t[[#This Row],[Distribution Date]]&gt;"01-06-2015",1,2.5)</f>
        <v>0</v>
      </c>
      <c r="AI302" s="901">
        <f>IF(NFI_Expiration=1,IF($A302&lt;VLOOKUP(T$5,NFI,5,0),1,0)*Data_NFI_t[[#This Row],[Adult Clothes]],0)</f>
        <v>0</v>
      </c>
      <c r="AJ302" s="131">
        <f>IF(NFI_Expiration=1,IF($A302&lt;VLOOKUP(U$5,NFI,5,0),1,0)*Data_NFI_t[[#This Row],[Children Clothes]],0)</f>
        <v>0</v>
      </c>
      <c r="AK302" s="131">
        <f>IF(NFI_Expiration=1,IF($A302&lt;VLOOKUP(V$5,NFI,5,0),1,0)*Data_NFI_t[[#This Row],[Sewing Kit]],0)</f>
        <v>0</v>
      </c>
      <c r="AL302" s="901">
        <f>IF(NFI_Expiration=1,IF($A302&lt;VLOOKUP(V$5,NFI,5,0),1,0)*Data_NFI_t[[#This Row],[Solar Lantern]],0)</f>
        <v>0</v>
      </c>
      <c r="AM302" s="131" t="str">
        <f ca="1">IFERROR(OFFSET(Camp_List[P_Code],MATCH(Data_NFI_t[[#This Row],[Camp Name]],Camp_List[Camp Name],0)-1,0,1,1),"")</f>
        <v/>
      </c>
      <c r="AN302" s="513" t="str">
        <f ca="1">IFERROR(OFFSET(Camp_List[Status],MATCH(Data_NFI_t[[#This Row],[Camp Name]],Camp_List[Camp Name],0)-1,0,1,1),"")</f>
        <v/>
      </c>
      <c r="AO302" s="131"/>
    </row>
    <row r="303" spans="1:41" s="90" customFormat="1" ht="19.5" customHeight="1" x14ac:dyDescent="0.25">
      <c r="A303" s="242">
        <f t="shared" si="6"/>
        <v>52.5</v>
      </c>
      <c r="B303" s="242">
        <f>YEAR(Data_NFI_t[[#This Row],[Distribution Date]])</f>
        <v>2013</v>
      </c>
      <c r="C303" s="913">
        <v>41281</v>
      </c>
      <c r="D303" s="489" t="s">
        <v>285</v>
      </c>
      <c r="E303" s="488"/>
      <c r="F303" s="489" t="s">
        <v>7</v>
      </c>
      <c r="G303" s="790" t="s">
        <v>20</v>
      </c>
      <c r="H303" s="790" t="s">
        <v>104</v>
      </c>
      <c r="I303" s="790"/>
      <c r="J303" s="51"/>
      <c r="K303" s="51">
        <v>186</v>
      </c>
      <c r="L303" s="51">
        <v>186</v>
      </c>
      <c r="M303" s="51">
        <v>93</v>
      </c>
      <c r="N303" s="51">
        <v>0</v>
      </c>
      <c r="O303" s="51"/>
      <c r="P303" s="51"/>
      <c r="Q303" s="51"/>
      <c r="R303" s="511"/>
      <c r="S303" s="51"/>
      <c r="T303" s="51"/>
      <c r="U303" s="51"/>
      <c r="V303" s="51"/>
      <c r="W303" s="51"/>
      <c r="X303" s="131">
        <f>IF(NFI_Expiration=1,IF($A303&lt;VLOOKUP(I$5,NFI,5,0),1,0)*Data_NFI_t[[#This Row],[Hygiene Kit]],0)</f>
        <v>0</v>
      </c>
      <c r="Y303" s="131">
        <f>IF(NFI_Expiration=1,IF($A303&lt;VLOOKUP(J$5,NFI,5,0),1,0)*Data_NFI_t[[#This Row],[NFI Core Kit]],0)</f>
        <v>0</v>
      </c>
      <c r="Z303" s="112">
        <f>IF(NFI_Expiration=1,IF($A303&lt;VLOOKUP(K$5,NFI,5,0),1,0)*Data_NFI_t[[#This Row],[Sanitary Kit]],0)</f>
        <v>0</v>
      </c>
      <c r="AA303" s="112">
        <f>IF(NFI_Expiration=1,IF($A303&lt;VLOOKUP(L$5,NFI,5,0),1,0)*Data_NFI_t[[#This Row],[Mosquito net]],0)</f>
        <v>0</v>
      </c>
      <c r="AB303" s="112">
        <f>IF(NFI_Expiration=1,IF($A303&lt;VLOOKUP(M$5,NFI,5,0),1,0)*Data_NFI_t[[#This Row],[Tarpaulin]],0)</f>
        <v>0</v>
      </c>
      <c r="AC303" s="112">
        <f>IF(NFI_Expiration=1,IF($A303&lt;VLOOKUP(N$5,NFI,5,0),1,0)*Data_NFI_t[[#This Row],[Blanket]],0)</f>
        <v>0</v>
      </c>
      <c r="AD303" s="112">
        <f>IF(NFI_Expiration=1,IF($A303&lt;VLOOKUP(O$5,NFI,5,0),1,0)*Data_NFI_t[[#This Row],[Kitchen Set]],0)</f>
        <v>0</v>
      </c>
      <c r="AE303" s="112">
        <f>IF(NFI_Expiration=1,IF($A303&lt;VLOOKUP(P$5,NFI,5,0),1,0)*Data_NFI_t[[#This Row],[Complementary Kit]],0)</f>
        <v>0</v>
      </c>
      <c r="AF303" s="112">
        <f>IF(NFI_Expiration=1,IF($A303&lt;VLOOKUP(Q$5,NFI,5,0),1,0)*Data_NFI_t[[#This Row],[Plastic Bucket]],0)</f>
        <v>0</v>
      </c>
      <c r="AG303" s="112">
        <f>IF(NFI_Expiration=1,IF($A303&lt;VLOOKUP(R$5,NFI,5,0),1,0)*Data_NFI_t[[#This Row],[Jerry Can]],0)</f>
        <v>0</v>
      </c>
      <c r="AH303" s="131">
        <f>IF(NFI_Expiration=1,IF($A303&lt;VLOOKUP(S$5,NFI,5,0),1,0)*Data_NFI_t[[#This Row],[Plastic Mat]],0)*IF(Data_NFI_t[[#This Row],[Distribution Date]]&gt;"01-06-2015",1,2.5)</f>
        <v>0</v>
      </c>
      <c r="AI303" s="901">
        <f>IF(NFI_Expiration=1,IF($A303&lt;VLOOKUP(T$5,NFI,5,0),1,0)*Data_NFI_t[[#This Row],[Adult Clothes]],0)</f>
        <v>0</v>
      </c>
      <c r="AJ303" s="131">
        <f>IF(NFI_Expiration=1,IF($A303&lt;VLOOKUP(U$5,NFI,5,0),1,0)*Data_NFI_t[[#This Row],[Children Clothes]],0)</f>
        <v>0</v>
      </c>
      <c r="AK303" s="131">
        <f>IF(NFI_Expiration=1,IF($A303&lt;VLOOKUP(V$5,NFI,5,0),1,0)*Data_NFI_t[[#This Row],[Sewing Kit]],0)</f>
        <v>0</v>
      </c>
      <c r="AL303" s="901">
        <f>IF(NFI_Expiration=1,IF($A303&lt;VLOOKUP(V$5,NFI,5,0),1,0)*Data_NFI_t[[#This Row],[Solar Lantern]],0)</f>
        <v>0</v>
      </c>
      <c r="AM303" s="131" t="str">
        <f ca="1">IFERROR(OFFSET(Camp_List[P_Code],MATCH(Data_NFI_t[[#This Row],[Camp Name]],Camp_List[Camp Name],0)-1,0,1,1),"")</f>
        <v/>
      </c>
      <c r="AN303" s="513" t="str">
        <f ca="1">IFERROR(OFFSET(Camp_List[Status],MATCH(Data_NFI_t[[#This Row],[Camp Name]],Camp_List[Camp Name],0)-1,0,1,1),"")</f>
        <v/>
      </c>
      <c r="AO303" s="131"/>
    </row>
    <row r="304" spans="1:41" s="90" customFormat="1" ht="19.5" customHeight="1" x14ac:dyDescent="0.25">
      <c r="A304" s="242">
        <f t="shared" si="6"/>
        <v>52.7</v>
      </c>
      <c r="B304" s="242">
        <f>YEAR(Data_NFI_t[[#This Row],[Distribution Date]])</f>
        <v>2013</v>
      </c>
      <c r="C304" s="913">
        <v>41275</v>
      </c>
      <c r="D304" s="489" t="s">
        <v>518</v>
      </c>
      <c r="E304" s="488" t="s">
        <v>518</v>
      </c>
      <c r="F304" s="489" t="s">
        <v>7</v>
      </c>
      <c r="G304" s="790" t="s">
        <v>19</v>
      </c>
      <c r="H304" s="790" t="s">
        <v>61</v>
      </c>
      <c r="I304" s="790">
        <v>20</v>
      </c>
      <c r="J304" s="51"/>
      <c r="K304" s="51"/>
      <c r="L304" s="51"/>
      <c r="M304" s="51"/>
      <c r="N304" s="51"/>
      <c r="O304" s="51"/>
      <c r="P304" s="51"/>
      <c r="Q304" s="51"/>
      <c r="R304" s="511"/>
      <c r="S304" s="51"/>
      <c r="T304" s="51"/>
      <c r="U304" s="51"/>
      <c r="V304" s="51"/>
      <c r="W304" s="51"/>
      <c r="X304" s="131">
        <f>IF(NFI_Expiration=1,IF($A304&lt;VLOOKUP(I$5,NFI,5,0),1,0)*Data_NFI_t[[#This Row],[Hygiene Kit]],0)</f>
        <v>0</v>
      </c>
      <c r="Y304" s="131">
        <f>IF(NFI_Expiration=1,IF($A304&lt;VLOOKUP(J$5,NFI,5,0),1,0)*Data_NFI_t[[#This Row],[NFI Core Kit]],0)</f>
        <v>0</v>
      </c>
      <c r="Z304" s="112">
        <f>IF(NFI_Expiration=1,IF($A304&lt;VLOOKUP(K$5,NFI,5,0),1,0)*Data_NFI_t[[#This Row],[Sanitary Kit]],0)</f>
        <v>0</v>
      </c>
      <c r="AA304" s="112">
        <f>IF(NFI_Expiration=1,IF($A304&lt;VLOOKUP(L$5,NFI,5,0),1,0)*Data_NFI_t[[#This Row],[Mosquito net]],0)</f>
        <v>0</v>
      </c>
      <c r="AB304" s="112">
        <f>IF(NFI_Expiration=1,IF($A304&lt;VLOOKUP(M$5,NFI,5,0),1,0)*Data_NFI_t[[#This Row],[Tarpaulin]],0)</f>
        <v>0</v>
      </c>
      <c r="AC304" s="112">
        <f>IF(NFI_Expiration=1,IF($A304&lt;VLOOKUP(N$5,NFI,5,0),1,0)*Data_NFI_t[[#This Row],[Blanket]],0)</f>
        <v>0</v>
      </c>
      <c r="AD304" s="112">
        <f>IF(NFI_Expiration=1,IF($A304&lt;VLOOKUP(O$5,NFI,5,0),1,0)*Data_NFI_t[[#This Row],[Kitchen Set]],0)</f>
        <v>0</v>
      </c>
      <c r="AE304" s="112">
        <f>IF(NFI_Expiration=1,IF($A304&lt;VLOOKUP(P$5,NFI,5,0),1,0)*Data_NFI_t[[#This Row],[Complementary Kit]],0)</f>
        <v>0</v>
      </c>
      <c r="AF304" s="112">
        <f>IF(NFI_Expiration=1,IF($A304&lt;VLOOKUP(Q$5,NFI,5,0),1,0)*Data_NFI_t[[#This Row],[Plastic Bucket]],0)</f>
        <v>0</v>
      </c>
      <c r="AG304" s="112">
        <f>IF(NFI_Expiration=1,IF($A304&lt;VLOOKUP(R$5,NFI,5,0),1,0)*Data_NFI_t[[#This Row],[Jerry Can]],0)</f>
        <v>0</v>
      </c>
      <c r="AH304" s="131">
        <f>IF(NFI_Expiration=1,IF($A304&lt;VLOOKUP(S$5,NFI,5,0),1,0)*Data_NFI_t[[#This Row],[Plastic Mat]],0)*IF(Data_NFI_t[[#This Row],[Distribution Date]]&gt;"01-06-2015",1,2.5)</f>
        <v>0</v>
      </c>
      <c r="AI304" s="901">
        <f>IF(NFI_Expiration=1,IF($A304&lt;VLOOKUP(T$5,NFI,5,0),1,0)*Data_NFI_t[[#This Row],[Adult Clothes]],0)</f>
        <v>0</v>
      </c>
      <c r="AJ304" s="131">
        <f>IF(NFI_Expiration=1,IF($A304&lt;VLOOKUP(U$5,NFI,5,0),1,0)*Data_NFI_t[[#This Row],[Children Clothes]],0)</f>
        <v>0</v>
      </c>
      <c r="AK304" s="131">
        <f>IF(NFI_Expiration=1,IF($A304&lt;VLOOKUP(V$5,NFI,5,0),1,0)*Data_NFI_t[[#This Row],[Sewing Kit]],0)</f>
        <v>0</v>
      </c>
      <c r="AL304" s="901">
        <f>IF(NFI_Expiration=1,IF($A304&lt;VLOOKUP(V$5,NFI,5,0),1,0)*Data_NFI_t[[#This Row],[Solar Lantern]],0)</f>
        <v>0</v>
      </c>
      <c r="AM304" s="131" t="str">
        <f ca="1">IFERROR(OFFSET(Camp_List[P_Code],MATCH(Data_NFI_t[[#This Row],[Camp Name]],Camp_List[Camp Name],0)-1,0,1,1),"")</f>
        <v>MMR012CMP039</v>
      </c>
      <c r="AN304" s="513" t="str">
        <f ca="1">IFERROR(OFFSET(Camp_List[Status],MATCH(Data_NFI_t[[#This Row],[Camp Name]],Camp_List[Camp Name],0)-1,0,1,1),"")</f>
        <v>Open</v>
      </c>
      <c r="AO304" s="131"/>
    </row>
    <row r="305" spans="1:41" s="90" customFormat="1" ht="19.5" customHeight="1" x14ac:dyDescent="0.25">
      <c r="A305" s="242">
        <f t="shared" si="6"/>
        <v>52.7</v>
      </c>
      <c r="B305" s="242">
        <f>YEAR(Data_NFI_t[[#This Row],[Distribution Date]])</f>
        <v>2013</v>
      </c>
      <c r="C305" s="913">
        <v>41275</v>
      </c>
      <c r="D305" s="489" t="s">
        <v>1117</v>
      </c>
      <c r="E305" s="488" t="s">
        <v>292</v>
      </c>
      <c r="F305" s="489" t="s">
        <v>7</v>
      </c>
      <c r="G305" s="790" t="s">
        <v>19</v>
      </c>
      <c r="H305" s="790" t="s">
        <v>62</v>
      </c>
      <c r="I305" s="790">
        <v>4390</v>
      </c>
      <c r="J305" s="51"/>
      <c r="K305" s="51"/>
      <c r="L305" s="51"/>
      <c r="M305" s="51"/>
      <c r="N305" s="51"/>
      <c r="O305" s="51"/>
      <c r="P305" s="51"/>
      <c r="Q305" s="51"/>
      <c r="R305" s="511"/>
      <c r="S305" s="51"/>
      <c r="T305" s="51"/>
      <c r="U305" s="51"/>
      <c r="V305" s="51"/>
      <c r="W305" s="51"/>
      <c r="X305" s="131">
        <f>IF(NFI_Expiration=1,IF($A305&lt;VLOOKUP(I$5,NFI,5,0),1,0)*Data_NFI_t[[#This Row],[Hygiene Kit]],0)</f>
        <v>0</v>
      </c>
      <c r="Y305" s="131">
        <f>IF(NFI_Expiration=1,IF($A305&lt;VLOOKUP(J$5,NFI,5,0),1,0)*Data_NFI_t[[#This Row],[NFI Core Kit]],0)</f>
        <v>0</v>
      </c>
      <c r="Z305" s="112">
        <f>IF(NFI_Expiration=1,IF($A305&lt;VLOOKUP(K$5,NFI,5,0),1,0)*Data_NFI_t[[#This Row],[Sanitary Kit]],0)</f>
        <v>0</v>
      </c>
      <c r="AA305" s="112">
        <f>IF(NFI_Expiration=1,IF($A305&lt;VLOOKUP(L$5,NFI,5,0),1,0)*Data_NFI_t[[#This Row],[Mosquito net]],0)</f>
        <v>0</v>
      </c>
      <c r="AB305" s="112">
        <f>IF(NFI_Expiration=1,IF($A305&lt;VLOOKUP(M$5,NFI,5,0),1,0)*Data_NFI_t[[#This Row],[Tarpaulin]],0)</f>
        <v>0</v>
      </c>
      <c r="AC305" s="112">
        <f>IF(NFI_Expiration=1,IF($A305&lt;VLOOKUP(N$5,NFI,5,0),1,0)*Data_NFI_t[[#This Row],[Blanket]],0)</f>
        <v>0</v>
      </c>
      <c r="AD305" s="112">
        <f>IF(NFI_Expiration=1,IF($A305&lt;VLOOKUP(O$5,NFI,5,0),1,0)*Data_NFI_t[[#This Row],[Kitchen Set]],0)</f>
        <v>0</v>
      </c>
      <c r="AE305" s="112">
        <f>IF(NFI_Expiration=1,IF($A305&lt;VLOOKUP(P$5,NFI,5,0),1,0)*Data_NFI_t[[#This Row],[Complementary Kit]],0)</f>
        <v>0</v>
      </c>
      <c r="AF305" s="112">
        <f>IF(NFI_Expiration=1,IF($A305&lt;VLOOKUP(Q$5,NFI,5,0),1,0)*Data_NFI_t[[#This Row],[Plastic Bucket]],0)</f>
        <v>0</v>
      </c>
      <c r="AG305" s="112">
        <f>IF(NFI_Expiration=1,IF($A305&lt;VLOOKUP(R$5,NFI,5,0),1,0)*Data_NFI_t[[#This Row],[Jerry Can]],0)</f>
        <v>0</v>
      </c>
      <c r="AH305" s="131">
        <f>IF(NFI_Expiration=1,IF($A305&lt;VLOOKUP(S$5,NFI,5,0),1,0)*Data_NFI_t[[#This Row],[Plastic Mat]],0)*IF(Data_NFI_t[[#This Row],[Distribution Date]]&gt;"01-06-2015",1,2.5)</f>
        <v>0</v>
      </c>
      <c r="AI305" s="901">
        <f>IF(NFI_Expiration=1,IF($A305&lt;VLOOKUP(T$5,NFI,5,0),1,0)*Data_NFI_t[[#This Row],[Adult Clothes]],0)</f>
        <v>0</v>
      </c>
      <c r="AJ305" s="131">
        <f>IF(NFI_Expiration=1,IF($A305&lt;VLOOKUP(U$5,NFI,5,0),1,0)*Data_NFI_t[[#This Row],[Children Clothes]],0)</f>
        <v>0</v>
      </c>
      <c r="AK305" s="131">
        <f>IF(NFI_Expiration=1,IF($A305&lt;VLOOKUP(V$5,NFI,5,0),1,0)*Data_NFI_t[[#This Row],[Sewing Kit]],0)</f>
        <v>0</v>
      </c>
      <c r="AL305" s="901">
        <f>IF(NFI_Expiration=1,IF($A305&lt;VLOOKUP(V$5,NFI,5,0),1,0)*Data_NFI_t[[#This Row],[Solar Lantern]],0)</f>
        <v>0</v>
      </c>
      <c r="AM305" s="131" t="str">
        <f ca="1">IFERROR(OFFSET(Camp_List[P_Code],MATCH(Data_NFI_t[[#This Row],[Camp Name]],Camp_List[Camp Name],0)-1,0,1,1),"")</f>
        <v>MMR012CMP040</v>
      </c>
      <c r="AN305" s="513" t="str">
        <f ca="1">IFERROR(OFFSET(Camp_List[Status],MATCH(Data_NFI_t[[#This Row],[Camp Name]],Camp_List[Camp Name],0)-1,0,1,1),"")</f>
        <v>Close</v>
      </c>
      <c r="AO305" s="131"/>
    </row>
    <row r="306" spans="1:41" s="90" customFormat="1" ht="19.5" customHeight="1" x14ac:dyDescent="0.25">
      <c r="A306" s="242">
        <f t="shared" si="6"/>
        <v>52.7</v>
      </c>
      <c r="B306" s="242">
        <f>YEAR(Data_NFI_t[[#This Row],[Distribution Date]])</f>
        <v>2013</v>
      </c>
      <c r="C306" s="913">
        <v>41275</v>
      </c>
      <c r="D306" s="489" t="s">
        <v>1117</v>
      </c>
      <c r="E306" s="488" t="s">
        <v>292</v>
      </c>
      <c r="F306" s="489" t="s">
        <v>7</v>
      </c>
      <c r="G306" s="790" t="s">
        <v>19</v>
      </c>
      <c r="H306" s="790" t="s">
        <v>63</v>
      </c>
      <c r="I306" s="790">
        <v>3758</v>
      </c>
      <c r="J306" s="51"/>
      <c r="K306" s="51"/>
      <c r="L306" s="51"/>
      <c r="M306" s="51"/>
      <c r="N306" s="51"/>
      <c r="O306" s="51"/>
      <c r="P306" s="51"/>
      <c r="Q306" s="51"/>
      <c r="R306" s="511"/>
      <c r="S306" s="51"/>
      <c r="T306" s="51"/>
      <c r="U306" s="51"/>
      <c r="V306" s="51"/>
      <c r="W306" s="51"/>
      <c r="X306" s="131">
        <f>IF(NFI_Expiration=1,IF($A306&lt;VLOOKUP(I$5,NFI,5,0),1,0)*Data_NFI_t[[#This Row],[Hygiene Kit]],0)</f>
        <v>0</v>
      </c>
      <c r="Y306" s="131">
        <f>IF(NFI_Expiration=1,IF($A306&lt;VLOOKUP(J$5,NFI,5,0),1,0)*Data_NFI_t[[#This Row],[NFI Core Kit]],0)</f>
        <v>0</v>
      </c>
      <c r="Z306" s="112">
        <f>IF(NFI_Expiration=1,IF($A306&lt;VLOOKUP(K$5,NFI,5,0),1,0)*Data_NFI_t[[#This Row],[Sanitary Kit]],0)</f>
        <v>0</v>
      </c>
      <c r="AA306" s="112">
        <f>IF(NFI_Expiration=1,IF($A306&lt;VLOOKUP(L$5,NFI,5,0),1,0)*Data_NFI_t[[#This Row],[Mosquito net]],0)</f>
        <v>0</v>
      </c>
      <c r="AB306" s="112">
        <f>IF(NFI_Expiration=1,IF($A306&lt;VLOOKUP(M$5,NFI,5,0),1,0)*Data_NFI_t[[#This Row],[Tarpaulin]],0)</f>
        <v>0</v>
      </c>
      <c r="AC306" s="112">
        <f>IF(NFI_Expiration=1,IF($A306&lt;VLOOKUP(N$5,NFI,5,0),1,0)*Data_NFI_t[[#This Row],[Blanket]],0)</f>
        <v>0</v>
      </c>
      <c r="AD306" s="112">
        <f>IF(NFI_Expiration=1,IF($A306&lt;VLOOKUP(O$5,NFI,5,0),1,0)*Data_NFI_t[[#This Row],[Kitchen Set]],0)</f>
        <v>0</v>
      </c>
      <c r="AE306" s="112">
        <f>IF(NFI_Expiration=1,IF($A306&lt;VLOOKUP(P$5,NFI,5,0),1,0)*Data_NFI_t[[#This Row],[Complementary Kit]],0)</f>
        <v>0</v>
      </c>
      <c r="AF306" s="112">
        <f>IF(NFI_Expiration=1,IF($A306&lt;VLOOKUP(Q$5,NFI,5,0),1,0)*Data_NFI_t[[#This Row],[Plastic Bucket]],0)</f>
        <v>0</v>
      </c>
      <c r="AG306" s="112">
        <f>IF(NFI_Expiration=1,IF($A306&lt;VLOOKUP(R$5,NFI,5,0),1,0)*Data_NFI_t[[#This Row],[Jerry Can]],0)</f>
        <v>0</v>
      </c>
      <c r="AH306" s="131">
        <f>IF(NFI_Expiration=1,IF($A306&lt;VLOOKUP(S$5,NFI,5,0),1,0)*Data_NFI_t[[#This Row],[Plastic Mat]],0)*IF(Data_NFI_t[[#This Row],[Distribution Date]]&gt;"01-06-2015",1,2.5)</f>
        <v>0</v>
      </c>
      <c r="AI306" s="901">
        <f>IF(NFI_Expiration=1,IF($A306&lt;VLOOKUP(T$5,NFI,5,0),1,0)*Data_NFI_t[[#This Row],[Adult Clothes]],0)</f>
        <v>0</v>
      </c>
      <c r="AJ306" s="131">
        <f>IF(NFI_Expiration=1,IF($A306&lt;VLOOKUP(U$5,NFI,5,0),1,0)*Data_NFI_t[[#This Row],[Children Clothes]],0)</f>
        <v>0</v>
      </c>
      <c r="AK306" s="131">
        <f>IF(NFI_Expiration=1,IF($A306&lt;VLOOKUP(V$5,NFI,5,0),1,0)*Data_NFI_t[[#This Row],[Sewing Kit]],0)</f>
        <v>0</v>
      </c>
      <c r="AL306" s="901">
        <f>IF(NFI_Expiration=1,IF($A306&lt;VLOOKUP(V$5,NFI,5,0),1,0)*Data_NFI_t[[#This Row],[Solar Lantern]],0)</f>
        <v>0</v>
      </c>
      <c r="AM306" s="131" t="str">
        <f ca="1">IFERROR(OFFSET(Camp_List[P_Code],MATCH(Data_NFI_t[[#This Row],[Camp Name]],Camp_List[Camp Name],0)-1,0,1,1),"")</f>
        <v>MMR012CMP041</v>
      </c>
      <c r="AN306" s="513" t="str">
        <f ca="1">IFERROR(OFFSET(Camp_List[Status],MATCH(Data_NFI_t[[#This Row],[Camp Name]],Camp_List[Camp Name],0)-1,0,1,1),"")</f>
        <v>Open</v>
      </c>
      <c r="AO306" s="131"/>
    </row>
    <row r="307" spans="1:41" s="90" customFormat="1" ht="19.5" customHeight="1" x14ac:dyDescent="0.25">
      <c r="A307" s="242">
        <f t="shared" si="6"/>
        <v>52.7</v>
      </c>
      <c r="B307" s="242">
        <f>YEAR(Data_NFI_t[[#This Row],[Distribution Date]])</f>
        <v>2013</v>
      </c>
      <c r="C307" s="913">
        <v>41275</v>
      </c>
      <c r="D307" s="489" t="s">
        <v>518</v>
      </c>
      <c r="E307" s="488" t="s">
        <v>518</v>
      </c>
      <c r="F307" s="489" t="s">
        <v>7</v>
      </c>
      <c r="G307" s="790" t="s">
        <v>19</v>
      </c>
      <c r="H307" s="790" t="s">
        <v>64</v>
      </c>
      <c r="I307" s="790">
        <v>722</v>
      </c>
      <c r="J307" s="51"/>
      <c r="K307" s="51"/>
      <c r="L307" s="51"/>
      <c r="M307" s="51"/>
      <c r="N307" s="51"/>
      <c r="O307" s="51"/>
      <c r="P307" s="51"/>
      <c r="Q307" s="51"/>
      <c r="R307" s="511"/>
      <c r="S307" s="51"/>
      <c r="T307" s="51"/>
      <c r="U307" s="51"/>
      <c r="V307" s="51"/>
      <c r="W307" s="51"/>
      <c r="X307" s="131">
        <f>IF(NFI_Expiration=1,IF($A307&lt;VLOOKUP(I$5,NFI,5,0),1,0)*Data_NFI_t[[#This Row],[Hygiene Kit]],0)</f>
        <v>0</v>
      </c>
      <c r="Y307" s="131">
        <f>IF(NFI_Expiration=1,IF($A307&lt;VLOOKUP(J$5,NFI,5,0),1,0)*Data_NFI_t[[#This Row],[NFI Core Kit]],0)</f>
        <v>0</v>
      </c>
      <c r="Z307" s="112">
        <f>IF(NFI_Expiration=1,IF($A307&lt;VLOOKUP(K$5,NFI,5,0),1,0)*Data_NFI_t[[#This Row],[Sanitary Kit]],0)</f>
        <v>0</v>
      </c>
      <c r="AA307" s="112">
        <f>IF(NFI_Expiration=1,IF($A307&lt;VLOOKUP(L$5,NFI,5,0),1,0)*Data_NFI_t[[#This Row],[Mosquito net]],0)</f>
        <v>0</v>
      </c>
      <c r="AB307" s="112">
        <f>IF(NFI_Expiration=1,IF($A307&lt;VLOOKUP(M$5,NFI,5,0),1,0)*Data_NFI_t[[#This Row],[Tarpaulin]],0)</f>
        <v>0</v>
      </c>
      <c r="AC307" s="112">
        <f>IF(NFI_Expiration=1,IF($A307&lt;VLOOKUP(N$5,NFI,5,0),1,0)*Data_NFI_t[[#This Row],[Blanket]],0)</f>
        <v>0</v>
      </c>
      <c r="AD307" s="112">
        <f>IF(NFI_Expiration=1,IF($A307&lt;VLOOKUP(O$5,NFI,5,0),1,0)*Data_NFI_t[[#This Row],[Kitchen Set]],0)</f>
        <v>0</v>
      </c>
      <c r="AE307" s="112">
        <f>IF(NFI_Expiration=1,IF($A307&lt;VLOOKUP(P$5,NFI,5,0),1,0)*Data_NFI_t[[#This Row],[Complementary Kit]],0)</f>
        <v>0</v>
      </c>
      <c r="AF307" s="112">
        <f>IF(NFI_Expiration=1,IF($A307&lt;VLOOKUP(Q$5,NFI,5,0),1,0)*Data_NFI_t[[#This Row],[Plastic Bucket]],0)</f>
        <v>0</v>
      </c>
      <c r="AG307" s="112">
        <f>IF(NFI_Expiration=1,IF($A307&lt;VLOOKUP(R$5,NFI,5,0),1,0)*Data_NFI_t[[#This Row],[Jerry Can]],0)</f>
        <v>0</v>
      </c>
      <c r="AH307" s="131">
        <f>IF(NFI_Expiration=1,IF($A307&lt;VLOOKUP(S$5,NFI,5,0),1,0)*Data_NFI_t[[#This Row],[Plastic Mat]],0)*IF(Data_NFI_t[[#This Row],[Distribution Date]]&gt;"01-06-2015",1,2.5)</f>
        <v>0</v>
      </c>
      <c r="AI307" s="901">
        <f>IF(NFI_Expiration=1,IF($A307&lt;VLOOKUP(T$5,NFI,5,0),1,0)*Data_NFI_t[[#This Row],[Adult Clothes]],0)</f>
        <v>0</v>
      </c>
      <c r="AJ307" s="131">
        <f>IF(NFI_Expiration=1,IF($A307&lt;VLOOKUP(U$5,NFI,5,0),1,0)*Data_NFI_t[[#This Row],[Children Clothes]],0)</f>
        <v>0</v>
      </c>
      <c r="AK307" s="131">
        <f>IF(NFI_Expiration=1,IF($A307&lt;VLOOKUP(V$5,NFI,5,0),1,0)*Data_NFI_t[[#This Row],[Sewing Kit]],0)</f>
        <v>0</v>
      </c>
      <c r="AL307" s="901">
        <f>IF(NFI_Expiration=1,IF($A307&lt;VLOOKUP(V$5,NFI,5,0),1,0)*Data_NFI_t[[#This Row],[Solar Lantern]],0)</f>
        <v>0</v>
      </c>
      <c r="AM307" s="131" t="str">
        <f ca="1">IFERROR(OFFSET(Camp_List[P_Code],MATCH(Data_NFI_t[[#This Row],[Camp Name]],Camp_List[Camp Name],0)-1,0,1,1),"")</f>
        <v>MMR012CMP042</v>
      </c>
      <c r="AN307" s="513" t="str">
        <f ca="1">IFERROR(OFFSET(Camp_List[Status],MATCH(Data_NFI_t[[#This Row],[Camp Name]],Camp_List[Camp Name],0)-1,0,1,1),"")</f>
        <v>Open</v>
      </c>
      <c r="AO307" s="131"/>
    </row>
    <row r="308" spans="1:41" s="90" customFormat="1" ht="19.5" customHeight="1" x14ac:dyDescent="0.25">
      <c r="A308" s="242">
        <f t="shared" si="6"/>
        <v>52.7</v>
      </c>
      <c r="B308" s="242">
        <f>YEAR(Data_NFI_t[[#This Row],[Distribution Date]])</f>
        <v>2013</v>
      </c>
      <c r="C308" s="913">
        <v>41275</v>
      </c>
      <c r="D308" s="489" t="s">
        <v>517</v>
      </c>
      <c r="E308" s="488" t="s">
        <v>517</v>
      </c>
      <c r="F308" s="489" t="s">
        <v>7</v>
      </c>
      <c r="G308" s="790" t="s">
        <v>19</v>
      </c>
      <c r="H308" s="790" t="s">
        <v>76</v>
      </c>
      <c r="I308" s="790">
        <v>80</v>
      </c>
      <c r="J308" s="51"/>
      <c r="K308" s="51"/>
      <c r="L308" s="51"/>
      <c r="M308" s="51"/>
      <c r="N308" s="51"/>
      <c r="O308" s="51"/>
      <c r="P308" s="51"/>
      <c r="Q308" s="51"/>
      <c r="R308" s="511"/>
      <c r="S308" s="51"/>
      <c r="T308" s="51"/>
      <c r="U308" s="51"/>
      <c r="V308" s="51"/>
      <c r="W308" s="51"/>
      <c r="X308" s="131">
        <f>IF(NFI_Expiration=1,IF($A308&lt;VLOOKUP(I$5,NFI,5,0),1,0)*Data_NFI_t[[#This Row],[Hygiene Kit]],0)</f>
        <v>0</v>
      </c>
      <c r="Y308" s="131">
        <f>IF(NFI_Expiration=1,IF($A308&lt;VLOOKUP(J$5,NFI,5,0),1,0)*Data_NFI_t[[#This Row],[NFI Core Kit]],0)</f>
        <v>0</v>
      </c>
      <c r="Z308" s="112">
        <f>IF(NFI_Expiration=1,IF($A308&lt;VLOOKUP(K$5,NFI,5,0),1,0)*Data_NFI_t[[#This Row],[Sanitary Kit]],0)</f>
        <v>0</v>
      </c>
      <c r="AA308" s="112">
        <f>IF(NFI_Expiration=1,IF($A308&lt;VLOOKUP(L$5,NFI,5,0),1,0)*Data_NFI_t[[#This Row],[Mosquito net]],0)</f>
        <v>0</v>
      </c>
      <c r="AB308" s="112">
        <f>IF(NFI_Expiration=1,IF($A308&lt;VLOOKUP(M$5,NFI,5,0),1,0)*Data_NFI_t[[#This Row],[Tarpaulin]],0)</f>
        <v>0</v>
      </c>
      <c r="AC308" s="112">
        <f>IF(NFI_Expiration=1,IF($A308&lt;VLOOKUP(N$5,NFI,5,0),1,0)*Data_NFI_t[[#This Row],[Blanket]],0)</f>
        <v>0</v>
      </c>
      <c r="AD308" s="112">
        <f>IF(NFI_Expiration=1,IF($A308&lt;VLOOKUP(O$5,NFI,5,0),1,0)*Data_NFI_t[[#This Row],[Kitchen Set]],0)</f>
        <v>0</v>
      </c>
      <c r="AE308" s="112">
        <f>IF(NFI_Expiration=1,IF($A308&lt;VLOOKUP(P$5,NFI,5,0),1,0)*Data_NFI_t[[#This Row],[Complementary Kit]],0)</f>
        <v>0</v>
      </c>
      <c r="AF308" s="112">
        <f>IF(NFI_Expiration=1,IF($A308&lt;VLOOKUP(Q$5,NFI,5,0),1,0)*Data_NFI_t[[#This Row],[Plastic Bucket]],0)</f>
        <v>0</v>
      </c>
      <c r="AG308" s="112">
        <f>IF(NFI_Expiration=1,IF($A308&lt;VLOOKUP(R$5,NFI,5,0),1,0)*Data_NFI_t[[#This Row],[Jerry Can]],0)</f>
        <v>0</v>
      </c>
      <c r="AH308" s="131">
        <f>IF(NFI_Expiration=1,IF($A308&lt;VLOOKUP(S$5,NFI,5,0),1,0)*Data_NFI_t[[#This Row],[Plastic Mat]],0)*IF(Data_NFI_t[[#This Row],[Distribution Date]]&gt;"01-06-2015",1,2.5)</f>
        <v>0</v>
      </c>
      <c r="AI308" s="901">
        <f>IF(NFI_Expiration=1,IF($A308&lt;VLOOKUP(T$5,NFI,5,0),1,0)*Data_NFI_t[[#This Row],[Adult Clothes]],0)</f>
        <v>0</v>
      </c>
      <c r="AJ308" s="131">
        <f>IF(NFI_Expiration=1,IF($A308&lt;VLOOKUP(U$5,NFI,5,0),1,0)*Data_NFI_t[[#This Row],[Children Clothes]],0)</f>
        <v>0</v>
      </c>
      <c r="AK308" s="131">
        <f>IF(NFI_Expiration=1,IF($A308&lt;VLOOKUP(V$5,NFI,5,0),1,0)*Data_NFI_t[[#This Row],[Sewing Kit]],0)</f>
        <v>0</v>
      </c>
      <c r="AL308" s="901">
        <f>IF(NFI_Expiration=1,IF($A308&lt;VLOOKUP(V$5,NFI,5,0),1,0)*Data_NFI_t[[#This Row],[Solar Lantern]],0)</f>
        <v>0</v>
      </c>
      <c r="AM308" s="131" t="str">
        <f ca="1">IFERROR(OFFSET(Camp_List[P_Code],MATCH(Data_NFI_t[[#This Row],[Camp Name]],Camp_List[Camp Name],0)-1,0,1,1),"")</f>
        <v>MMR012CMP054</v>
      </c>
      <c r="AN308" s="513" t="str">
        <f ca="1">IFERROR(OFFSET(Camp_List[Status],MATCH(Data_NFI_t[[#This Row],[Camp Name]],Camp_List[Camp Name],0)-1,0,1,1),"")</f>
        <v>Close</v>
      </c>
      <c r="AO308" s="131"/>
    </row>
    <row r="309" spans="1:41" s="90" customFormat="1" ht="19.5" customHeight="1" x14ac:dyDescent="0.25">
      <c r="A309" s="242">
        <f t="shared" si="6"/>
        <v>52.7</v>
      </c>
      <c r="B309" s="242">
        <f>YEAR(Data_NFI_t[[#This Row],[Distribution Date]])</f>
        <v>2013</v>
      </c>
      <c r="C309" s="913">
        <v>41275</v>
      </c>
      <c r="D309" s="489" t="s">
        <v>517</v>
      </c>
      <c r="E309" s="488" t="s">
        <v>517</v>
      </c>
      <c r="F309" s="489" t="s">
        <v>7</v>
      </c>
      <c r="G309" s="790" t="s">
        <v>11</v>
      </c>
      <c r="H309" s="790" t="s">
        <v>35</v>
      </c>
      <c r="I309" s="790">
        <v>50</v>
      </c>
      <c r="J309" s="51"/>
      <c r="K309" s="51"/>
      <c r="L309" s="51"/>
      <c r="M309" s="51"/>
      <c r="N309" s="51"/>
      <c r="O309" s="51"/>
      <c r="P309" s="51"/>
      <c r="Q309" s="51"/>
      <c r="R309" s="511"/>
      <c r="S309" s="51"/>
      <c r="T309" s="51"/>
      <c r="U309" s="51"/>
      <c r="V309" s="51"/>
      <c r="W309" s="51"/>
      <c r="X309" s="131">
        <f>IF(NFI_Expiration=1,IF($A309&lt;VLOOKUP(I$5,NFI,5,0),1,0)*Data_NFI_t[[#This Row],[Hygiene Kit]],0)</f>
        <v>0</v>
      </c>
      <c r="Y309" s="131">
        <f>IF(NFI_Expiration=1,IF($A309&lt;VLOOKUP(J$5,NFI,5,0),1,0)*Data_NFI_t[[#This Row],[NFI Core Kit]],0)</f>
        <v>0</v>
      </c>
      <c r="Z309" s="112">
        <f>IF(NFI_Expiration=1,IF($A309&lt;VLOOKUP(K$5,NFI,5,0),1,0)*Data_NFI_t[[#This Row],[Sanitary Kit]],0)</f>
        <v>0</v>
      </c>
      <c r="AA309" s="112">
        <f>IF(NFI_Expiration=1,IF($A309&lt;VLOOKUP(L$5,NFI,5,0),1,0)*Data_NFI_t[[#This Row],[Mosquito net]],0)</f>
        <v>0</v>
      </c>
      <c r="AB309" s="112">
        <f>IF(NFI_Expiration=1,IF($A309&lt;VLOOKUP(M$5,NFI,5,0),1,0)*Data_NFI_t[[#This Row],[Tarpaulin]],0)</f>
        <v>0</v>
      </c>
      <c r="AC309" s="112">
        <f>IF(NFI_Expiration=1,IF($A309&lt;VLOOKUP(N$5,NFI,5,0),1,0)*Data_NFI_t[[#This Row],[Blanket]],0)</f>
        <v>0</v>
      </c>
      <c r="AD309" s="112">
        <f>IF(NFI_Expiration=1,IF($A309&lt;VLOOKUP(O$5,NFI,5,0),1,0)*Data_NFI_t[[#This Row],[Kitchen Set]],0)</f>
        <v>0</v>
      </c>
      <c r="AE309" s="112">
        <f>IF(NFI_Expiration=1,IF($A309&lt;VLOOKUP(P$5,NFI,5,0),1,0)*Data_NFI_t[[#This Row],[Complementary Kit]],0)</f>
        <v>0</v>
      </c>
      <c r="AF309" s="112">
        <f>IF(NFI_Expiration=1,IF($A309&lt;VLOOKUP(Q$5,NFI,5,0),1,0)*Data_NFI_t[[#This Row],[Plastic Bucket]],0)</f>
        <v>0</v>
      </c>
      <c r="AG309" s="112">
        <f>IF(NFI_Expiration=1,IF($A309&lt;VLOOKUP(R$5,NFI,5,0),1,0)*Data_NFI_t[[#This Row],[Jerry Can]],0)</f>
        <v>0</v>
      </c>
      <c r="AH309" s="131">
        <f>IF(NFI_Expiration=1,IF($A309&lt;VLOOKUP(S$5,NFI,5,0),1,0)*Data_NFI_t[[#This Row],[Plastic Mat]],0)*IF(Data_NFI_t[[#This Row],[Distribution Date]]&gt;"01-06-2015",1,2.5)</f>
        <v>0</v>
      </c>
      <c r="AI309" s="901">
        <f>IF(NFI_Expiration=1,IF($A309&lt;VLOOKUP(T$5,NFI,5,0),1,0)*Data_NFI_t[[#This Row],[Adult Clothes]],0)</f>
        <v>0</v>
      </c>
      <c r="AJ309" s="131">
        <f>IF(NFI_Expiration=1,IF($A309&lt;VLOOKUP(U$5,NFI,5,0),1,0)*Data_NFI_t[[#This Row],[Children Clothes]],0)</f>
        <v>0</v>
      </c>
      <c r="AK309" s="131">
        <f>IF(NFI_Expiration=1,IF($A309&lt;VLOOKUP(V$5,NFI,5,0),1,0)*Data_NFI_t[[#This Row],[Sewing Kit]],0)</f>
        <v>0</v>
      </c>
      <c r="AL309" s="901">
        <f>IF(NFI_Expiration=1,IF($A309&lt;VLOOKUP(V$5,NFI,5,0),1,0)*Data_NFI_t[[#This Row],[Solar Lantern]],0)</f>
        <v>0</v>
      </c>
      <c r="AM309" s="131" t="str">
        <f ca="1">IFERROR(OFFSET(Camp_List[P_Code],MATCH(Data_NFI_t[[#This Row],[Camp Name]],Camp_List[Camp Name],0)-1,0,1,1),"")</f>
        <v>MMR012CMP011</v>
      </c>
      <c r="AN309" s="513" t="str">
        <f ca="1">IFERROR(OFFSET(Camp_List[Status],MATCH(Data_NFI_t[[#This Row],[Camp Name]],Camp_List[Camp Name],0)-1,0,1,1),"")</f>
        <v>Close</v>
      </c>
      <c r="AO309" s="131"/>
    </row>
    <row r="310" spans="1:41" s="90" customFormat="1" ht="19.5" customHeight="1" x14ac:dyDescent="0.25">
      <c r="A310" s="242">
        <f t="shared" si="6"/>
        <v>52.7</v>
      </c>
      <c r="B310" s="242">
        <f>YEAR(Data_NFI_t[[#This Row],[Distribution Date]])</f>
        <v>2013</v>
      </c>
      <c r="C310" s="913">
        <v>41275</v>
      </c>
      <c r="D310" s="489" t="s">
        <v>517</v>
      </c>
      <c r="E310" s="488" t="s">
        <v>517</v>
      </c>
      <c r="F310" s="489" t="s">
        <v>7</v>
      </c>
      <c r="G310" s="790" t="s">
        <v>19</v>
      </c>
      <c r="H310" s="790" t="s">
        <v>78</v>
      </c>
      <c r="I310" s="790">
        <v>220</v>
      </c>
      <c r="J310" s="51"/>
      <c r="K310" s="51"/>
      <c r="L310" s="51"/>
      <c r="M310" s="51"/>
      <c r="N310" s="51"/>
      <c r="O310" s="51"/>
      <c r="P310" s="51"/>
      <c r="Q310" s="51"/>
      <c r="R310" s="511"/>
      <c r="S310" s="51"/>
      <c r="T310" s="51"/>
      <c r="U310" s="51"/>
      <c r="V310" s="51"/>
      <c r="W310" s="51"/>
      <c r="X310" s="131">
        <f>IF(NFI_Expiration=1,IF($A310&lt;VLOOKUP(I$5,NFI,5,0),1,0)*Data_NFI_t[[#This Row],[Hygiene Kit]],0)</f>
        <v>0</v>
      </c>
      <c r="Y310" s="131">
        <f>IF(NFI_Expiration=1,IF($A310&lt;VLOOKUP(J$5,NFI,5,0),1,0)*Data_NFI_t[[#This Row],[NFI Core Kit]],0)</f>
        <v>0</v>
      </c>
      <c r="Z310" s="112">
        <f>IF(NFI_Expiration=1,IF($A310&lt;VLOOKUP(K$5,NFI,5,0),1,0)*Data_NFI_t[[#This Row],[Sanitary Kit]],0)</f>
        <v>0</v>
      </c>
      <c r="AA310" s="112">
        <f>IF(NFI_Expiration=1,IF($A310&lt;VLOOKUP(L$5,NFI,5,0),1,0)*Data_NFI_t[[#This Row],[Mosquito net]],0)</f>
        <v>0</v>
      </c>
      <c r="AB310" s="112">
        <f>IF(NFI_Expiration=1,IF($A310&lt;VLOOKUP(M$5,NFI,5,0),1,0)*Data_NFI_t[[#This Row],[Tarpaulin]],0)</f>
        <v>0</v>
      </c>
      <c r="AC310" s="112">
        <f>IF(NFI_Expiration=1,IF($A310&lt;VLOOKUP(N$5,NFI,5,0),1,0)*Data_NFI_t[[#This Row],[Blanket]],0)</f>
        <v>0</v>
      </c>
      <c r="AD310" s="112">
        <f>IF(NFI_Expiration=1,IF($A310&lt;VLOOKUP(O$5,NFI,5,0),1,0)*Data_NFI_t[[#This Row],[Kitchen Set]],0)</f>
        <v>0</v>
      </c>
      <c r="AE310" s="112">
        <f>IF(NFI_Expiration=1,IF($A310&lt;VLOOKUP(P$5,NFI,5,0),1,0)*Data_NFI_t[[#This Row],[Complementary Kit]],0)</f>
        <v>0</v>
      </c>
      <c r="AF310" s="112">
        <f>IF(NFI_Expiration=1,IF($A310&lt;VLOOKUP(Q$5,NFI,5,0),1,0)*Data_NFI_t[[#This Row],[Plastic Bucket]],0)</f>
        <v>0</v>
      </c>
      <c r="AG310" s="112">
        <f>IF(NFI_Expiration=1,IF($A310&lt;VLOOKUP(R$5,NFI,5,0),1,0)*Data_NFI_t[[#This Row],[Jerry Can]],0)</f>
        <v>0</v>
      </c>
      <c r="AH310" s="131">
        <f>IF(NFI_Expiration=1,IF($A310&lt;VLOOKUP(S$5,NFI,5,0),1,0)*Data_NFI_t[[#This Row],[Plastic Mat]],0)*IF(Data_NFI_t[[#This Row],[Distribution Date]]&gt;"01-06-2015",1,2.5)</f>
        <v>0</v>
      </c>
      <c r="AI310" s="901">
        <f>IF(NFI_Expiration=1,IF($A310&lt;VLOOKUP(T$5,NFI,5,0),1,0)*Data_NFI_t[[#This Row],[Adult Clothes]],0)</f>
        <v>0</v>
      </c>
      <c r="AJ310" s="131">
        <f>IF(NFI_Expiration=1,IF($A310&lt;VLOOKUP(U$5,NFI,5,0),1,0)*Data_NFI_t[[#This Row],[Children Clothes]],0)</f>
        <v>0</v>
      </c>
      <c r="AK310" s="131">
        <f>IF(NFI_Expiration=1,IF($A310&lt;VLOOKUP(V$5,NFI,5,0),1,0)*Data_NFI_t[[#This Row],[Sewing Kit]],0)</f>
        <v>0</v>
      </c>
      <c r="AL310" s="901">
        <f>IF(NFI_Expiration=1,IF($A310&lt;VLOOKUP(V$5,NFI,5,0),1,0)*Data_NFI_t[[#This Row],[Solar Lantern]],0)</f>
        <v>0</v>
      </c>
      <c r="AM310" s="131" t="str">
        <f ca="1">IFERROR(OFFSET(Camp_List[P_Code],MATCH(Data_NFI_t[[#This Row],[Camp Name]],Camp_List[Camp Name],0)-1,0,1,1),"")</f>
        <v>MMR012CMP056</v>
      </c>
      <c r="AN310" s="513" t="str">
        <f ca="1">IFERROR(OFFSET(Camp_List[Status],MATCH(Data_NFI_t[[#This Row],[Camp Name]],Camp_List[Camp Name],0)-1,0,1,1),"")</f>
        <v>Relocated</v>
      </c>
      <c r="AO310" s="131"/>
    </row>
    <row r="311" spans="1:41" s="90" customFormat="1" ht="19.5" customHeight="1" x14ac:dyDescent="0.25">
      <c r="A311" s="242">
        <f t="shared" si="6"/>
        <v>52.7</v>
      </c>
      <c r="B311" s="242">
        <f>YEAR(Data_NFI_t[[#This Row],[Distribution Date]])</f>
        <v>2013</v>
      </c>
      <c r="C311" s="913">
        <v>41275</v>
      </c>
      <c r="D311" s="489" t="s">
        <v>1117</v>
      </c>
      <c r="E311" s="488" t="s">
        <v>292</v>
      </c>
      <c r="F311" s="489" t="s">
        <v>7</v>
      </c>
      <c r="G311" s="790" t="s">
        <v>19</v>
      </c>
      <c r="H311" s="790" t="s">
        <v>78</v>
      </c>
      <c r="I311" s="790">
        <v>220</v>
      </c>
      <c r="J311" s="51"/>
      <c r="K311" s="51"/>
      <c r="L311" s="51"/>
      <c r="M311" s="51"/>
      <c r="N311" s="51"/>
      <c r="O311" s="51"/>
      <c r="P311" s="51"/>
      <c r="Q311" s="51"/>
      <c r="R311" s="511"/>
      <c r="S311" s="51"/>
      <c r="T311" s="51"/>
      <c r="U311" s="51"/>
      <c r="V311" s="51"/>
      <c r="W311" s="51"/>
      <c r="X311" s="131">
        <f>IF(NFI_Expiration=1,IF($A311&lt;VLOOKUP(I$5,NFI,5,0),1,0)*Data_NFI_t[[#This Row],[Hygiene Kit]],0)</f>
        <v>0</v>
      </c>
      <c r="Y311" s="131">
        <f>IF(NFI_Expiration=1,IF($A311&lt;VLOOKUP(J$5,NFI,5,0),1,0)*Data_NFI_t[[#This Row],[NFI Core Kit]],0)</f>
        <v>0</v>
      </c>
      <c r="Z311" s="112">
        <f>IF(NFI_Expiration=1,IF($A311&lt;VLOOKUP(K$5,NFI,5,0),1,0)*Data_NFI_t[[#This Row],[Sanitary Kit]],0)</f>
        <v>0</v>
      </c>
      <c r="AA311" s="112">
        <f>IF(NFI_Expiration=1,IF($A311&lt;VLOOKUP(L$5,NFI,5,0),1,0)*Data_NFI_t[[#This Row],[Mosquito net]],0)</f>
        <v>0</v>
      </c>
      <c r="AB311" s="112">
        <f>IF(NFI_Expiration=1,IF($A311&lt;VLOOKUP(M$5,NFI,5,0),1,0)*Data_NFI_t[[#This Row],[Tarpaulin]],0)</f>
        <v>0</v>
      </c>
      <c r="AC311" s="112">
        <f>IF(NFI_Expiration=1,IF($A311&lt;VLOOKUP(N$5,NFI,5,0),1,0)*Data_NFI_t[[#This Row],[Blanket]],0)</f>
        <v>0</v>
      </c>
      <c r="AD311" s="112">
        <f>IF(NFI_Expiration=1,IF($A311&lt;VLOOKUP(O$5,NFI,5,0),1,0)*Data_NFI_t[[#This Row],[Kitchen Set]],0)</f>
        <v>0</v>
      </c>
      <c r="AE311" s="112">
        <f>IF(NFI_Expiration=1,IF($A311&lt;VLOOKUP(P$5,NFI,5,0),1,0)*Data_NFI_t[[#This Row],[Complementary Kit]],0)</f>
        <v>0</v>
      </c>
      <c r="AF311" s="112">
        <f>IF(NFI_Expiration=1,IF($A311&lt;VLOOKUP(Q$5,NFI,5,0),1,0)*Data_NFI_t[[#This Row],[Plastic Bucket]],0)</f>
        <v>0</v>
      </c>
      <c r="AG311" s="112">
        <f>IF(NFI_Expiration=1,IF($A311&lt;VLOOKUP(R$5,NFI,5,0),1,0)*Data_NFI_t[[#This Row],[Jerry Can]],0)</f>
        <v>0</v>
      </c>
      <c r="AH311" s="131">
        <f>IF(NFI_Expiration=1,IF($A311&lt;VLOOKUP(S$5,NFI,5,0),1,0)*Data_NFI_t[[#This Row],[Plastic Mat]],0)*IF(Data_NFI_t[[#This Row],[Distribution Date]]&gt;"01-06-2015",1,2.5)</f>
        <v>0</v>
      </c>
      <c r="AI311" s="901">
        <f>IF(NFI_Expiration=1,IF($A311&lt;VLOOKUP(T$5,NFI,5,0),1,0)*Data_NFI_t[[#This Row],[Adult Clothes]],0)</f>
        <v>0</v>
      </c>
      <c r="AJ311" s="131">
        <f>IF(NFI_Expiration=1,IF($A311&lt;VLOOKUP(U$5,NFI,5,0),1,0)*Data_NFI_t[[#This Row],[Children Clothes]],0)</f>
        <v>0</v>
      </c>
      <c r="AK311" s="131">
        <f>IF(NFI_Expiration=1,IF($A311&lt;VLOOKUP(V$5,NFI,5,0),1,0)*Data_NFI_t[[#This Row],[Sewing Kit]],0)</f>
        <v>0</v>
      </c>
      <c r="AL311" s="901">
        <f>IF(NFI_Expiration=1,IF($A311&lt;VLOOKUP(V$5,NFI,5,0),1,0)*Data_NFI_t[[#This Row],[Solar Lantern]],0)</f>
        <v>0</v>
      </c>
      <c r="AM311" s="131" t="str">
        <f ca="1">IFERROR(OFFSET(Camp_List[P_Code],MATCH(Data_NFI_t[[#This Row],[Camp Name]],Camp_List[Camp Name],0)-1,0,1,1),"")</f>
        <v>MMR012CMP056</v>
      </c>
      <c r="AN311" s="513" t="str">
        <f ca="1">IFERROR(OFFSET(Camp_List[Status],MATCH(Data_NFI_t[[#This Row],[Camp Name]],Camp_List[Camp Name],0)-1,0,1,1),"")</f>
        <v>Relocated</v>
      </c>
      <c r="AO311" s="131"/>
    </row>
    <row r="312" spans="1:41" s="90" customFormat="1" ht="19.5" customHeight="1" x14ac:dyDescent="0.25">
      <c r="A312" s="242">
        <f t="shared" si="6"/>
        <v>52.7</v>
      </c>
      <c r="B312" s="242">
        <f>YEAR(Data_NFI_t[[#This Row],[Distribution Date]])</f>
        <v>2013</v>
      </c>
      <c r="C312" s="913">
        <v>41275</v>
      </c>
      <c r="D312" s="489" t="s">
        <v>1117</v>
      </c>
      <c r="E312" s="488" t="s">
        <v>292</v>
      </c>
      <c r="F312" s="489" t="s">
        <v>7</v>
      </c>
      <c r="G312" s="790" t="s">
        <v>19</v>
      </c>
      <c r="H312" s="790" t="s">
        <v>68</v>
      </c>
      <c r="I312" s="790">
        <v>2939</v>
      </c>
      <c r="J312" s="51"/>
      <c r="K312" s="51"/>
      <c r="L312" s="51"/>
      <c r="M312" s="51"/>
      <c r="N312" s="51"/>
      <c r="O312" s="51"/>
      <c r="P312" s="51"/>
      <c r="Q312" s="51"/>
      <c r="R312" s="511"/>
      <c r="S312" s="51"/>
      <c r="T312" s="51"/>
      <c r="U312" s="51"/>
      <c r="V312" s="51"/>
      <c r="W312" s="51"/>
      <c r="X312" s="131">
        <f>IF(NFI_Expiration=1,IF($A312&lt;VLOOKUP(I$5,NFI,5,0),1,0)*Data_NFI_t[[#This Row],[Hygiene Kit]],0)</f>
        <v>0</v>
      </c>
      <c r="Y312" s="131">
        <f>IF(NFI_Expiration=1,IF($A312&lt;VLOOKUP(J$5,NFI,5,0),1,0)*Data_NFI_t[[#This Row],[NFI Core Kit]],0)</f>
        <v>0</v>
      </c>
      <c r="Z312" s="112">
        <f>IF(NFI_Expiration=1,IF($A312&lt;VLOOKUP(K$5,NFI,5,0),1,0)*Data_NFI_t[[#This Row],[Sanitary Kit]],0)</f>
        <v>0</v>
      </c>
      <c r="AA312" s="112">
        <f>IF(NFI_Expiration=1,IF($A312&lt;VLOOKUP(L$5,NFI,5,0),1,0)*Data_NFI_t[[#This Row],[Mosquito net]],0)</f>
        <v>0</v>
      </c>
      <c r="AB312" s="112">
        <f>IF(NFI_Expiration=1,IF($A312&lt;VLOOKUP(M$5,NFI,5,0),1,0)*Data_NFI_t[[#This Row],[Tarpaulin]],0)</f>
        <v>0</v>
      </c>
      <c r="AC312" s="112">
        <f>IF(NFI_Expiration=1,IF($A312&lt;VLOOKUP(N$5,NFI,5,0),1,0)*Data_NFI_t[[#This Row],[Blanket]],0)</f>
        <v>0</v>
      </c>
      <c r="AD312" s="112">
        <f>IF(NFI_Expiration=1,IF($A312&lt;VLOOKUP(O$5,NFI,5,0),1,0)*Data_NFI_t[[#This Row],[Kitchen Set]],0)</f>
        <v>0</v>
      </c>
      <c r="AE312" s="112">
        <f>IF(NFI_Expiration=1,IF($A312&lt;VLOOKUP(P$5,NFI,5,0),1,0)*Data_NFI_t[[#This Row],[Complementary Kit]],0)</f>
        <v>0</v>
      </c>
      <c r="AF312" s="112">
        <f>IF(NFI_Expiration=1,IF($A312&lt;VLOOKUP(Q$5,NFI,5,0),1,0)*Data_NFI_t[[#This Row],[Plastic Bucket]],0)</f>
        <v>0</v>
      </c>
      <c r="AG312" s="112">
        <f>IF(NFI_Expiration=1,IF($A312&lt;VLOOKUP(R$5,NFI,5,0),1,0)*Data_NFI_t[[#This Row],[Jerry Can]],0)</f>
        <v>0</v>
      </c>
      <c r="AH312" s="131">
        <f>IF(NFI_Expiration=1,IF($A312&lt;VLOOKUP(S$5,NFI,5,0),1,0)*Data_NFI_t[[#This Row],[Plastic Mat]],0)*IF(Data_NFI_t[[#This Row],[Distribution Date]]&gt;"01-06-2015",1,2.5)</f>
        <v>0</v>
      </c>
      <c r="AI312" s="901">
        <f>IF(NFI_Expiration=1,IF($A312&lt;VLOOKUP(T$5,NFI,5,0),1,0)*Data_NFI_t[[#This Row],[Adult Clothes]],0)</f>
        <v>0</v>
      </c>
      <c r="AJ312" s="131">
        <f>IF(NFI_Expiration=1,IF($A312&lt;VLOOKUP(U$5,NFI,5,0),1,0)*Data_NFI_t[[#This Row],[Children Clothes]],0)</f>
        <v>0</v>
      </c>
      <c r="AK312" s="131">
        <f>IF(NFI_Expiration=1,IF($A312&lt;VLOOKUP(V$5,NFI,5,0),1,0)*Data_NFI_t[[#This Row],[Sewing Kit]],0)</f>
        <v>0</v>
      </c>
      <c r="AL312" s="901">
        <f>IF(NFI_Expiration=1,IF($A312&lt;VLOOKUP(V$5,NFI,5,0),1,0)*Data_NFI_t[[#This Row],[Solar Lantern]],0)</f>
        <v>0</v>
      </c>
      <c r="AM312" s="131" t="str">
        <f ca="1">IFERROR(OFFSET(Camp_List[P_Code],MATCH(Data_NFI_t[[#This Row],[Camp Name]],Camp_List[Camp Name],0)-1,0,1,1),"")</f>
        <v>MMR012CMP046</v>
      </c>
      <c r="AN312" s="513" t="str">
        <f ca="1">IFERROR(OFFSET(Camp_List[Status],MATCH(Data_NFI_t[[#This Row],[Camp Name]],Camp_List[Camp Name],0)-1,0,1,1),"")</f>
        <v>Open</v>
      </c>
      <c r="AO312" s="131"/>
    </row>
    <row r="313" spans="1:41" s="90" customFormat="1" ht="19.5" customHeight="1" x14ac:dyDescent="0.25">
      <c r="A313" s="242">
        <f t="shared" si="6"/>
        <v>52.966666666666669</v>
      </c>
      <c r="B313" s="242">
        <f>YEAR(Data_NFI_t[[#This Row],[Distribution Date]])</f>
        <v>2012</v>
      </c>
      <c r="C313" s="913">
        <v>41267</v>
      </c>
      <c r="D313" s="489" t="s">
        <v>285</v>
      </c>
      <c r="E313" s="488"/>
      <c r="F313" s="489" t="s">
        <v>7</v>
      </c>
      <c r="G313" s="790" t="s">
        <v>14</v>
      </c>
      <c r="H313" s="790" t="s">
        <v>40</v>
      </c>
      <c r="I313" s="790"/>
      <c r="J313" s="51"/>
      <c r="K313" s="51"/>
      <c r="L313" s="51"/>
      <c r="M313" s="51">
        <v>758</v>
      </c>
      <c r="N313" s="51"/>
      <c r="O313" s="51"/>
      <c r="P313" s="51"/>
      <c r="Q313" s="51"/>
      <c r="R313" s="511"/>
      <c r="S313" s="51"/>
      <c r="T313" s="51"/>
      <c r="U313" s="51"/>
      <c r="V313" s="51"/>
      <c r="W313" s="51"/>
      <c r="X313" s="131">
        <f>IF(NFI_Expiration=1,IF($A313&lt;VLOOKUP(I$5,NFI,5,0),1,0)*Data_NFI_t[[#This Row],[Hygiene Kit]],0)</f>
        <v>0</v>
      </c>
      <c r="Y313" s="131">
        <f>IF(NFI_Expiration=1,IF($A313&lt;VLOOKUP(J$5,NFI,5,0),1,0)*Data_NFI_t[[#This Row],[NFI Core Kit]],0)</f>
        <v>0</v>
      </c>
      <c r="Z313" s="112">
        <f>IF(NFI_Expiration=1,IF($A313&lt;VLOOKUP(K$5,NFI,5,0),1,0)*Data_NFI_t[[#This Row],[Sanitary Kit]],0)</f>
        <v>0</v>
      </c>
      <c r="AA313" s="112">
        <f>IF(NFI_Expiration=1,IF($A313&lt;VLOOKUP(L$5,NFI,5,0),1,0)*Data_NFI_t[[#This Row],[Mosquito net]],0)</f>
        <v>0</v>
      </c>
      <c r="AB313" s="112">
        <f>IF(NFI_Expiration=1,IF($A313&lt;VLOOKUP(M$5,NFI,5,0),1,0)*Data_NFI_t[[#This Row],[Tarpaulin]],0)</f>
        <v>0</v>
      </c>
      <c r="AC313" s="112">
        <f>IF(NFI_Expiration=1,IF($A313&lt;VLOOKUP(N$5,NFI,5,0),1,0)*Data_NFI_t[[#This Row],[Blanket]],0)</f>
        <v>0</v>
      </c>
      <c r="AD313" s="112">
        <f>IF(NFI_Expiration=1,IF($A313&lt;VLOOKUP(O$5,NFI,5,0),1,0)*Data_NFI_t[[#This Row],[Kitchen Set]],0)</f>
        <v>0</v>
      </c>
      <c r="AE313" s="112">
        <f>IF(NFI_Expiration=1,IF($A313&lt;VLOOKUP(P$5,NFI,5,0),1,0)*Data_NFI_t[[#This Row],[Complementary Kit]],0)</f>
        <v>0</v>
      </c>
      <c r="AF313" s="112">
        <f>IF(NFI_Expiration=1,IF($A313&lt;VLOOKUP(Q$5,NFI,5,0),1,0)*Data_NFI_t[[#This Row],[Plastic Bucket]],0)</f>
        <v>0</v>
      </c>
      <c r="AG313" s="112">
        <f>IF(NFI_Expiration=1,IF($A313&lt;VLOOKUP(R$5,NFI,5,0),1,0)*Data_NFI_t[[#This Row],[Jerry Can]],0)</f>
        <v>0</v>
      </c>
      <c r="AH313" s="131">
        <f>IF(NFI_Expiration=1,IF($A313&lt;VLOOKUP(S$5,NFI,5,0),1,0)*Data_NFI_t[[#This Row],[Plastic Mat]],0)*IF(Data_NFI_t[[#This Row],[Distribution Date]]&gt;"01-06-2015",1,2.5)</f>
        <v>0</v>
      </c>
      <c r="AI313" s="901">
        <f>IF(NFI_Expiration=1,IF($A313&lt;VLOOKUP(T$5,NFI,5,0),1,0)*Data_NFI_t[[#This Row],[Adult Clothes]],0)</f>
        <v>0</v>
      </c>
      <c r="AJ313" s="131">
        <f>IF(NFI_Expiration=1,IF($A313&lt;VLOOKUP(U$5,NFI,5,0),1,0)*Data_NFI_t[[#This Row],[Children Clothes]],0)</f>
        <v>0</v>
      </c>
      <c r="AK313" s="131">
        <f>IF(NFI_Expiration=1,IF($A313&lt;VLOOKUP(V$5,NFI,5,0),1,0)*Data_NFI_t[[#This Row],[Sewing Kit]],0)</f>
        <v>0</v>
      </c>
      <c r="AL313" s="901">
        <f>IF(NFI_Expiration=1,IF($A313&lt;VLOOKUP(V$5,NFI,5,0),1,0)*Data_NFI_t[[#This Row],[Solar Lantern]],0)</f>
        <v>0</v>
      </c>
      <c r="AM313" s="131" t="str">
        <f ca="1">IFERROR(OFFSET(Camp_List[P_Code],MATCH(Data_NFI_t[[#This Row],[Camp Name]],Camp_List[Camp Name],0)-1,0,1,1),"")</f>
        <v>MMR012CMP016</v>
      </c>
      <c r="AN313" s="513" t="str">
        <f ca="1">IFERROR(OFFSET(Camp_List[Status],MATCH(Data_NFI_t[[#This Row],[Camp Name]],Camp_List[Camp Name],0)-1,0,1,1),"")</f>
        <v>Open</v>
      </c>
      <c r="AO313" s="131"/>
    </row>
    <row r="314" spans="1:41" s="90" customFormat="1" ht="19.5" customHeight="1" x14ac:dyDescent="0.25">
      <c r="A314" s="242">
        <f t="shared" si="6"/>
        <v>52.966666666666669</v>
      </c>
      <c r="B314" s="242">
        <f>YEAR(Data_NFI_t[[#This Row],[Distribution Date]])</f>
        <v>2012</v>
      </c>
      <c r="C314" s="913">
        <v>41267</v>
      </c>
      <c r="D314" s="489" t="s">
        <v>285</v>
      </c>
      <c r="E314" s="488"/>
      <c r="F314" s="489" t="s">
        <v>7</v>
      </c>
      <c r="G314" s="790" t="s">
        <v>14</v>
      </c>
      <c r="H314" s="790" t="s">
        <v>41</v>
      </c>
      <c r="I314" s="790"/>
      <c r="J314" s="51"/>
      <c r="K314" s="51"/>
      <c r="L314" s="51"/>
      <c r="M314" s="51">
        <v>1306</v>
      </c>
      <c r="N314" s="51"/>
      <c r="O314" s="51"/>
      <c r="P314" s="51"/>
      <c r="Q314" s="51"/>
      <c r="R314" s="511"/>
      <c r="S314" s="51"/>
      <c r="T314" s="51"/>
      <c r="U314" s="51"/>
      <c r="V314" s="51"/>
      <c r="W314" s="51"/>
      <c r="X314" s="131">
        <f>IF(NFI_Expiration=1,IF($A314&lt;VLOOKUP(I$5,NFI,5,0),1,0)*Data_NFI_t[[#This Row],[Hygiene Kit]],0)</f>
        <v>0</v>
      </c>
      <c r="Y314" s="131">
        <f>IF(NFI_Expiration=1,IF($A314&lt;VLOOKUP(J$5,NFI,5,0),1,0)*Data_NFI_t[[#This Row],[NFI Core Kit]],0)</f>
        <v>0</v>
      </c>
      <c r="Z314" s="112">
        <f>IF(NFI_Expiration=1,IF($A314&lt;VLOOKUP(K$5,NFI,5,0),1,0)*Data_NFI_t[[#This Row],[Sanitary Kit]],0)</f>
        <v>0</v>
      </c>
      <c r="AA314" s="112">
        <f>IF(NFI_Expiration=1,IF($A314&lt;VLOOKUP(L$5,NFI,5,0),1,0)*Data_NFI_t[[#This Row],[Mosquito net]],0)</f>
        <v>0</v>
      </c>
      <c r="AB314" s="112">
        <f>IF(NFI_Expiration=1,IF($A314&lt;VLOOKUP(M$5,NFI,5,0),1,0)*Data_NFI_t[[#This Row],[Tarpaulin]],0)</f>
        <v>0</v>
      </c>
      <c r="AC314" s="112">
        <f>IF(NFI_Expiration=1,IF($A314&lt;VLOOKUP(N$5,NFI,5,0),1,0)*Data_NFI_t[[#This Row],[Blanket]],0)</f>
        <v>0</v>
      </c>
      <c r="AD314" s="112">
        <f>IF(NFI_Expiration=1,IF($A314&lt;VLOOKUP(O$5,NFI,5,0),1,0)*Data_NFI_t[[#This Row],[Kitchen Set]],0)</f>
        <v>0</v>
      </c>
      <c r="AE314" s="112">
        <f>IF(NFI_Expiration=1,IF($A314&lt;VLOOKUP(P$5,NFI,5,0),1,0)*Data_NFI_t[[#This Row],[Complementary Kit]],0)</f>
        <v>0</v>
      </c>
      <c r="AF314" s="112">
        <f>IF(NFI_Expiration=1,IF($A314&lt;VLOOKUP(Q$5,NFI,5,0),1,0)*Data_NFI_t[[#This Row],[Plastic Bucket]],0)</f>
        <v>0</v>
      </c>
      <c r="AG314" s="112">
        <f>IF(NFI_Expiration=1,IF($A314&lt;VLOOKUP(R$5,NFI,5,0),1,0)*Data_NFI_t[[#This Row],[Jerry Can]],0)</f>
        <v>0</v>
      </c>
      <c r="AH314" s="131">
        <f>IF(NFI_Expiration=1,IF($A314&lt;VLOOKUP(S$5,NFI,5,0),1,0)*Data_NFI_t[[#This Row],[Plastic Mat]],0)*IF(Data_NFI_t[[#This Row],[Distribution Date]]&gt;"01-06-2015",1,2.5)</f>
        <v>0</v>
      </c>
      <c r="AI314" s="901">
        <f>IF(NFI_Expiration=1,IF($A314&lt;VLOOKUP(T$5,NFI,5,0),1,0)*Data_NFI_t[[#This Row],[Adult Clothes]],0)</f>
        <v>0</v>
      </c>
      <c r="AJ314" s="131">
        <f>IF(NFI_Expiration=1,IF($A314&lt;VLOOKUP(U$5,NFI,5,0),1,0)*Data_NFI_t[[#This Row],[Children Clothes]],0)</f>
        <v>0</v>
      </c>
      <c r="AK314" s="131">
        <f>IF(NFI_Expiration=1,IF($A314&lt;VLOOKUP(V$5,NFI,5,0),1,0)*Data_NFI_t[[#This Row],[Sewing Kit]],0)</f>
        <v>0</v>
      </c>
      <c r="AL314" s="901">
        <f>IF(NFI_Expiration=1,IF($A314&lt;VLOOKUP(V$5,NFI,5,0),1,0)*Data_NFI_t[[#This Row],[Solar Lantern]],0)</f>
        <v>0</v>
      </c>
      <c r="AM314" s="131" t="str">
        <f ca="1">IFERROR(OFFSET(Camp_List[P_Code],MATCH(Data_NFI_t[[#This Row],[Camp Name]],Camp_List[Camp Name],0)-1,0,1,1),"")</f>
        <v/>
      </c>
      <c r="AN314" s="513" t="str">
        <f ca="1">IFERROR(OFFSET(Camp_List[Status],MATCH(Data_NFI_t[[#This Row],[Camp Name]],Camp_List[Camp Name],0)-1,0,1,1),"")</f>
        <v/>
      </c>
      <c r="AO314" s="131"/>
    </row>
    <row r="315" spans="1:41" s="90" customFormat="1" ht="19.5" customHeight="1" x14ac:dyDescent="0.25">
      <c r="A315" s="242">
        <f t="shared" si="6"/>
        <v>52.966666666666669</v>
      </c>
      <c r="B315" s="242">
        <f>YEAR(Data_NFI_t[[#This Row],[Distribution Date]])</f>
        <v>2012</v>
      </c>
      <c r="C315" s="913">
        <v>41267</v>
      </c>
      <c r="D315" s="489" t="s">
        <v>285</v>
      </c>
      <c r="E315" s="488"/>
      <c r="F315" s="489" t="s">
        <v>7</v>
      </c>
      <c r="G315" s="790" t="s">
        <v>14</v>
      </c>
      <c r="H315" s="790" t="s">
        <v>43</v>
      </c>
      <c r="I315" s="790"/>
      <c r="J315" s="51"/>
      <c r="K315" s="51"/>
      <c r="L315" s="51"/>
      <c r="M315" s="51">
        <v>796</v>
      </c>
      <c r="N315" s="51"/>
      <c r="O315" s="51"/>
      <c r="P315" s="51"/>
      <c r="Q315" s="51"/>
      <c r="R315" s="511"/>
      <c r="S315" s="51"/>
      <c r="T315" s="51"/>
      <c r="U315" s="51"/>
      <c r="V315" s="51"/>
      <c r="W315" s="51"/>
      <c r="X315" s="131">
        <f>IF(NFI_Expiration=1,IF($A315&lt;VLOOKUP(I$5,NFI,5,0),1,0)*Data_NFI_t[[#This Row],[Hygiene Kit]],0)</f>
        <v>0</v>
      </c>
      <c r="Y315" s="131">
        <f>IF(NFI_Expiration=1,IF($A315&lt;VLOOKUP(J$5,NFI,5,0),1,0)*Data_NFI_t[[#This Row],[NFI Core Kit]],0)</f>
        <v>0</v>
      </c>
      <c r="Z315" s="112">
        <f>IF(NFI_Expiration=1,IF($A315&lt;VLOOKUP(K$5,NFI,5,0),1,0)*Data_NFI_t[[#This Row],[Sanitary Kit]],0)</f>
        <v>0</v>
      </c>
      <c r="AA315" s="112">
        <f>IF(NFI_Expiration=1,IF($A315&lt;VLOOKUP(L$5,NFI,5,0),1,0)*Data_NFI_t[[#This Row],[Mosquito net]],0)</f>
        <v>0</v>
      </c>
      <c r="AB315" s="112">
        <f>IF(NFI_Expiration=1,IF($A315&lt;VLOOKUP(M$5,NFI,5,0),1,0)*Data_NFI_t[[#This Row],[Tarpaulin]],0)</f>
        <v>0</v>
      </c>
      <c r="AC315" s="112">
        <f>IF(NFI_Expiration=1,IF($A315&lt;VLOOKUP(N$5,NFI,5,0),1,0)*Data_NFI_t[[#This Row],[Blanket]],0)</f>
        <v>0</v>
      </c>
      <c r="AD315" s="112">
        <f>IF(NFI_Expiration=1,IF($A315&lt;VLOOKUP(O$5,NFI,5,0),1,0)*Data_NFI_t[[#This Row],[Kitchen Set]],0)</f>
        <v>0</v>
      </c>
      <c r="AE315" s="112">
        <f>IF(NFI_Expiration=1,IF($A315&lt;VLOOKUP(P$5,NFI,5,0),1,0)*Data_NFI_t[[#This Row],[Complementary Kit]],0)</f>
        <v>0</v>
      </c>
      <c r="AF315" s="112">
        <f>IF(NFI_Expiration=1,IF($A315&lt;VLOOKUP(Q$5,NFI,5,0),1,0)*Data_NFI_t[[#This Row],[Plastic Bucket]],0)</f>
        <v>0</v>
      </c>
      <c r="AG315" s="112">
        <f>IF(NFI_Expiration=1,IF($A315&lt;VLOOKUP(R$5,NFI,5,0),1,0)*Data_NFI_t[[#This Row],[Jerry Can]],0)</f>
        <v>0</v>
      </c>
      <c r="AH315" s="131">
        <f>IF(NFI_Expiration=1,IF($A315&lt;VLOOKUP(S$5,NFI,5,0),1,0)*Data_NFI_t[[#This Row],[Plastic Mat]],0)*IF(Data_NFI_t[[#This Row],[Distribution Date]]&gt;"01-06-2015",1,2.5)</f>
        <v>0</v>
      </c>
      <c r="AI315" s="901">
        <f>IF(NFI_Expiration=1,IF($A315&lt;VLOOKUP(T$5,NFI,5,0),1,0)*Data_NFI_t[[#This Row],[Adult Clothes]],0)</f>
        <v>0</v>
      </c>
      <c r="AJ315" s="131">
        <f>IF(NFI_Expiration=1,IF($A315&lt;VLOOKUP(U$5,NFI,5,0),1,0)*Data_NFI_t[[#This Row],[Children Clothes]],0)</f>
        <v>0</v>
      </c>
      <c r="AK315" s="131">
        <f>IF(NFI_Expiration=1,IF($A315&lt;VLOOKUP(V$5,NFI,5,0),1,0)*Data_NFI_t[[#This Row],[Sewing Kit]],0)</f>
        <v>0</v>
      </c>
      <c r="AL315" s="901">
        <f>IF(NFI_Expiration=1,IF($A315&lt;VLOOKUP(V$5,NFI,5,0),1,0)*Data_NFI_t[[#This Row],[Solar Lantern]],0)</f>
        <v>0</v>
      </c>
      <c r="AM315" s="131" t="str">
        <f ca="1">IFERROR(OFFSET(Camp_List[P_Code],MATCH(Data_NFI_t[[#This Row],[Camp Name]],Camp_List[Camp Name],0)-1,0,1,1),"")</f>
        <v>MMR012CMP019</v>
      </c>
      <c r="AN315" s="513" t="str">
        <f ca="1">IFERROR(OFFSET(Camp_List[Status],MATCH(Data_NFI_t[[#This Row],[Camp Name]],Camp_List[Camp Name],0)-1,0,1,1),"")</f>
        <v>Open</v>
      </c>
      <c r="AO315" s="131"/>
    </row>
    <row r="316" spans="1:41" s="90" customFormat="1" ht="19.5" customHeight="1" x14ac:dyDescent="0.25">
      <c r="A316" s="242">
        <f t="shared" si="6"/>
        <v>53</v>
      </c>
      <c r="B316" s="242">
        <f>YEAR(Data_NFI_t[[#This Row],[Distribution Date]])</f>
        <v>2012</v>
      </c>
      <c r="C316" s="913">
        <v>41266</v>
      </c>
      <c r="D316" s="489" t="s">
        <v>285</v>
      </c>
      <c r="E316" s="488"/>
      <c r="F316" s="489" t="s">
        <v>7</v>
      </c>
      <c r="G316" s="790" t="s">
        <v>20</v>
      </c>
      <c r="H316" s="790"/>
      <c r="I316" s="790"/>
      <c r="J316" s="51"/>
      <c r="K316" s="51">
        <v>3000</v>
      </c>
      <c r="L316" s="51"/>
      <c r="M316" s="51"/>
      <c r="N316" s="51"/>
      <c r="O316" s="51"/>
      <c r="P316" s="51"/>
      <c r="Q316" s="51"/>
      <c r="R316" s="511"/>
      <c r="S316" s="51"/>
      <c r="T316" s="51"/>
      <c r="U316" s="51"/>
      <c r="V316" s="51"/>
      <c r="W316" s="51"/>
      <c r="X316" s="131">
        <f>IF(NFI_Expiration=1,IF($A316&lt;VLOOKUP(I$5,NFI,5,0),1,0)*Data_NFI_t[[#This Row],[Hygiene Kit]],0)</f>
        <v>0</v>
      </c>
      <c r="Y316" s="131">
        <f>IF(NFI_Expiration=1,IF($A316&lt;VLOOKUP(J$5,NFI,5,0),1,0)*Data_NFI_t[[#This Row],[NFI Core Kit]],0)</f>
        <v>0</v>
      </c>
      <c r="Z316" s="112">
        <f>IF(NFI_Expiration=1,IF($A316&lt;VLOOKUP(K$5,NFI,5,0),1,0)*Data_NFI_t[[#This Row],[Sanitary Kit]],0)</f>
        <v>0</v>
      </c>
      <c r="AA316" s="112">
        <f>IF(NFI_Expiration=1,IF($A316&lt;VLOOKUP(L$5,NFI,5,0),1,0)*Data_NFI_t[[#This Row],[Mosquito net]],0)</f>
        <v>0</v>
      </c>
      <c r="AB316" s="112">
        <f>IF(NFI_Expiration=1,IF($A316&lt;VLOOKUP(M$5,NFI,5,0),1,0)*Data_NFI_t[[#This Row],[Tarpaulin]],0)</f>
        <v>0</v>
      </c>
      <c r="AC316" s="112">
        <f>IF(NFI_Expiration=1,IF($A316&lt;VLOOKUP(N$5,NFI,5,0),1,0)*Data_NFI_t[[#This Row],[Blanket]],0)</f>
        <v>0</v>
      </c>
      <c r="AD316" s="112">
        <f>IF(NFI_Expiration=1,IF($A316&lt;VLOOKUP(O$5,NFI,5,0),1,0)*Data_NFI_t[[#This Row],[Kitchen Set]],0)</f>
        <v>0</v>
      </c>
      <c r="AE316" s="112">
        <f>IF(NFI_Expiration=1,IF($A316&lt;VLOOKUP(P$5,NFI,5,0),1,0)*Data_NFI_t[[#This Row],[Complementary Kit]],0)</f>
        <v>0</v>
      </c>
      <c r="AF316" s="112">
        <f>IF(NFI_Expiration=1,IF($A316&lt;VLOOKUP(Q$5,NFI,5,0),1,0)*Data_NFI_t[[#This Row],[Plastic Bucket]],0)</f>
        <v>0</v>
      </c>
      <c r="AG316" s="112">
        <f>IF(NFI_Expiration=1,IF($A316&lt;VLOOKUP(R$5,NFI,5,0),1,0)*Data_NFI_t[[#This Row],[Jerry Can]],0)</f>
        <v>0</v>
      </c>
      <c r="AH316" s="131">
        <f>IF(NFI_Expiration=1,IF($A316&lt;VLOOKUP(S$5,NFI,5,0),1,0)*Data_NFI_t[[#This Row],[Plastic Mat]],0)*IF(Data_NFI_t[[#This Row],[Distribution Date]]&gt;"01-06-2015",1,2.5)</f>
        <v>0</v>
      </c>
      <c r="AI316" s="901">
        <f>IF(NFI_Expiration=1,IF($A316&lt;VLOOKUP(T$5,NFI,5,0),1,0)*Data_NFI_t[[#This Row],[Adult Clothes]],0)</f>
        <v>0</v>
      </c>
      <c r="AJ316" s="131">
        <f>IF(NFI_Expiration=1,IF($A316&lt;VLOOKUP(U$5,NFI,5,0),1,0)*Data_NFI_t[[#This Row],[Children Clothes]],0)</f>
        <v>0</v>
      </c>
      <c r="AK316" s="131">
        <f>IF(NFI_Expiration=1,IF($A316&lt;VLOOKUP(V$5,NFI,5,0),1,0)*Data_NFI_t[[#This Row],[Sewing Kit]],0)</f>
        <v>0</v>
      </c>
      <c r="AL316" s="901">
        <f>IF(NFI_Expiration=1,IF($A316&lt;VLOOKUP(V$5,NFI,5,0),1,0)*Data_NFI_t[[#This Row],[Solar Lantern]],0)</f>
        <v>0</v>
      </c>
      <c r="AM316" s="131" t="str">
        <f ca="1">IFERROR(OFFSET(Camp_List[P_Code],MATCH(Data_NFI_t[[#This Row],[Camp Name]],Camp_List[Camp Name],0)-1,0,1,1),"")</f>
        <v/>
      </c>
      <c r="AN316" s="513" t="str">
        <f ca="1">IFERROR(OFFSET(Camp_List[Status],MATCH(Data_NFI_t[[#This Row],[Camp Name]],Camp_List[Camp Name],0)-1,0,1,1),"")</f>
        <v/>
      </c>
      <c r="AO316" s="131"/>
    </row>
    <row r="317" spans="1:41" s="90" customFormat="1" ht="19.5" customHeight="1" x14ac:dyDescent="0.25">
      <c r="A317" s="242">
        <f t="shared" si="6"/>
        <v>53</v>
      </c>
      <c r="B317" s="242">
        <f>YEAR(Data_NFI_t[[#This Row],[Distribution Date]])</f>
        <v>2012</v>
      </c>
      <c r="C317" s="913">
        <v>41266</v>
      </c>
      <c r="D317" s="489" t="s">
        <v>285</v>
      </c>
      <c r="E317" s="488"/>
      <c r="F317" s="489" t="s">
        <v>7</v>
      </c>
      <c r="G317" s="790" t="s">
        <v>20</v>
      </c>
      <c r="H317" s="790"/>
      <c r="I317" s="790"/>
      <c r="J317" s="51"/>
      <c r="K317" s="51"/>
      <c r="L317" s="51"/>
      <c r="M317" s="51">
        <v>1180</v>
      </c>
      <c r="N317" s="51"/>
      <c r="O317" s="51"/>
      <c r="P317" s="51"/>
      <c r="Q317" s="51"/>
      <c r="R317" s="511"/>
      <c r="S317" s="51"/>
      <c r="T317" s="51"/>
      <c r="U317" s="51"/>
      <c r="V317" s="51"/>
      <c r="W317" s="51"/>
      <c r="X317" s="131">
        <f>IF(NFI_Expiration=1,IF($A317&lt;VLOOKUP(I$5,NFI,5,0),1,0)*Data_NFI_t[[#This Row],[Hygiene Kit]],0)</f>
        <v>0</v>
      </c>
      <c r="Y317" s="131">
        <f>IF(NFI_Expiration=1,IF($A317&lt;VLOOKUP(J$5,NFI,5,0),1,0)*Data_NFI_t[[#This Row],[NFI Core Kit]],0)</f>
        <v>0</v>
      </c>
      <c r="Z317" s="112">
        <f>IF(NFI_Expiration=1,IF($A317&lt;VLOOKUP(K$5,NFI,5,0),1,0)*Data_NFI_t[[#This Row],[Sanitary Kit]],0)</f>
        <v>0</v>
      </c>
      <c r="AA317" s="112">
        <f>IF(NFI_Expiration=1,IF($A317&lt;VLOOKUP(L$5,NFI,5,0),1,0)*Data_NFI_t[[#This Row],[Mosquito net]],0)</f>
        <v>0</v>
      </c>
      <c r="AB317" s="112">
        <f>IF(NFI_Expiration=1,IF($A317&lt;VLOOKUP(M$5,NFI,5,0),1,0)*Data_NFI_t[[#This Row],[Tarpaulin]],0)</f>
        <v>0</v>
      </c>
      <c r="AC317" s="112">
        <f>IF(NFI_Expiration=1,IF($A317&lt;VLOOKUP(N$5,NFI,5,0),1,0)*Data_NFI_t[[#This Row],[Blanket]],0)</f>
        <v>0</v>
      </c>
      <c r="AD317" s="112">
        <f>IF(NFI_Expiration=1,IF($A317&lt;VLOOKUP(O$5,NFI,5,0),1,0)*Data_NFI_t[[#This Row],[Kitchen Set]],0)</f>
        <v>0</v>
      </c>
      <c r="AE317" s="112">
        <f>IF(NFI_Expiration=1,IF($A317&lt;VLOOKUP(P$5,NFI,5,0),1,0)*Data_NFI_t[[#This Row],[Complementary Kit]],0)</f>
        <v>0</v>
      </c>
      <c r="AF317" s="112">
        <f>IF(NFI_Expiration=1,IF($A317&lt;VLOOKUP(Q$5,NFI,5,0),1,0)*Data_NFI_t[[#This Row],[Plastic Bucket]],0)</f>
        <v>0</v>
      </c>
      <c r="AG317" s="112">
        <f>IF(NFI_Expiration=1,IF($A317&lt;VLOOKUP(R$5,NFI,5,0),1,0)*Data_NFI_t[[#This Row],[Jerry Can]],0)</f>
        <v>0</v>
      </c>
      <c r="AH317" s="131">
        <f>IF(NFI_Expiration=1,IF($A317&lt;VLOOKUP(S$5,NFI,5,0),1,0)*Data_NFI_t[[#This Row],[Plastic Mat]],0)*IF(Data_NFI_t[[#This Row],[Distribution Date]]&gt;"01-06-2015",1,2.5)</f>
        <v>0</v>
      </c>
      <c r="AI317" s="901">
        <f>IF(NFI_Expiration=1,IF($A317&lt;VLOOKUP(T$5,NFI,5,0),1,0)*Data_NFI_t[[#This Row],[Adult Clothes]],0)</f>
        <v>0</v>
      </c>
      <c r="AJ317" s="131">
        <f>IF(NFI_Expiration=1,IF($A317&lt;VLOOKUP(U$5,NFI,5,0),1,0)*Data_NFI_t[[#This Row],[Children Clothes]],0)</f>
        <v>0</v>
      </c>
      <c r="AK317" s="131">
        <f>IF(NFI_Expiration=1,IF($A317&lt;VLOOKUP(V$5,NFI,5,0),1,0)*Data_NFI_t[[#This Row],[Sewing Kit]],0)</f>
        <v>0</v>
      </c>
      <c r="AL317" s="901">
        <f>IF(NFI_Expiration=1,IF($A317&lt;VLOOKUP(V$5,NFI,5,0),1,0)*Data_NFI_t[[#This Row],[Solar Lantern]],0)</f>
        <v>0</v>
      </c>
      <c r="AM317" s="131" t="str">
        <f ca="1">IFERROR(OFFSET(Camp_List[P_Code],MATCH(Data_NFI_t[[#This Row],[Camp Name]],Camp_List[Camp Name],0)-1,0,1,1),"")</f>
        <v/>
      </c>
      <c r="AN317" s="513" t="str">
        <f ca="1">IFERROR(OFFSET(Camp_List[Status],MATCH(Data_NFI_t[[#This Row],[Camp Name]],Camp_List[Camp Name],0)-1,0,1,1),"")</f>
        <v/>
      </c>
      <c r="AO317" s="131"/>
    </row>
    <row r="318" spans="1:41" s="90" customFormat="1" ht="19.5" customHeight="1" x14ac:dyDescent="0.25">
      <c r="A318" s="242">
        <f t="shared" si="6"/>
        <v>53.166666666666664</v>
      </c>
      <c r="B318" s="242">
        <f>YEAR(Data_NFI_t[[#This Row],[Distribution Date]])</f>
        <v>2012</v>
      </c>
      <c r="C318" s="913">
        <v>41261</v>
      </c>
      <c r="D318" s="489" t="s">
        <v>285</v>
      </c>
      <c r="E318" s="488"/>
      <c r="F318" s="489" t="s">
        <v>7</v>
      </c>
      <c r="G318" s="790" t="s">
        <v>15</v>
      </c>
      <c r="H318" s="790" t="s">
        <v>47</v>
      </c>
      <c r="I318" s="790"/>
      <c r="J318" s="51"/>
      <c r="K318" s="51"/>
      <c r="L318" s="51">
        <v>160</v>
      </c>
      <c r="M318" s="51">
        <v>80</v>
      </c>
      <c r="N318" s="51">
        <v>160</v>
      </c>
      <c r="O318" s="51">
        <v>80</v>
      </c>
      <c r="P318" s="51">
        <v>80</v>
      </c>
      <c r="Q318" s="51"/>
      <c r="R318" s="511"/>
      <c r="S318" s="51"/>
      <c r="T318" s="51"/>
      <c r="U318" s="51"/>
      <c r="V318" s="51"/>
      <c r="W318" s="51"/>
      <c r="X318" s="131">
        <f>IF(NFI_Expiration=1,IF($A318&lt;VLOOKUP(I$5,NFI,5,0),1,0)*Data_NFI_t[[#This Row],[Hygiene Kit]],0)</f>
        <v>0</v>
      </c>
      <c r="Y318" s="131">
        <f>IF(NFI_Expiration=1,IF($A318&lt;VLOOKUP(J$5,NFI,5,0),1,0)*Data_NFI_t[[#This Row],[NFI Core Kit]],0)</f>
        <v>0</v>
      </c>
      <c r="Z318" s="112">
        <f>IF(NFI_Expiration=1,IF($A318&lt;VLOOKUP(K$5,NFI,5,0),1,0)*Data_NFI_t[[#This Row],[Sanitary Kit]],0)</f>
        <v>0</v>
      </c>
      <c r="AA318" s="112">
        <f>IF(NFI_Expiration=1,IF($A318&lt;VLOOKUP(L$5,NFI,5,0),1,0)*Data_NFI_t[[#This Row],[Mosquito net]],0)</f>
        <v>0</v>
      </c>
      <c r="AB318" s="112">
        <f>IF(NFI_Expiration=1,IF($A318&lt;VLOOKUP(M$5,NFI,5,0),1,0)*Data_NFI_t[[#This Row],[Tarpaulin]],0)</f>
        <v>0</v>
      </c>
      <c r="AC318" s="112">
        <f>IF(NFI_Expiration=1,IF($A318&lt;VLOOKUP(N$5,NFI,5,0),1,0)*Data_NFI_t[[#This Row],[Blanket]],0)</f>
        <v>0</v>
      </c>
      <c r="AD318" s="112">
        <f>IF(NFI_Expiration=1,IF($A318&lt;VLOOKUP(O$5,NFI,5,0),1,0)*Data_NFI_t[[#This Row],[Kitchen Set]],0)</f>
        <v>0</v>
      </c>
      <c r="AE318" s="112">
        <f>IF(NFI_Expiration=1,IF($A318&lt;VLOOKUP(P$5,NFI,5,0),1,0)*Data_NFI_t[[#This Row],[Complementary Kit]],0)</f>
        <v>0</v>
      </c>
      <c r="AF318" s="112">
        <f>IF(NFI_Expiration=1,IF($A318&lt;VLOOKUP(Q$5,NFI,5,0),1,0)*Data_NFI_t[[#This Row],[Plastic Bucket]],0)</f>
        <v>0</v>
      </c>
      <c r="AG318" s="112">
        <f>IF(NFI_Expiration=1,IF($A318&lt;VLOOKUP(R$5,NFI,5,0),1,0)*Data_NFI_t[[#This Row],[Jerry Can]],0)</f>
        <v>0</v>
      </c>
      <c r="AH318" s="131">
        <f>IF(NFI_Expiration=1,IF($A318&lt;VLOOKUP(S$5,NFI,5,0),1,0)*Data_NFI_t[[#This Row],[Plastic Mat]],0)*IF(Data_NFI_t[[#This Row],[Distribution Date]]&gt;"01-06-2015",1,2.5)</f>
        <v>0</v>
      </c>
      <c r="AI318" s="901">
        <f>IF(NFI_Expiration=1,IF($A318&lt;VLOOKUP(T$5,NFI,5,0),1,0)*Data_NFI_t[[#This Row],[Adult Clothes]],0)</f>
        <v>0</v>
      </c>
      <c r="AJ318" s="131">
        <f>IF(NFI_Expiration=1,IF($A318&lt;VLOOKUP(U$5,NFI,5,0),1,0)*Data_NFI_t[[#This Row],[Children Clothes]],0)</f>
        <v>0</v>
      </c>
      <c r="AK318" s="131">
        <f>IF(NFI_Expiration=1,IF($A318&lt;VLOOKUP(V$5,NFI,5,0),1,0)*Data_NFI_t[[#This Row],[Sewing Kit]],0)</f>
        <v>0</v>
      </c>
      <c r="AL318" s="901">
        <f>IF(NFI_Expiration=1,IF($A318&lt;VLOOKUP(V$5,NFI,5,0),1,0)*Data_NFI_t[[#This Row],[Solar Lantern]],0)</f>
        <v>0</v>
      </c>
      <c r="AM318" s="131" t="str">
        <f ca="1">IFERROR(OFFSET(Camp_List[P_Code],MATCH(Data_NFI_t[[#This Row],[Camp Name]],Camp_List[Camp Name],0)-1,0,1,1),"")</f>
        <v>MMR012CMP023</v>
      </c>
      <c r="AN318" s="513" t="str">
        <f ca="1">IFERROR(OFFSET(Camp_List[Status],MATCH(Data_NFI_t[[#This Row],[Camp Name]],Camp_List[Camp Name],0)-1,0,1,1),"")</f>
        <v>Open</v>
      </c>
      <c r="AO318" s="131"/>
    </row>
    <row r="319" spans="1:41" s="90" customFormat="1" ht="19.5" customHeight="1" x14ac:dyDescent="0.25">
      <c r="A319" s="242">
        <f t="shared" si="6"/>
        <v>53.166666666666664</v>
      </c>
      <c r="B319" s="242">
        <f>YEAR(Data_NFI_t[[#This Row],[Distribution Date]])</f>
        <v>2012</v>
      </c>
      <c r="C319" s="913">
        <v>41261</v>
      </c>
      <c r="D319" s="489" t="s">
        <v>285</v>
      </c>
      <c r="E319" s="488"/>
      <c r="F319" s="489" t="s">
        <v>7</v>
      </c>
      <c r="G319" s="790" t="s">
        <v>15</v>
      </c>
      <c r="H319" s="790" t="s">
        <v>45</v>
      </c>
      <c r="I319" s="790"/>
      <c r="J319" s="51"/>
      <c r="K319" s="51"/>
      <c r="L319" s="51">
        <v>174</v>
      </c>
      <c r="M319" s="51"/>
      <c r="N319" s="51">
        <v>174</v>
      </c>
      <c r="O319" s="51"/>
      <c r="P319" s="51"/>
      <c r="Q319" s="51"/>
      <c r="R319" s="511"/>
      <c r="S319" s="51"/>
      <c r="T319" s="51"/>
      <c r="U319" s="51"/>
      <c r="V319" s="51"/>
      <c r="W319" s="51"/>
      <c r="X319" s="131">
        <f>IF(NFI_Expiration=1,IF($A319&lt;VLOOKUP(I$5,NFI,5,0),1,0)*Data_NFI_t[[#This Row],[Hygiene Kit]],0)</f>
        <v>0</v>
      </c>
      <c r="Y319" s="131">
        <f>IF(NFI_Expiration=1,IF($A319&lt;VLOOKUP(J$5,NFI,5,0),1,0)*Data_NFI_t[[#This Row],[NFI Core Kit]],0)</f>
        <v>0</v>
      </c>
      <c r="Z319" s="112">
        <f>IF(NFI_Expiration=1,IF($A319&lt;VLOOKUP(K$5,NFI,5,0),1,0)*Data_NFI_t[[#This Row],[Sanitary Kit]],0)</f>
        <v>0</v>
      </c>
      <c r="AA319" s="112">
        <f>IF(NFI_Expiration=1,IF($A319&lt;VLOOKUP(L$5,NFI,5,0),1,0)*Data_NFI_t[[#This Row],[Mosquito net]],0)</f>
        <v>0</v>
      </c>
      <c r="AB319" s="112">
        <f>IF(NFI_Expiration=1,IF($A319&lt;VLOOKUP(M$5,NFI,5,0),1,0)*Data_NFI_t[[#This Row],[Tarpaulin]],0)</f>
        <v>0</v>
      </c>
      <c r="AC319" s="112">
        <f>IF(NFI_Expiration=1,IF($A319&lt;VLOOKUP(N$5,NFI,5,0),1,0)*Data_NFI_t[[#This Row],[Blanket]],0)</f>
        <v>0</v>
      </c>
      <c r="AD319" s="112">
        <f>IF(NFI_Expiration=1,IF($A319&lt;VLOOKUP(O$5,NFI,5,0),1,0)*Data_NFI_t[[#This Row],[Kitchen Set]],0)</f>
        <v>0</v>
      </c>
      <c r="AE319" s="112">
        <f>IF(NFI_Expiration=1,IF($A319&lt;VLOOKUP(P$5,NFI,5,0),1,0)*Data_NFI_t[[#This Row],[Complementary Kit]],0)</f>
        <v>0</v>
      </c>
      <c r="AF319" s="112">
        <f>IF(NFI_Expiration=1,IF($A319&lt;VLOOKUP(Q$5,NFI,5,0),1,0)*Data_NFI_t[[#This Row],[Plastic Bucket]],0)</f>
        <v>0</v>
      </c>
      <c r="AG319" s="112">
        <f>IF(NFI_Expiration=1,IF($A319&lt;VLOOKUP(R$5,NFI,5,0),1,0)*Data_NFI_t[[#This Row],[Jerry Can]],0)</f>
        <v>0</v>
      </c>
      <c r="AH319" s="131">
        <f>IF(NFI_Expiration=1,IF($A319&lt;VLOOKUP(S$5,NFI,5,0),1,0)*Data_NFI_t[[#This Row],[Plastic Mat]],0)*IF(Data_NFI_t[[#This Row],[Distribution Date]]&gt;"01-06-2015",1,2.5)</f>
        <v>0</v>
      </c>
      <c r="AI319" s="901">
        <f>IF(NFI_Expiration=1,IF($A319&lt;VLOOKUP(T$5,NFI,5,0),1,0)*Data_NFI_t[[#This Row],[Adult Clothes]],0)</f>
        <v>0</v>
      </c>
      <c r="AJ319" s="131">
        <f>IF(NFI_Expiration=1,IF($A319&lt;VLOOKUP(U$5,NFI,5,0),1,0)*Data_NFI_t[[#This Row],[Children Clothes]],0)</f>
        <v>0</v>
      </c>
      <c r="AK319" s="131">
        <f>IF(NFI_Expiration=1,IF($A319&lt;VLOOKUP(V$5,NFI,5,0),1,0)*Data_NFI_t[[#This Row],[Sewing Kit]],0)</f>
        <v>0</v>
      </c>
      <c r="AL319" s="901">
        <f>IF(NFI_Expiration=1,IF($A319&lt;VLOOKUP(V$5,NFI,5,0),1,0)*Data_NFI_t[[#This Row],[Solar Lantern]],0)</f>
        <v>0</v>
      </c>
      <c r="AM319" s="131" t="str">
        <f ca="1">IFERROR(OFFSET(Camp_List[P_Code],MATCH(Data_NFI_t[[#This Row],[Camp Name]],Camp_List[Camp Name],0)-1,0,1,1),"")</f>
        <v>MMR012CMP021</v>
      </c>
      <c r="AN319" s="513" t="str">
        <f ca="1">IFERROR(OFFSET(Camp_List[Status],MATCH(Data_NFI_t[[#This Row],[Camp Name]],Camp_List[Camp Name],0)-1,0,1,1),"")</f>
        <v>Returned</v>
      </c>
      <c r="AO319" s="131"/>
    </row>
    <row r="320" spans="1:41" s="90" customFormat="1" ht="19.5" customHeight="1" x14ac:dyDescent="0.25">
      <c r="A320" s="242">
        <f t="shared" si="6"/>
        <v>53.2</v>
      </c>
      <c r="B320" s="242">
        <f>YEAR(Data_NFI_t[[#This Row],[Distribution Date]])</f>
        <v>2012</v>
      </c>
      <c r="C320" s="913">
        <v>41260</v>
      </c>
      <c r="D320" s="489" t="s">
        <v>285</v>
      </c>
      <c r="E320" s="488"/>
      <c r="F320" s="489" t="s">
        <v>7</v>
      </c>
      <c r="G320" s="790" t="s">
        <v>866</v>
      </c>
      <c r="H320" s="790" t="s">
        <v>38</v>
      </c>
      <c r="I320" s="790"/>
      <c r="J320" s="51"/>
      <c r="K320" s="51"/>
      <c r="L320" s="51">
        <v>632</v>
      </c>
      <c r="M320" s="51"/>
      <c r="N320" s="51">
        <v>632</v>
      </c>
      <c r="O320" s="51"/>
      <c r="P320" s="51"/>
      <c r="Q320" s="51"/>
      <c r="R320" s="511"/>
      <c r="S320" s="51"/>
      <c r="T320" s="51"/>
      <c r="U320" s="51"/>
      <c r="V320" s="51"/>
      <c r="W320" s="51"/>
      <c r="X320" s="131">
        <f>IF(NFI_Expiration=1,IF($A320&lt;VLOOKUP(I$5,NFI,5,0),1,0)*Data_NFI_t[[#This Row],[Hygiene Kit]],0)</f>
        <v>0</v>
      </c>
      <c r="Y320" s="131">
        <f>IF(NFI_Expiration=1,IF($A320&lt;VLOOKUP(J$5,NFI,5,0),1,0)*Data_NFI_t[[#This Row],[NFI Core Kit]],0)</f>
        <v>0</v>
      </c>
      <c r="Z320" s="112">
        <f>IF(NFI_Expiration=1,IF($A320&lt;VLOOKUP(K$5,NFI,5,0),1,0)*Data_NFI_t[[#This Row],[Sanitary Kit]],0)</f>
        <v>0</v>
      </c>
      <c r="AA320" s="112">
        <f>IF(NFI_Expiration=1,IF($A320&lt;VLOOKUP(L$5,NFI,5,0),1,0)*Data_NFI_t[[#This Row],[Mosquito net]],0)</f>
        <v>0</v>
      </c>
      <c r="AB320" s="112">
        <f>IF(NFI_Expiration=1,IF($A320&lt;VLOOKUP(M$5,NFI,5,0),1,0)*Data_NFI_t[[#This Row],[Tarpaulin]],0)</f>
        <v>0</v>
      </c>
      <c r="AC320" s="112">
        <f>IF(NFI_Expiration=1,IF($A320&lt;VLOOKUP(N$5,NFI,5,0),1,0)*Data_NFI_t[[#This Row],[Blanket]],0)</f>
        <v>0</v>
      </c>
      <c r="AD320" s="112">
        <f>IF(NFI_Expiration=1,IF($A320&lt;VLOOKUP(O$5,NFI,5,0),1,0)*Data_NFI_t[[#This Row],[Kitchen Set]],0)</f>
        <v>0</v>
      </c>
      <c r="AE320" s="112">
        <f>IF(NFI_Expiration=1,IF($A320&lt;VLOOKUP(P$5,NFI,5,0),1,0)*Data_NFI_t[[#This Row],[Complementary Kit]],0)</f>
        <v>0</v>
      </c>
      <c r="AF320" s="112">
        <f>IF(NFI_Expiration=1,IF($A320&lt;VLOOKUP(Q$5,NFI,5,0),1,0)*Data_NFI_t[[#This Row],[Plastic Bucket]],0)</f>
        <v>0</v>
      </c>
      <c r="AG320" s="112">
        <f>IF(NFI_Expiration=1,IF($A320&lt;VLOOKUP(R$5,NFI,5,0),1,0)*Data_NFI_t[[#This Row],[Jerry Can]],0)</f>
        <v>0</v>
      </c>
      <c r="AH320" s="131">
        <f>IF(NFI_Expiration=1,IF($A320&lt;VLOOKUP(S$5,NFI,5,0),1,0)*Data_NFI_t[[#This Row],[Plastic Mat]],0)*IF(Data_NFI_t[[#This Row],[Distribution Date]]&gt;"01-06-2015",1,2.5)</f>
        <v>0</v>
      </c>
      <c r="AI320" s="901">
        <f>IF(NFI_Expiration=1,IF($A320&lt;VLOOKUP(T$5,NFI,5,0),1,0)*Data_NFI_t[[#This Row],[Adult Clothes]],0)</f>
        <v>0</v>
      </c>
      <c r="AJ320" s="131">
        <f>IF(NFI_Expiration=1,IF($A320&lt;VLOOKUP(U$5,NFI,5,0),1,0)*Data_NFI_t[[#This Row],[Children Clothes]],0)</f>
        <v>0</v>
      </c>
      <c r="AK320" s="131">
        <f>IF(NFI_Expiration=1,IF($A320&lt;VLOOKUP(V$5,NFI,5,0),1,0)*Data_NFI_t[[#This Row],[Sewing Kit]],0)</f>
        <v>0</v>
      </c>
      <c r="AL320" s="901">
        <f>IF(NFI_Expiration=1,IF($A320&lt;VLOOKUP(V$5,NFI,5,0),1,0)*Data_NFI_t[[#This Row],[Solar Lantern]],0)</f>
        <v>0</v>
      </c>
      <c r="AM320" s="131" t="str">
        <f ca="1">IFERROR(OFFSET(Camp_List[P_Code],MATCH(Data_NFI_t[[#This Row],[Camp Name]],Camp_List[Camp Name],0)-1,0,1,1),"")</f>
        <v>MMR012CMP014</v>
      </c>
      <c r="AN320" s="513" t="str">
        <f ca="1">IFERROR(OFFSET(Camp_List[Status],MATCH(Data_NFI_t[[#This Row],[Camp Name]],Camp_List[Camp Name],0)-1,0,1,1),"")</f>
        <v>Open</v>
      </c>
      <c r="AO320" s="131"/>
    </row>
    <row r="321" spans="1:41" s="90" customFormat="1" ht="19.5" customHeight="1" x14ac:dyDescent="0.25">
      <c r="A321" s="242">
        <f t="shared" si="6"/>
        <v>53.2</v>
      </c>
      <c r="B321" s="242">
        <f>YEAR(Data_NFI_t[[#This Row],[Distribution Date]])</f>
        <v>2012</v>
      </c>
      <c r="C321" s="913">
        <v>41260</v>
      </c>
      <c r="D321" s="489" t="s">
        <v>285</v>
      </c>
      <c r="E321" s="488"/>
      <c r="F321" s="489" t="s">
        <v>7</v>
      </c>
      <c r="G321" s="790" t="s">
        <v>11</v>
      </c>
      <c r="H321" s="790" t="s">
        <v>26</v>
      </c>
      <c r="I321" s="790"/>
      <c r="J321" s="51"/>
      <c r="K321" s="51"/>
      <c r="L321" s="51">
        <v>406</v>
      </c>
      <c r="M321" s="51"/>
      <c r="N321" s="51"/>
      <c r="O321" s="51"/>
      <c r="P321" s="51"/>
      <c r="Q321" s="51"/>
      <c r="R321" s="511"/>
      <c r="S321" s="51"/>
      <c r="T321" s="51"/>
      <c r="U321" s="51"/>
      <c r="V321" s="51"/>
      <c r="W321" s="51"/>
      <c r="X321" s="131">
        <f>IF(NFI_Expiration=1,IF($A321&lt;VLOOKUP(I$5,NFI,5,0),1,0)*Data_NFI_t[[#This Row],[Hygiene Kit]],0)</f>
        <v>0</v>
      </c>
      <c r="Y321" s="131">
        <f>IF(NFI_Expiration=1,IF($A321&lt;VLOOKUP(J$5,NFI,5,0),1,0)*Data_NFI_t[[#This Row],[NFI Core Kit]],0)</f>
        <v>0</v>
      </c>
      <c r="Z321" s="112">
        <f>IF(NFI_Expiration=1,IF($A321&lt;VLOOKUP(K$5,NFI,5,0),1,0)*Data_NFI_t[[#This Row],[Sanitary Kit]],0)</f>
        <v>0</v>
      </c>
      <c r="AA321" s="112">
        <f>IF(NFI_Expiration=1,IF($A321&lt;VLOOKUP(L$5,NFI,5,0),1,0)*Data_NFI_t[[#This Row],[Mosquito net]],0)</f>
        <v>0</v>
      </c>
      <c r="AB321" s="112">
        <f>IF(NFI_Expiration=1,IF($A321&lt;VLOOKUP(M$5,NFI,5,0),1,0)*Data_NFI_t[[#This Row],[Tarpaulin]],0)</f>
        <v>0</v>
      </c>
      <c r="AC321" s="112">
        <f>IF(NFI_Expiration=1,IF($A321&lt;VLOOKUP(N$5,NFI,5,0),1,0)*Data_NFI_t[[#This Row],[Blanket]],0)</f>
        <v>0</v>
      </c>
      <c r="AD321" s="112">
        <f>IF(NFI_Expiration=1,IF($A321&lt;VLOOKUP(O$5,NFI,5,0),1,0)*Data_NFI_t[[#This Row],[Kitchen Set]],0)</f>
        <v>0</v>
      </c>
      <c r="AE321" s="112">
        <f>IF(NFI_Expiration=1,IF($A321&lt;VLOOKUP(P$5,NFI,5,0),1,0)*Data_NFI_t[[#This Row],[Complementary Kit]],0)</f>
        <v>0</v>
      </c>
      <c r="AF321" s="112">
        <f>IF(NFI_Expiration=1,IF($A321&lt;VLOOKUP(Q$5,NFI,5,0),1,0)*Data_NFI_t[[#This Row],[Plastic Bucket]],0)</f>
        <v>0</v>
      </c>
      <c r="AG321" s="112">
        <f>IF(NFI_Expiration=1,IF($A321&lt;VLOOKUP(R$5,NFI,5,0),1,0)*Data_NFI_t[[#This Row],[Jerry Can]],0)</f>
        <v>0</v>
      </c>
      <c r="AH321" s="131">
        <f>IF(NFI_Expiration=1,IF($A321&lt;VLOOKUP(S$5,NFI,5,0),1,0)*Data_NFI_t[[#This Row],[Plastic Mat]],0)*IF(Data_NFI_t[[#This Row],[Distribution Date]]&gt;"01-06-2015",1,2.5)</f>
        <v>0</v>
      </c>
      <c r="AI321" s="901">
        <f>IF(NFI_Expiration=1,IF($A321&lt;VLOOKUP(T$5,NFI,5,0),1,0)*Data_NFI_t[[#This Row],[Adult Clothes]],0)</f>
        <v>0</v>
      </c>
      <c r="AJ321" s="131">
        <f>IF(NFI_Expiration=1,IF($A321&lt;VLOOKUP(U$5,NFI,5,0),1,0)*Data_NFI_t[[#This Row],[Children Clothes]],0)</f>
        <v>0</v>
      </c>
      <c r="AK321" s="131">
        <f>IF(NFI_Expiration=1,IF($A321&lt;VLOOKUP(V$5,NFI,5,0),1,0)*Data_NFI_t[[#This Row],[Sewing Kit]],0)</f>
        <v>0</v>
      </c>
      <c r="AL321" s="901">
        <f>IF(NFI_Expiration=1,IF($A321&lt;VLOOKUP(V$5,NFI,5,0),1,0)*Data_NFI_t[[#This Row],[Solar Lantern]],0)</f>
        <v>0</v>
      </c>
      <c r="AM321" s="131" t="str">
        <f ca="1">IFERROR(OFFSET(Camp_List[P_Code],MATCH(Data_NFI_t[[#This Row],[Camp Name]],Camp_List[Camp Name],0)-1,0,1,1),"")</f>
        <v>MMR012CMP002</v>
      </c>
      <c r="AN321" s="513" t="str">
        <f ca="1">IFERROR(OFFSET(Camp_List[Status],MATCH(Data_NFI_t[[#This Row],[Camp Name]],Camp_List[Camp Name],0)-1,0,1,1),"")</f>
        <v>Returned</v>
      </c>
      <c r="AO321" s="131"/>
    </row>
    <row r="322" spans="1:41" s="90" customFormat="1" ht="19.5" customHeight="1" x14ac:dyDescent="0.25">
      <c r="A322" s="242">
        <f t="shared" si="6"/>
        <v>53.233333333333334</v>
      </c>
      <c r="B322" s="242">
        <f>YEAR(Data_NFI_t[[#This Row],[Distribution Date]])</f>
        <v>2012</v>
      </c>
      <c r="C322" s="913">
        <v>41259</v>
      </c>
      <c r="D322" s="489" t="s">
        <v>289</v>
      </c>
      <c r="E322" s="488" t="s">
        <v>285</v>
      </c>
      <c r="F322" s="489" t="s">
        <v>7</v>
      </c>
      <c r="G322" s="790" t="s">
        <v>19</v>
      </c>
      <c r="H322" s="790" t="s">
        <v>71</v>
      </c>
      <c r="I322" s="790"/>
      <c r="J322" s="51"/>
      <c r="K322" s="51"/>
      <c r="L322" s="51"/>
      <c r="M322" s="51"/>
      <c r="N322" s="51">
        <v>49</v>
      </c>
      <c r="O322" s="51"/>
      <c r="P322" s="51"/>
      <c r="Q322" s="51"/>
      <c r="R322" s="511"/>
      <c r="S322" s="51"/>
      <c r="T322" s="51"/>
      <c r="U322" s="51"/>
      <c r="V322" s="51"/>
      <c r="W322" s="51"/>
      <c r="X322" s="131">
        <f>IF(NFI_Expiration=1,IF($A322&lt;VLOOKUP(I$5,NFI,5,0),1,0)*Data_NFI_t[[#This Row],[Hygiene Kit]],0)</f>
        <v>0</v>
      </c>
      <c r="Y322" s="131">
        <f>IF(NFI_Expiration=1,IF($A322&lt;VLOOKUP(J$5,NFI,5,0),1,0)*Data_NFI_t[[#This Row],[NFI Core Kit]],0)</f>
        <v>0</v>
      </c>
      <c r="Z322" s="112">
        <f>IF(NFI_Expiration=1,IF($A322&lt;VLOOKUP(K$5,NFI,5,0),1,0)*Data_NFI_t[[#This Row],[Sanitary Kit]],0)</f>
        <v>0</v>
      </c>
      <c r="AA322" s="112">
        <f>IF(NFI_Expiration=1,IF($A322&lt;VLOOKUP(L$5,NFI,5,0),1,0)*Data_NFI_t[[#This Row],[Mosquito net]],0)</f>
        <v>0</v>
      </c>
      <c r="AB322" s="112">
        <f>IF(NFI_Expiration=1,IF($A322&lt;VLOOKUP(M$5,NFI,5,0),1,0)*Data_NFI_t[[#This Row],[Tarpaulin]],0)</f>
        <v>0</v>
      </c>
      <c r="AC322" s="112">
        <f>IF(NFI_Expiration=1,IF($A322&lt;VLOOKUP(N$5,NFI,5,0),1,0)*Data_NFI_t[[#This Row],[Blanket]],0)</f>
        <v>0</v>
      </c>
      <c r="AD322" s="112">
        <f>IF(NFI_Expiration=1,IF($A322&lt;VLOOKUP(O$5,NFI,5,0),1,0)*Data_NFI_t[[#This Row],[Kitchen Set]],0)</f>
        <v>0</v>
      </c>
      <c r="AE322" s="112">
        <f>IF(NFI_Expiration=1,IF($A322&lt;VLOOKUP(P$5,NFI,5,0),1,0)*Data_NFI_t[[#This Row],[Complementary Kit]],0)</f>
        <v>0</v>
      </c>
      <c r="AF322" s="112">
        <f>IF(NFI_Expiration=1,IF($A322&lt;VLOOKUP(Q$5,NFI,5,0),1,0)*Data_NFI_t[[#This Row],[Plastic Bucket]],0)</f>
        <v>0</v>
      </c>
      <c r="AG322" s="112">
        <f>IF(NFI_Expiration=1,IF($A322&lt;VLOOKUP(R$5,NFI,5,0),1,0)*Data_NFI_t[[#This Row],[Jerry Can]],0)</f>
        <v>0</v>
      </c>
      <c r="AH322" s="131">
        <f>IF(NFI_Expiration=1,IF($A322&lt;VLOOKUP(S$5,NFI,5,0),1,0)*Data_NFI_t[[#This Row],[Plastic Mat]],0)*IF(Data_NFI_t[[#This Row],[Distribution Date]]&gt;"01-06-2015",1,2.5)</f>
        <v>0</v>
      </c>
      <c r="AI322" s="901">
        <f>IF(NFI_Expiration=1,IF($A322&lt;VLOOKUP(T$5,NFI,5,0),1,0)*Data_NFI_t[[#This Row],[Adult Clothes]],0)</f>
        <v>0</v>
      </c>
      <c r="AJ322" s="131">
        <f>IF(NFI_Expiration=1,IF($A322&lt;VLOOKUP(U$5,NFI,5,0),1,0)*Data_NFI_t[[#This Row],[Children Clothes]],0)</f>
        <v>0</v>
      </c>
      <c r="AK322" s="131">
        <f>IF(NFI_Expiration=1,IF($A322&lt;VLOOKUP(V$5,NFI,5,0),1,0)*Data_NFI_t[[#This Row],[Sewing Kit]],0)</f>
        <v>0</v>
      </c>
      <c r="AL322" s="901">
        <f>IF(NFI_Expiration=1,IF($A322&lt;VLOOKUP(V$5,NFI,5,0),1,0)*Data_NFI_t[[#This Row],[Solar Lantern]],0)</f>
        <v>0</v>
      </c>
      <c r="AM322" s="131" t="str">
        <f ca="1">IFERROR(OFFSET(Camp_List[P_Code],MATCH(Data_NFI_t[[#This Row],[Camp Name]],Camp_List[Camp Name],0)-1,0,1,1),"")</f>
        <v>MMR012CMP049</v>
      </c>
      <c r="AN322" s="513" t="str">
        <f ca="1">IFERROR(OFFSET(Camp_List[Status],MATCH(Data_NFI_t[[#This Row],[Camp Name]],Camp_List[Camp Name],0)-1,0,1,1),"")</f>
        <v>Close</v>
      </c>
      <c r="AO322" s="131"/>
    </row>
    <row r="323" spans="1:41" s="90" customFormat="1" ht="19.5" customHeight="1" x14ac:dyDescent="0.25">
      <c r="A323" s="242">
        <f t="shared" si="6"/>
        <v>53.233333333333334</v>
      </c>
      <c r="B323" s="242">
        <f>YEAR(Data_NFI_t[[#This Row],[Distribution Date]])</f>
        <v>2012</v>
      </c>
      <c r="C323" s="913">
        <v>41259</v>
      </c>
      <c r="D323" s="489" t="s">
        <v>289</v>
      </c>
      <c r="E323" s="488" t="s">
        <v>285</v>
      </c>
      <c r="F323" s="489" t="s">
        <v>7</v>
      </c>
      <c r="G323" s="790" t="s">
        <v>19</v>
      </c>
      <c r="H323" s="790" t="s">
        <v>71</v>
      </c>
      <c r="I323" s="790"/>
      <c r="J323" s="51"/>
      <c r="K323" s="51"/>
      <c r="L323" s="51"/>
      <c r="M323" s="51"/>
      <c r="N323" s="51">
        <v>11</v>
      </c>
      <c r="O323" s="51"/>
      <c r="P323" s="51"/>
      <c r="Q323" s="51"/>
      <c r="R323" s="511"/>
      <c r="S323" s="51"/>
      <c r="T323" s="51"/>
      <c r="U323" s="51"/>
      <c r="V323" s="51"/>
      <c r="W323" s="51"/>
      <c r="X323" s="131">
        <f>IF(NFI_Expiration=1,IF($A323&lt;VLOOKUP(I$5,NFI,5,0),1,0)*Data_NFI_t[[#This Row],[Hygiene Kit]],0)</f>
        <v>0</v>
      </c>
      <c r="Y323" s="131">
        <f>IF(NFI_Expiration=1,IF($A323&lt;VLOOKUP(J$5,NFI,5,0),1,0)*Data_NFI_t[[#This Row],[NFI Core Kit]],0)</f>
        <v>0</v>
      </c>
      <c r="Z323" s="112">
        <f>IF(NFI_Expiration=1,IF($A323&lt;VLOOKUP(K$5,NFI,5,0),1,0)*Data_NFI_t[[#This Row],[Sanitary Kit]],0)</f>
        <v>0</v>
      </c>
      <c r="AA323" s="112">
        <f>IF(NFI_Expiration=1,IF($A323&lt;VLOOKUP(L$5,NFI,5,0),1,0)*Data_NFI_t[[#This Row],[Mosquito net]],0)</f>
        <v>0</v>
      </c>
      <c r="AB323" s="112">
        <f>IF(NFI_Expiration=1,IF($A323&lt;VLOOKUP(M$5,NFI,5,0),1,0)*Data_NFI_t[[#This Row],[Tarpaulin]],0)</f>
        <v>0</v>
      </c>
      <c r="AC323" s="112">
        <f>IF(NFI_Expiration=1,IF($A323&lt;VLOOKUP(N$5,NFI,5,0),1,0)*Data_NFI_t[[#This Row],[Blanket]],0)</f>
        <v>0</v>
      </c>
      <c r="AD323" s="112">
        <f>IF(NFI_Expiration=1,IF($A323&lt;VLOOKUP(O$5,NFI,5,0),1,0)*Data_NFI_t[[#This Row],[Kitchen Set]],0)</f>
        <v>0</v>
      </c>
      <c r="AE323" s="112">
        <f>IF(NFI_Expiration=1,IF($A323&lt;VLOOKUP(P$5,NFI,5,0),1,0)*Data_NFI_t[[#This Row],[Complementary Kit]],0)</f>
        <v>0</v>
      </c>
      <c r="AF323" s="112">
        <f>IF(NFI_Expiration=1,IF($A323&lt;VLOOKUP(Q$5,NFI,5,0),1,0)*Data_NFI_t[[#This Row],[Plastic Bucket]],0)</f>
        <v>0</v>
      </c>
      <c r="AG323" s="112">
        <f>IF(NFI_Expiration=1,IF($A323&lt;VLOOKUP(R$5,NFI,5,0),1,0)*Data_NFI_t[[#This Row],[Jerry Can]],0)</f>
        <v>0</v>
      </c>
      <c r="AH323" s="131">
        <f>IF(NFI_Expiration=1,IF($A323&lt;VLOOKUP(S$5,NFI,5,0),1,0)*Data_NFI_t[[#This Row],[Plastic Mat]],0)*IF(Data_NFI_t[[#This Row],[Distribution Date]]&gt;"01-06-2015",1,2.5)</f>
        <v>0</v>
      </c>
      <c r="AI323" s="901">
        <f>IF(NFI_Expiration=1,IF($A323&lt;VLOOKUP(T$5,NFI,5,0),1,0)*Data_NFI_t[[#This Row],[Adult Clothes]],0)</f>
        <v>0</v>
      </c>
      <c r="AJ323" s="131">
        <f>IF(NFI_Expiration=1,IF($A323&lt;VLOOKUP(U$5,NFI,5,0),1,0)*Data_NFI_t[[#This Row],[Children Clothes]],0)</f>
        <v>0</v>
      </c>
      <c r="AK323" s="131">
        <f>IF(NFI_Expiration=1,IF($A323&lt;VLOOKUP(V$5,NFI,5,0),1,0)*Data_NFI_t[[#This Row],[Sewing Kit]],0)</f>
        <v>0</v>
      </c>
      <c r="AL323" s="901">
        <f>IF(NFI_Expiration=1,IF($A323&lt;VLOOKUP(V$5,NFI,5,0),1,0)*Data_NFI_t[[#This Row],[Solar Lantern]],0)</f>
        <v>0</v>
      </c>
      <c r="AM323" s="131" t="str">
        <f ca="1">IFERROR(OFFSET(Camp_List[P_Code],MATCH(Data_NFI_t[[#This Row],[Camp Name]],Camp_List[Camp Name],0)-1,0,1,1),"")</f>
        <v>MMR012CMP049</v>
      </c>
      <c r="AN323" s="513" t="str">
        <f ca="1">IFERROR(OFFSET(Camp_List[Status],MATCH(Data_NFI_t[[#This Row],[Camp Name]],Camp_List[Camp Name],0)-1,0,1,1),"")</f>
        <v>Close</v>
      </c>
      <c r="AO323" s="131"/>
    </row>
    <row r="324" spans="1:41" s="90" customFormat="1" ht="19.5" customHeight="1" x14ac:dyDescent="0.25">
      <c r="A324" s="242">
        <f t="shared" si="6"/>
        <v>53.266666666666666</v>
      </c>
      <c r="B324" s="242">
        <f>YEAR(Data_NFI_t[[#This Row],[Distribution Date]])</f>
        <v>2012</v>
      </c>
      <c r="C324" s="913">
        <v>41258</v>
      </c>
      <c r="D324" s="489" t="s">
        <v>285</v>
      </c>
      <c r="E324" s="488"/>
      <c r="F324" s="489" t="s">
        <v>7</v>
      </c>
      <c r="G324" s="790" t="s">
        <v>11</v>
      </c>
      <c r="H324" s="790" t="s">
        <v>30</v>
      </c>
      <c r="I324" s="790"/>
      <c r="J324" s="51"/>
      <c r="K324" s="51"/>
      <c r="L324" s="51">
        <v>172</v>
      </c>
      <c r="M324" s="51"/>
      <c r="N324" s="51"/>
      <c r="O324" s="51"/>
      <c r="P324" s="51"/>
      <c r="Q324" s="51"/>
      <c r="R324" s="511"/>
      <c r="S324" s="51"/>
      <c r="T324" s="51"/>
      <c r="U324" s="51"/>
      <c r="V324" s="51"/>
      <c r="W324" s="51"/>
      <c r="X324" s="131">
        <f>IF(NFI_Expiration=1,IF($A324&lt;VLOOKUP(I$5,NFI,5,0),1,0)*Data_NFI_t[[#This Row],[Hygiene Kit]],0)</f>
        <v>0</v>
      </c>
      <c r="Y324" s="131">
        <f>IF(NFI_Expiration=1,IF($A324&lt;VLOOKUP(J$5,NFI,5,0),1,0)*Data_NFI_t[[#This Row],[NFI Core Kit]],0)</f>
        <v>0</v>
      </c>
      <c r="Z324" s="112">
        <f>IF(NFI_Expiration=1,IF($A324&lt;VLOOKUP(K$5,NFI,5,0),1,0)*Data_NFI_t[[#This Row],[Sanitary Kit]],0)</f>
        <v>0</v>
      </c>
      <c r="AA324" s="112">
        <f>IF(NFI_Expiration=1,IF($A324&lt;VLOOKUP(L$5,NFI,5,0),1,0)*Data_NFI_t[[#This Row],[Mosquito net]],0)</f>
        <v>0</v>
      </c>
      <c r="AB324" s="112">
        <f>IF(NFI_Expiration=1,IF($A324&lt;VLOOKUP(M$5,NFI,5,0),1,0)*Data_NFI_t[[#This Row],[Tarpaulin]],0)</f>
        <v>0</v>
      </c>
      <c r="AC324" s="112">
        <f>IF(NFI_Expiration=1,IF($A324&lt;VLOOKUP(N$5,NFI,5,0),1,0)*Data_NFI_t[[#This Row],[Blanket]],0)</f>
        <v>0</v>
      </c>
      <c r="AD324" s="112">
        <f>IF(NFI_Expiration=1,IF($A324&lt;VLOOKUP(O$5,NFI,5,0),1,0)*Data_NFI_t[[#This Row],[Kitchen Set]],0)</f>
        <v>0</v>
      </c>
      <c r="AE324" s="112">
        <f>IF(NFI_Expiration=1,IF($A324&lt;VLOOKUP(P$5,NFI,5,0),1,0)*Data_NFI_t[[#This Row],[Complementary Kit]],0)</f>
        <v>0</v>
      </c>
      <c r="AF324" s="112">
        <f>IF(NFI_Expiration=1,IF($A324&lt;VLOOKUP(Q$5,NFI,5,0),1,0)*Data_NFI_t[[#This Row],[Plastic Bucket]],0)</f>
        <v>0</v>
      </c>
      <c r="AG324" s="112">
        <f>IF(NFI_Expiration=1,IF($A324&lt;VLOOKUP(R$5,NFI,5,0),1,0)*Data_NFI_t[[#This Row],[Jerry Can]],0)</f>
        <v>0</v>
      </c>
      <c r="AH324" s="131">
        <f>IF(NFI_Expiration=1,IF($A324&lt;VLOOKUP(S$5,NFI,5,0),1,0)*Data_NFI_t[[#This Row],[Plastic Mat]],0)*IF(Data_NFI_t[[#This Row],[Distribution Date]]&gt;"01-06-2015",1,2.5)</f>
        <v>0</v>
      </c>
      <c r="AI324" s="901">
        <f>IF(NFI_Expiration=1,IF($A324&lt;VLOOKUP(T$5,NFI,5,0),1,0)*Data_NFI_t[[#This Row],[Adult Clothes]],0)</f>
        <v>0</v>
      </c>
      <c r="AJ324" s="131">
        <f>IF(NFI_Expiration=1,IF($A324&lt;VLOOKUP(U$5,NFI,5,0),1,0)*Data_NFI_t[[#This Row],[Children Clothes]],0)</f>
        <v>0</v>
      </c>
      <c r="AK324" s="131">
        <f>IF(NFI_Expiration=1,IF($A324&lt;VLOOKUP(V$5,NFI,5,0),1,0)*Data_NFI_t[[#This Row],[Sewing Kit]],0)</f>
        <v>0</v>
      </c>
      <c r="AL324" s="901">
        <f>IF(NFI_Expiration=1,IF($A324&lt;VLOOKUP(V$5,NFI,5,0),1,0)*Data_NFI_t[[#This Row],[Solar Lantern]],0)</f>
        <v>0</v>
      </c>
      <c r="AM324" s="131" t="str">
        <f ca="1">IFERROR(OFFSET(Camp_List[P_Code],MATCH(Data_NFI_t[[#This Row],[Camp Name]],Camp_List[Camp Name],0)-1,0,1,1),"")</f>
        <v>MMR012CMP006</v>
      </c>
      <c r="AN324" s="513" t="str">
        <f ca="1">IFERROR(OFFSET(Camp_List[Status],MATCH(Data_NFI_t[[#This Row],[Camp Name]],Camp_List[Camp Name],0)-1,0,1,1),"")</f>
        <v>Returned</v>
      </c>
      <c r="AO324" s="131"/>
    </row>
    <row r="325" spans="1:41" s="90" customFormat="1" ht="19.5" customHeight="1" x14ac:dyDescent="0.25">
      <c r="A325" s="242">
        <f t="shared" si="6"/>
        <v>53.266666666666666</v>
      </c>
      <c r="B325" s="242">
        <f>YEAR(Data_NFI_t[[#This Row],[Distribution Date]])</f>
        <v>2012</v>
      </c>
      <c r="C325" s="913">
        <v>41258</v>
      </c>
      <c r="D325" s="489" t="s">
        <v>285</v>
      </c>
      <c r="E325" s="488"/>
      <c r="F325" s="489" t="s">
        <v>7</v>
      </c>
      <c r="G325" s="790" t="s">
        <v>11</v>
      </c>
      <c r="H325" s="790" t="s">
        <v>28</v>
      </c>
      <c r="I325" s="790"/>
      <c r="J325" s="51"/>
      <c r="K325" s="51"/>
      <c r="L325" s="51"/>
      <c r="M325" s="51"/>
      <c r="N325" s="51">
        <v>156</v>
      </c>
      <c r="O325" s="51"/>
      <c r="P325" s="51"/>
      <c r="Q325" s="51"/>
      <c r="R325" s="511"/>
      <c r="S325" s="51"/>
      <c r="T325" s="51"/>
      <c r="U325" s="51"/>
      <c r="V325" s="51"/>
      <c r="W325" s="51"/>
      <c r="X325" s="131">
        <f>IF(NFI_Expiration=1,IF($A325&lt;VLOOKUP(I$5,NFI,5,0),1,0)*Data_NFI_t[[#This Row],[Hygiene Kit]],0)</f>
        <v>0</v>
      </c>
      <c r="Y325" s="131">
        <f>IF(NFI_Expiration=1,IF($A325&lt;VLOOKUP(J$5,NFI,5,0),1,0)*Data_NFI_t[[#This Row],[NFI Core Kit]],0)</f>
        <v>0</v>
      </c>
      <c r="Z325" s="112">
        <f>IF(NFI_Expiration=1,IF($A325&lt;VLOOKUP(K$5,NFI,5,0),1,0)*Data_NFI_t[[#This Row],[Sanitary Kit]],0)</f>
        <v>0</v>
      </c>
      <c r="AA325" s="112">
        <f>IF(NFI_Expiration=1,IF($A325&lt;VLOOKUP(L$5,NFI,5,0),1,0)*Data_NFI_t[[#This Row],[Mosquito net]],0)</f>
        <v>0</v>
      </c>
      <c r="AB325" s="112">
        <f>IF(NFI_Expiration=1,IF($A325&lt;VLOOKUP(M$5,NFI,5,0),1,0)*Data_NFI_t[[#This Row],[Tarpaulin]],0)</f>
        <v>0</v>
      </c>
      <c r="AC325" s="112">
        <f>IF(NFI_Expiration=1,IF($A325&lt;VLOOKUP(N$5,NFI,5,0),1,0)*Data_NFI_t[[#This Row],[Blanket]],0)</f>
        <v>0</v>
      </c>
      <c r="AD325" s="112">
        <f>IF(NFI_Expiration=1,IF($A325&lt;VLOOKUP(O$5,NFI,5,0),1,0)*Data_NFI_t[[#This Row],[Kitchen Set]],0)</f>
        <v>0</v>
      </c>
      <c r="AE325" s="112">
        <f>IF(NFI_Expiration=1,IF($A325&lt;VLOOKUP(P$5,NFI,5,0),1,0)*Data_NFI_t[[#This Row],[Complementary Kit]],0)</f>
        <v>0</v>
      </c>
      <c r="AF325" s="112">
        <f>IF(NFI_Expiration=1,IF($A325&lt;VLOOKUP(Q$5,NFI,5,0),1,0)*Data_NFI_t[[#This Row],[Plastic Bucket]],0)</f>
        <v>0</v>
      </c>
      <c r="AG325" s="112">
        <f>IF(NFI_Expiration=1,IF($A325&lt;VLOOKUP(R$5,NFI,5,0),1,0)*Data_NFI_t[[#This Row],[Jerry Can]],0)</f>
        <v>0</v>
      </c>
      <c r="AH325" s="131">
        <f>IF(NFI_Expiration=1,IF($A325&lt;VLOOKUP(S$5,NFI,5,0),1,0)*Data_NFI_t[[#This Row],[Plastic Mat]],0)*IF(Data_NFI_t[[#This Row],[Distribution Date]]&gt;"01-06-2015",1,2.5)</f>
        <v>0</v>
      </c>
      <c r="AI325" s="901">
        <f>IF(NFI_Expiration=1,IF($A325&lt;VLOOKUP(T$5,NFI,5,0),1,0)*Data_NFI_t[[#This Row],[Adult Clothes]],0)</f>
        <v>0</v>
      </c>
      <c r="AJ325" s="131">
        <f>IF(NFI_Expiration=1,IF($A325&lt;VLOOKUP(U$5,NFI,5,0),1,0)*Data_NFI_t[[#This Row],[Children Clothes]],0)</f>
        <v>0</v>
      </c>
      <c r="AK325" s="131">
        <f>IF(NFI_Expiration=1,IF($A325&lt;VLOOKUP(V$5,NFI,5,0),1,0)*Data_NFI_t[[#This Row],[Sewing Kit]],0)</f>
        <v>0</v>
      </c>
      <c r="AL325" s="901">
        <f>IF(NFI_Expiration=1,IF($A325&lt;VLOOKUP(V$5,NFI,5,0),1,0)*Data_NFI_t[[#This Row],[Solar Lantern]],0)</f>
        <v>0</v>
      </c>
      <c r="AM325" s="131" t="str">
        <f ca="1">IFERROR(OFFSET(Camp_List[P_Code],MATCH(Data_NFI_t[[#This Row],[Camp Name]],Camp_List[Camp Name],0)-1,0,1,1),"")</f>
        <v>MMR012CMP004</v>
      </c>
      <c r="AN325" s="513" t="str">
        <f ca="1">IFERROR(OFFSET(Camp_List[Status],MATCH(Data_NFI_t[[#This Row],[Camp Name]],Camp_List[Camp Name],0)-1,0,1,1),"")</f>
        <v>Close</v>
      </c>
      <c r="AO325" s="131"/>
    </row>
    <row r="326" spans="1:41" s="90" customFormat="1" ht="19.5" customHeight="1" x14ac:dyDescent="0.25">
      <c r="A326" s="242">
        <f t="shared" si="6"/>
        <v>53.266666666666666</v>
      </c>
      <c r="B326" s="242">
        <f>YEAR(Data_NFI_t[[#This Row],[Distribution Date]])</f>
        <v>2012</v>
      </c>
      <c r="C326" s="913">
        <v>41258</v>
      </c>
      <c r="D326" s="489" t="s">
        <v>285</v>
      </c>
      <c r="E326" s="488"/>
      <c r="F326" s="489" t="s">
        <v>7</v>
      </c>
      <c r="G326" s="790" t="s">
        <v>1002</v>
      </c>
      <c r="H326" s="790" t="s">
        <v>33</v>
      </c>
      <c r="I326" s="790"/>
      <c r="J326" s="51"/>
      <c r="K326" s="51"/>
      <c r="L326" s="51">
        <v>240</v>
      </c>
      <c r="M326" s="51"/>
      <c r="N326" s="51"/>
      <c r="O326" s="51"/>
      <c r="P326" s="51"/>
      <c r="Q326" s="51"/>
      <c r="R326" s="511"/>
      <c r="S326" s="51"/>
      <c r="T326" s="51"/>
      <c r="U326" s="51"/>
      <c r="V326" s="51"/>
      <c r="W326" s="51"/>
      <c r="X326" s="131">
        <f>IF(NFI_Expiration=1,IF($A326&lt;VLOOKUP(I$5,NFI,5,0),1,0)*Data_NFI_t[[#This Row],[Hygiene Kit]],0)</f>
        <v>0</v>
      </c>
      <c r="Y326" s="131">
        <f>IF(NFI_Expiration=1,IF($A326&lt;VLOOKUP(J$5,NFI,5,0),1,0)*Data_NFI_t[[#This Row],[NFI Core Kit]],0)</f>
        <v>0</v>
      </c>
      <c r="Z326" s="112">
        <f>IF(NFI_Expiration=1,IF($A326&lt;VLOOKUP(K$5,NFI,5,0),1,0)*Data_NFI_t[[#This Row],[Sanitary Kit]],0)</f>
        <v>0</v>
      </c>
      <c r="AA326" s="112">
        <f>IF(NFI_Expiration=1,IF($A326&lt;VLOOKUP(L$5,NFI,5,0),1,0)*Data_NFI_t[[#This Row],[Mosquito net]],0)</f>
        <v>0</v>
      </c>
      <c r="AB326" s="112">
        <f>IF(NFI_Expiration=1,IF($A326&lt;VLOOKUP(M$5,NFI,5,0),1,0)*Data_NFI_t[[#This Row],[Tarpaulin]],0)</f>
        <v>0</v>
      </c>
      <c r="AC326" s="112">
        <f>IF(NFI_Expiration=1,IF($A326&lt;VLOOKUP(N$5,NFI,5,0),1,0)*Data_NFI_t[[#This Row],[Blanket]],0)</f>
        <v>0</v>
      </c>
      <c r="AD326" s="112">
        <f>IF(NFI_Expiration=1,IF($A326&lt;VLOOKUP(O$5,NFI,5,0),1,0)*Data_NFI_t[[#This Row],[Kitchen Set]],0)</f>
        <v>0</v>
      </c>
      <c r="AE326" s="112">
        <f>IF(NFI_Expiration=1,IF($A326&lt;VLOOKUP(P$5,NFI,5,0),1,0)*Data_NFI_t[[#This Row],[Complementary Kit]],0)</f>
        <v>0</v>
      </c>
      <c r="AF326" s="112">
        <f>IF(NFI_Expiration=1,IF($A326&lt;VLOOKUP(Q$5,NFI,5,0),1,0)*Data_NFI_t[[#This Row],[Plastic Bucket]],0)</f>
        <v>0</v>
      </c>
      <c r="AG326" s="112">
        <f>IF(NFI_Expiration=1,IF($A326&lt;VLOOKUP(R$5,NFI,5,0),1,0)*Data_NFI_t[[#This Row],[Jerry Can]],0)</f>
        <v>0</v>
      </c>
      <c r="AH326" s="131">
        <f>IF(NFI_Expiration=1,IF($A326&lt;VLOOKUP(S$5,NFI,5,0),1,0)*Data_NFI_t[[#This Row],[Plastic Mat]],0)*IF(Data_NFI_t[[#This Row],[Distribution Date]]&gt;"01-06-2015",1,2.5)</f>
        <v>0</v>
      </c>
      <c r="AI326" s="901">
        <f>IF(NFI_Expiration=1,IF($A326&lt;VLOOKUP(T$5,NFI,5,0),1,0)*Data_NFI_t[[#This Row],[Adult Clothes]],0)</f>
        <v>0</v>
      </c>
      <c r="AJ326" s="131">
        <f>IF(NFI_Expiration=1,IF($A326&lt;VLOOKUP(U$5,NFI,5,0),1,0)*Data_NFI_t[[#This Row],[Children Clothes]],0)</f>
        <v>0</v>
      </c>
      <c r="AK326" s="131">
        <f>IF(NFI_Expiration=1,IF($A326&lt;VLOOKUP(V$5,NFI,5,0),1,0)*Data_NFI_t[[#This Row],[Sewing Kit]],0)</f>
        <v>0</v>
      </c>
      <c r="AL326" s="901">
        <f>IF(NFI_Expiration=1,IF($A326&lt;VLOOKUP(V$5,NFI,5,0),1,0)*Data_NFI_t[[#This Row],[Solar Lantern]],0)</f>
        <v>0</v>
      </c>
      <c r="AM326" s="131" t="str">
        <f ca="1">IFERROR(OFFSET(Camp_List[P_Code],MATCH(Data_NFI_t[[#This Row],[Camp Name]],Camp_List[Camp Name],0)-1,0,1,1),"")</f>
        <v>MMR012CMP009</v>
      </c>
      <c r="AN326" s="513" t="str">
        <f ca="1">IFERROR(OFFSET(Camp_List[Status],MATCH(Data_NFI_t[[#This Row],[Camp Name]],Camp_List[Camp Name],0)-1,0,1,1),"")</f>
        <v>Returned</v>
      </c>
      <c r="AO326" s="131"/>
    </row>
    <row r="327" spans="1:41" s="90" customFormat="1" ht="19.5" customHeight="1" x14ac:dyDescent="0.25">
      <c r="A327" s="242">
        <f t="shared" si="6"/>
        <v>53.266666666666666</v>
      </c>
      <c r="B327" s="242">
        <f>YEAR(Data_NFI_t[[#This Row],[Distribution Date]])</f>
        <v>2012</v>
      </c>
      <c r="C327" s="913">
        <v>41258</v>
      </c>
      <c r="D327" s="489" t="s">
        <v>285</v>
      </c>
      <c r="E327" s="488"/>
      <c r="F327" s="489" t="s">
        <v>7</v>
      </c>
      <c r="G327" s="790" t="s">
        <v>11</v>
      </c>
      <c r="H327" s="790" t="s">
        <v>32</v>
      </c>
      <c r="I327" s="790"/>
      <c r="J327" s="51"/>
      <c r="K327" s="51"/>
      <c r="L327" s="51">
        <v>200</v>
      </c>
      <c r="M327" s="51"/>
      <c r="N327" s="51"/>
      <c r="O327" s="51"/>
      <c r="P327" s="51"/>
      <c r="Q327" s="51"/>
      <c r="R327" s="511"/>
      <c r="S327" s="51"/>
      <c r="T327" s="51"/>
      <c r="U327" s="51"/>
      <c r="V327" s="51"/>
      <c r="W327" s="51"/>
      <c r="X327" s="131">
        <f>IF(NFI_Expiration=1,IF($A327&lt;VLOOKUP(I$5,NFI,5,0),1,0)*Data_NFI_t[[#This Row],[Hygiene Kit]],0)</f>
        <v>0</v>
      </c>
      <c r="Y327" s="131">
        <f>IF(NFI_Expiration=1,IF($A327&lt;VLOOKUP(J$5,NFI,5,0),1,0)*Data_NFI_t[[#This Row],[NFI Core Kit]],0)</f>
        <v>0</v>
      </c>
      <c r="Z327" s="112">
        <f>IF(NFI_Expiration=1,IF($A327&lt;VLOOKUP(K$5,NFI,5,0),1,0)*Data_NFI_t[[#This Row],[Sanitary Kit]],0)</f>
        <v>0</v>
      </c>
      <c r="AA327" s="112">
        <f>IF(NFI_Expiration=1,IF($A327&lt;VLOOKUP(L$5,NFI,5,0),1,0)*Data_NFI_t[[#This Row],[Mosquito net]],0)</f>
        <v>0</v>
      </c>
      <c r="AB327" s="112">
        <f>IF(NFI_Expiration=1,IF($A327&lt;VLOOKUP(M$5,NFI,5,0),1,0)*Data_NFI_t[[#This Row],[Tarpaulin]],0)</f>
        <v>0</v>
      </c>
      <c r="AC327" s="112">
        <f>IF(NFI_Expiration=1,IF($A327&lt;VLOOKUP(N$5,NFI,5,0),1,0)*Data_NFI_t[[#This Row],[Blanket]],0)</f>
        <v>0</v>
      </c>
      <c r="AD327" s="112">
        <f>IF(NFI_Expiration=1,IF($A327&lt;VLOOKUP(O$5,NFI,5,0),1,0)*Data_NFI_t[[#This Row],[Kitchen Set]],0)</f>
        <v>0</v>
      </c>
      <c r="AE327" s="112">
        <f>IF(NFI_Expiration=1,IF($A327&lt;VLOOKUP(P$5,NFI,5,0),1,0)*Data_NFI_t[[#This Row],[Complementary Kit]],0)</f>
        <v>0</v>
      </c>
      <c r="AF327" s="112">
        <f>IF(NFI_Expiration=1,IF($A327&lt;VLOOKUP(Q$5,NFI,5,0),1,0)*Data_NFI_t[[#This Row],[Plastic Bucket]],0)</f>
        <v>0</v>
      </c>
      <c r="AG327" s="112">
        <f>IF(NFI_Expiration=1,IF($A327&lt;VLOOKUP(R$5,NFI,5,0),1,0)*Data_NFI_t[[#This Row],[Jerry Can]],0)</f>
        <v>0</v>
      </c>
      <c r="AH327" s="131">
        <f>IF(NFI_Expiration=1,IF($A327&lt;VLOOKUP(S$5,NFI,5,0),1,0)*Data_NFI_t[[#This Row],[Plastic Mat]],0)*IF(Data_NFI_t[[#This Row],[Distribution Date]]&gt;"01-06-2015",1,2.5)</f>
        <v>0</v>
      </c>
      <c r="AI327" s="901">
        <f>IF(NFI_Expiration=1,IF($A327&lt;VLOOKUP(T$5,NFI,5,0),1,0)*Data_NFI_t[[#This Row],[Adult Clothes]],0)</f>
        <v>0</v>
      </c>
      <c r="AJ327" s="131">
        <f>IF(NFI_Expiration=1,IF($A327&lt;VLOOKUP(U$5,NFI,5,0),1,0)*Data_NFI_t[[#This Row],[Children Clothes]],0)</f>
        <v>0</v>
      </c>
      <c r="AK327" s="131">
        <f>IF(NFI_Expiration=1,IF($A327&lt;VLOOKUP(V$5,NFI,5,0),1,0)*Data_NFI_t[[#This Row],[Sewing Kit]],0)</f>
        <v>0</v>
      </c>
      <c r="AL327" s="901">
        <f>IF(NFI_Expiration=1,IF($A327&lt;VLOOKUP(V$5,NFI,5,0),1,0)*Data_NFI_t[[#This Row],[Solar Lantern]],0)</f>
        <v>0</v>
      </c>
      <c r="AM327" s="131" t="str">
        <f ca="1">IFERROR(OFFSET(Camp_List[P_Code],MATCH(Data_NFI_t[[#This Row],[Camp Name]],Camp_List[Camp Name],0)-1,0,1,1),"")</f>
        <v>MMR012CMP008</v>
      </c>
      <c r="AN327" s="513" t="str">
        <f ca="1">IFERROR(OFFSET(Camp_List[Status],MATCH(Data_NFI_t[[#This Row],[Camp Name]],Camp_List[Camp Name],0)-1,0,1,1),"")</f>
        <v>Returned</v>
      </c>
      <c r="AO327" s="131"/>
    </row>
    <row r="328" spans="1:41" s="90" customFormat="1" ht="19.5" customHeight="1" x14ac:dyDescent="0.25">
      <c r="A328" s="242">
        <f t="shared" si="6"/>
        <v>53.266666666666666</v>
      </c>
      <c r="B328" s="242">
        <f>YEAR(Data_NFI_t[[#This Row],[Distribution Date]])</f>
        <v>2012</v>
      </c>
      <c r="C328" s="913">
        <v>41258</v>
      </c>
      <c r="D328" s="489" t="s">
        <v>285</v>
      </c>
      <c r="E328" s="488"/>
      <c r="F328" s="489" t="s">
        <v>7</v>
      </c>
      <c r="G328" s="790" t="s">
        <v>11</v>
      </c>
      <c r="H328" s="790" t="s">
        <v>27</v>
      </c>
      <c r="I328" s="790"/>
      <c r="J328" s="51"/>
      <c r="K328" s="51"/>
      <c r="L328" s="51"/>
      <c r="M328" s="51"/>
      <c r="N328" s="51"/>
      <c r="O328" s="51">
        <v>86</v>
      </c>
      <c r="P328" s="51"/>
      <c r="Q328" s="51"/>
      <c r="R328" s="511"/>
      <c r="S328" s="51"/>
      <c r="T328" s="51"/>
      <c r="U328" s="51"/>
      <c r="V328" s="51"/>
      <c r="W328" s="51"/>
      <c r="X328" s="131">
        <f>IF(NFI_Expiration=1,IF($A328&lt;VLOOKUP(I$5,NFI,5,0),1,0)*Data_NFI_t[[#This Row],[Hygiene Kit]],0)</f>
        <v>0</v>
      </c>
      <c r="Y328" s="131">
        <f>IF(NFI_Expiration=1,IF($A328&lt;VLOOKUP(J$5,NFI,5,0),1,0)*Data_NFI_t[[#This Row],[NFI Core Kit]],0)</f>
        <v>0</v>
      </c>
      <c r="Z328" s="112">
        <f>IF(NFI_Expiration=1,IF($A328&lt;VLOOKUP(K$5,NFI,5,0),1,0)*Data_NFI_t[[#This Row],[Sanitary Kit]],0)</f>
        <v>0</v>
      </c>
      <c r="AA328" s="112">
        <f>IF(NFI_Expiration=1,IF($A328&lt;VLOOKUP(L$5,NFI,5,0),1,0)*Data_NFI_t[[#This Row],[Mosquito net]],0)</f>
        <v>0</v>
      </c>
      <c r="AB328" s="112">
        <f>IF(NFI_Expiration=1,IF($A328&lt;VLOOKUP(M$5,NFI,5,0),1,0)*Data_NFI_t[[#This Row],[Tarpaulin]],0)</f>
        <v>0</v>
      </c>
      <c r="AC328" s="112">
        <f>IF(NFI_Expiration=1,IF($A328&lt;VLOOKUP(N$5,NFI,5,0),1,0)*Data_NFI_t[[#This Row],[Blanket]],0)</f>
        <v>0</v>
      </c>
      <c r="AD328" s="112">
        <f>IF(NFI_Expiration=1,IF($A328&lt;VLOOKUP(O$5,NFI,5,0),1,0)*Data_NFI_t[[#This Row],[Kitchen Set]],0)</f>
        <v>0</v>
      </c>
      <c r="AE328" s="112">
        <f>IF(NFI_Expiration=1,IF($A328&lt;VLOOKUP(P$5,NFI,5,0),1,0)*Data_NFI_t[[#This Row],[Complementary Kit]],0)</f>
        <v>0</v>
      </c>
      <c r="AF328" s="112">
        <f>IF(NFI_Expiration=1,IF($A328&lt;VLOOKUP(Q$5,NFI,5,0),1,0)*Data_NFI_t[[#This Row],[Plastic Bucket]],0)</f>
        <v>0</v>
      </c>
      <c r="AG328" s="112">
        <f>IF(NFI_Expiration=1,IF($A328&lt;VLOOKUP(R$5,NFI,5,0),1,0)*Data_NFI_t[[#This Row],[Jerry Can]],0)</f>
        <v>0</v>
      </c>
      <c r="AH328" s="131">
        <f>IF(NFI_Expiration=1,IF($A328&lt;VLOOKUP(S$5,NFI,5,0),1,0)*Data_NFI_t[[#This Row],[Plastic Mat]],0)*IF(Data_NFI_t[[#This Row],[Distribution Date]]&gt;"01-06-2015",1,2.5)</f>
        <v>0</v>
      </c>
      <c r="AI328" s="901">
        <f>IF(NFI_Expiration=1,IF($A328&lt;VLOOKUP(T$5,NFI,5,0),1,0)*Data_NFI_t[[#This Row],[Adult Clothes]],0)</f>
        <v>0</v>
      </c>
      <c r="AJ328" s="131">
        <f>IF(NFI_Expiration=1,IF($A328&lt;VLOOKUP(U$5,NFI,5,0),1,0)*Data_NFI_t[[#This Row],[Children Clothes]],0)</f>
        <v>0</v>
      </c>
      <c r="AK328" s="131">
        <f>IF(NFI_Expiration=1,IF($A328&lt;VLOOKUP(V$5,NFI,5,0),1,0)*Data_NFI_t[[#This Row],[Sewing Kit]],0)</f>
        <v>0</v>
      </c>
      <c r="AL328" s="901">
        <f>IF(NFI_Expiration=1,IF($A328&lt;VLOOKUP(V$5,NFI,5,0),1,0)*Data_NFI_t[[#This Row],[Solar Lantern]],0)</f>
        <v>0</v>
      </c>
      <c r="AM328" s="131" t="str">
        <f ca="1">IFERROR(OFFSET(Camp_List[P_Code],MATCH(Data_NFI_t[[#This Row],[Camp Name]],Camp_List[Camp Name],0)-1,0,1,1),"")</f>
        <v>MMR012CMP003</v>
      </c>
      <c r="AN328" s="513" t="str">
        <f ca="1">IFERROR(OFFSET(Camp_List[Status],MATCH(Data_NFI_t[[#This Row],[Camp Name]],Camp_List[Camp Name],0)-1,0,1,1),"")</f>
        <v>Returned</v>
      </c>
      <c r="AO328" s="131"/>
    </row>
    <row r="329" spans="1:41" s="90" customFormat="1" ht="19.5" customHeight="1" x14ac:dyDescent="0.25">
      <c r="A329" s="242">
        <f t="shared" si="6"/>
        <v>53.266666666666666</v>
      </c>
      <c r="B329" s="242">
        <f>YEAR(Data_NFI_t[[#This Row],[Distribution Date]])</f>
        <v>2012</v>
      </c>
      <c r="C329" s="913">
        <v>41258</v>
      </c>
      <c r="D329" s="489" t="s">
        <v>285</v>
      </c>
      <c r="E329" s="488"/>
      <c r="F329" s="489" t="s">
        <v>7</v>
      </c>
      <c r="G329" s="790" t="s">
        <v>11</v>
      </c>
      <c r="H329" s="790" t="s">
        <v>26</v>
      </c>
      <c r="I329" s="790"/>
      <c r="J329" s="51"/>
      <c r="K329" s="51"/>
      <c r="L329" s="51"/>
      <c r="M329" s="51"/>
      <c r="N329" s="51">
        <v>406</v>
      </c>
      <c r="O329" s="51"/>
      <c r="P329" s="51"/>
      <c r="Q329" s="51"/>
      <c r="R329" s="511"/>
      <c r="S329" s="51"/>
      <c r="T329" s="51"/>
      <c r="U329" s="51"/>
      <c r="V329" s="51"/>
      <c r="W329" s="51"/>
      <c r="X329" s="131">
        <f>IF(NFI_Expiration=1,IF($A329&lt;VLOOKUP(I$5,NFI,5,0),1,0)*Data_NFI_t[[#This Row],[Hygiene Kit]],0)</f>
        <v>0</v>
      </c>
      <c r="Y329" s="131">
        <f>IF(NFI_Expiration=1,IF($A329&lt;VLOOKUP(J$5,NFI,5,0),1,0)*Data_NFI_t[[#This Row],[NFI Core Kit]],0)</f>
        <v>0</v>
      </c>
      <c r="Z329" s="112">
        <f>IF(NFI_Expiration=1,IF($A329&lt;VLOOKUP(K$5,NFI,5,0),1,0)*Data_NFI_t[[#This Row],[Sanitary Kit]],0)</f>
        <v>0</v>
      </c>
      <c r="AA329" s="112">
        <f>IF(NFI_Expiration=1,IF($A329&lt;VLOOKUP(L$5,NFI,5,0),1,0)*Data_NFI_t[[#This Row],[Mosquito net]],0)</f>
        <v>0</v>
      </c>
      <c r="AB329" s="112">
        <f>IF(NFI_Expiration=1,IF($A329&lt;VLOOKUP(M$5,NFI,5,0),1,0)*Data_NFI_t[[#This Row],[Tarpaulin]],0)</f>
        <v>0</v>
      </c>
      <c r="AC329" s="112">
        <f>IF(NFI_Expiration=1,IF($A329&lt;VLOOKUP(N$5,NFI,5,0),1,0)*Data_NFI_t[[#This Row],[Blanket]],0)</f>
        <v>0</v>
      </c>
      <c r="AD329" s="112">
        <f>IF(NFI_Expiration=1,IF($A329&lt;VLOOKUP(O$5,NFI,5,0),1,0)*Data_NFI_t[[#This Row],[Kitchen Set]],0)</f>
        <v>0</v>
      </c>
      <c r="AE329" s="112">
        <f>IF(NFI_Expiration=1,IF($A329&lt;VLOOKUP(P$5,NFI,5,0),1,0)*Data_NFI_t[[#This Row],[Complementary Kit]],0)</f>
        <v>0</v>
      </c>
      <c r="AF329" s="112">
        <f>IF(NFI_Expiration=1,IF($A329&lt;VLOOKUP(Q$5,NFI,5,0),1,0)*Data_NFI_t[[#This Row],[Plastic Bucket]],0)</f>
        <v>0</v>
      </c>
      <c r="AG329" s="112">
        <f>IF(NFI_Expiration=1,IF($A329&lt;VLOOKUP(R$5,NFI,5,0),1,0)*Data_NFI_t[[#This Row],[Jerry Can]],0)</f>
        <v>0</v>
      </c>
      <c r="AH329" s="131">
        <f>IF(NFI_Expiration=1,IF($A329&lt;VLOOKUP(S$5,NFI,5,0),1,0)*Data_NFI_t[[#This Row],[Plastic Mat]],0)*IF(Data_NFI_t[[#This Row],[Distribution Date]]&gt;"01-06-2015",1,2.5)</f>
        <v>0</v>
      </c>
      <c r="AI329" s="901">
        <f>IF(NFI_Expiration=1,IF($A329&lt;VLOOKUP(T$5,NFI,5,0),1,0)*Data_NFI_t[[#This Row],[Adult Clothes]],0)</f>
        <v>0</v>
      </c>
      <c r="AJ329" s="131">
        <f>IF(NFI_Expiration=1,IF($A329&lt;VLOOKUP(U$5,NFI,5,0),1,0)*Data_NFI_t[[#This Row],[Children Clothes]],0)</f>
        <v>0</v>
      </c>
      <c r="AK329" s="131">
        <f>IF(NFI_Expiration=1,IF($A329&lt;VLOOKUP(V$5,NFI,5,0),1,0)*Data_NFI_t[[#This Row],[Sewing Kit]],0)</f>
        <v>0</v>
      </c>
      <c r="AL329" s="901">
        <f>IF(NFI_Expiration=1,IF($A329&lt;VLOOKUP(V$5,NFI,5,0),1,0)*Data_NFI_t[[#This Row],[Solar Lantern]],0)</f>
        <v>0</v>
      </c>
      <c r="AM329" s="131" t="str">
        <f ca="1">IFERROR(OFFSET(Camp_List[P_Code],MATCH(Data_NFI_t[[#This Row],[Camp Name]],Camp_List[Camp Name],0)-1,0,1,1),"")</f>
        <v>MMR012CMP002</v>
      </c>
      <c r="AN329" s="513" t="str">
        <f ca="1">IFERROR(OFFSET(Camp_List[Status],MATCH(Data_NFI_t[[#This Row],[Camp Name]],Camp_List[Camp Name],0)-1,0,1,1),"")</f>
        <v>Returned</v>
      </c>
      <c r="AO329" s="131"/>
    </row>
    <row r="330" spans="1:41" s="90" customFormat="1" ht="19.5" customHeight="1" x14ac:dyDescent="0.25">
      <c r="A330" s="242">
        <f t="shared" si="6"/>
        <v>53.3</v>
      </c>
      <c r="B330" s="242">
        <f>YEAR(Data_NFI_t[[#This Row],[Distribution Date]])</f>
        <v>2012</v>
      </c>
      <c r="C330" s="913">
        <v>41257</v>
      </c>
      <c r="D330" s="489" t="s">
        <v>289</v>
      </c>
      <c r="E330" s="488" t="s">
        <v>285</v>
      </c>
      <c r="F330" s="489" t="s">
        <v>7</v>
      </c>
      <c r="G330" s="790" t="s">
        <v>19</v>
      </c>
      <c r="H330" s="790" t="s">
        <v>71</v>
      </c>
      <c r="I330" s="790"/>
      <c r="J330" s="51"/>
      <c r="K330" s="51"/>
      <c r="L330" s="51"/>
      <c r="M330" s="51"/>
      <c r="N330" s="51">
        <v>55</v>
      </c>
      <c r="O330" s="51"/>
      <c r="P330" s="51"/>
      <c r="Q330" s="51"/>
      <c r="R330" s="511"/>
      <c r="S330" s="51"/>
      <c r="T330" s="51"/>
      <c r="U330" s="51"/>
      <c r="V330" s="51"/>
      <c r="W330" s="51"/>
      <c r="X330" s="131">
        <f>IF(NFI_Expiration=1,IF($A330&lt;VLOOKUP(I$5,NFI,5,0),1,0)*Data_NFI_t[[#This Row],[Hygiene Kit]],0)</f>
        <v>0</v>
      </c>
      <c r="Y330" s="131">
        <f>IF(NFI_Expiration=1,IF($A330&lt;VLOOKUP(J$5,NFI,5,0),1,0)*Data_NFI_t[[#This Row],[NFI Core Kit]],0)</f>
        <v>0</v>
      </c>
      <c r="Z330" s="112">
        <f>IF(NFI_Expiration=1,IF($A330&lt;VLOOKUP(K$5,NFI,5,0),1,0)*Data_NFI_t[[#This Row],[Sanitary Kit]],0)</f>
        <v>0</v>
      </c>
      <c r="AA330" s="112">
        <f>IF(NFI_Expiration=1,IF($A330&lt;VLOOKUP(L$5,NFI,5,0),1,0)*Data_NFI_t[[#This Row],[Mosquito net]],0)</f>
        <v>0</v>
      </c>
      <c r="AB330" s="112">
        <f>IF(NFI_Expiration=1,IF($A330&lt;VLOOKUP(M$5,NFI,5,0),1,0)*Data_NFI_t[[#This Row],[Tarpaulin]],0)</f>
        <v>0</v>
      </c>
      <c r="AC330" s="112">
        <f>IF(NFI_Expiration=1,IF($A330&lt;VLOOKUP(N$5,NFI,5,0),1,0)*Data_NFI_t[[#This Row],[Blanket]],0)</f>
        <v>0</v>
      </c>
      <c r="AD330" s="112">
        <f>IF(NFI_Expiration=1,IF($A330&lt;VLOOKUP(O$5,NFI,5,0),1,0)*Data_NFI_t[[#This Row],[Kitchen Set]],0)</f>
        <v>0</v>
      </c>
      <c r="AE330" s="112">
        <f>IF(NFI_Expiration=1,IF($A330&lt;VLOOKUP(P$5,NFI,5,0),1,0)*Data_NFI_t[[#This Row],[Complementary Kit]],0)</f>
        <v>0</v>
      </c>
      <c r="AF330" s="112">
        <f>IF(NFI_Expiration=1,IF($A330&lt;VLOOKUP(Q$5,NFI,5,0),1,0)*Data_NFI_t[[#This Row],[Plastic Bucket]],0)</f>
        <v>0</v>
      </c>
      <c r="AG330" s="112">
        <f>IF(NFI_Expiration=1,IF($A330&lt;VLOOKUP(R$5,NFI,5,0),1,0)*Data_NFI_t[[#This Row],[Jerry Can]],0)</f>
        <v>0</v>
      </c>
      <c r="AH330" s="131">
        <f>IF(NFI_Expiration=1,IF($A330&lt;VLOOKUP(S$5,NFI,5,0),1,0)*Data_NFI_t[[#This Row],[Plastic Mat]],0)*IF(Data_NFI_t[[#This Row],[Distribution Date]]&gt;"01-06-2015",1,2.5)</f>
        <v>0</v>
      </c>
      <c r="AI330" s="901">
        <f>IF(NFI_Expiration=1,IF($A330&lt;VLOOKUP(T$5,NFI,5,0),1,0)*Data_NFI_t[[#This Row],[Adult Clothes]],0)</f>
        <v>0</v>
      </c>
      <c r="AJ330" s="131">
        <f>IF(NFI_Expiration=1,IF($A330&lt;VLOOKUP(U$5,NFI,5,0),1,0)*Data_NFI_t[[#This Row],[Children Clothes]],0)</f>
        <v>0</v>
      </c>
      <c r="AK330" s="131">
        <f>IF(NFI_Expiration=1,IF($A330&lt;VLOOKUP(V$5,NFI,5,0),1,0)*Data_NFI_t[[#This Row],[Sewing Kit]],0)</f>
        <v>0</v>
      </c>
      <c r="AL330" s="901">
        <f>IF(NFI_Expiration=1,IF($A330&lt;VLOOKUP(V$5,NFI,5,0),1,0)*Data_NFI_t[[#This Row],[Solar Lantern]],0)</f>
        <v>0</v>
      </c>
      <c r="AM330" s="131" t="str">
        <f ca="1">IFERROR(OFFSET(Camp_List[P_Code],MATCH(Data_NFI_t[[#This Row],[Camp Name]],Camp_List[Camp Name],0)-1,0,1,1),"")</f>
        <v>MMR012CMP049</v>
      </c>
      <c r="AN330" s="513" t="str">
        <f ca="1">IFERROR(OFFSET(Camp_List[Status],MATCH(Data_NFI_t[[#This Row],[Camp Name]],Camp_List[Camp Name],0)-1,0,1,1),"")</f>
        <v>Close</v>
      </c>
      <c r="AO330" s="131"/>
    </row>
    <row r="331" spans="1:41" s="90" customFormat="1" ht="19.5" customHeight="1" x14ac:dyDescent="0.25">
      <c r="A331" s="242">
        <f t="shared" si="6"/>
        <v>53.333333333333336</v>
      </c>
      <c r="B331" s="242">
        <f>YEAR(Data_NFI_t[[#This Row],[Distribution Date]])</f>
        <v>2012</v>
      </c>
      <c r="C331" s="913">
        <v>41256</v>
      </c>
      <c r="D331" s="489" t="s">
        <v>285</v>
      </c>
      <c r="E331" s="488"/>
      <c r="F331" s="489" t="s">
        <v>7</v>
      </c>
      <c r="G331" s="790" t="s">
        <v>15</v>
      </c>
      <c r="H331" s="790" t="s">
        <v>49</v>
      </c>
      <c r="I331" s="790"/>
      <c r="J331" s="51"/>
      <c r="K331" s="51"/>
      <c r="L331" s="51">
        <v>180</v>
      </c>
      <c r="M331" s="51"/>
      <c r="N331" s="51">
        <v>180</v>
      </c>
      <c r="O331" s="51">
        <v>90</v>
      </c>
      <c r="P331" s="51"/>
      <c r="Q331" s="51"/>
      <c r="R331" s="511"/>
      <c r="S331" s="51"/>
      <c r="T331" s="51"/>
      <c r="U331" s="51"/>
      <c r="V331" s="51"/>
      <c r="W331" s="51"/>
      <c r="X331" s="131">
        <f>IF(NFI_Expiration=1,IF($A331&lt;VLOOKUP(I$5,NFI,5,0),1,0)*Data_NFI_t[[#This Row],[Hygiene Kit]],0)</f>
        <v>0</v>
      </c>
      <c r="Y331" s="131">
        <f>IF(NFI_Expiration=1,IF($A331&lt;VLOOKUP(J$5,NFI,5,0),1,0)*Data_NFI_t[[#This Row],[NFI Core Kit]],0)</f>
        <v>0</v>
      </c>
      <c r="Z331" s="112">
        <f>IF(NFI_Expiration=1,IF($A331&lt;VLOOKUP(K$5,NFI,5,0),1,0)*Data_NFI_t[[#This Row],[Sanitary Kit]],0)</f>
        <v>0</v>
      </c>
      <c r="AA331" s="112">
        <f>IF(NFI_Expiration=1,IF($A331&lt;VLOOKUP(L$5,NFI,5,0),1,0)*Data_NFI_t[[#This Row],[Mosquito net]],0)</f>
        <v>0</v>
      </c>
      <c r="AB331" s="112">
        <f>IF(NFI_Expiration=1,IF($A331&lt;VLOOKUP(M$5,NFI,5,0),1,0)*Data_NFI_t[[#This Row],[Tarpaulin]],0)</f>
        <v>0</v>
      </c>
      <c r="AC331" s="112">
        <f>IF(NFI_Expiration=1,IF($A331&lt;VLOOKUP(N$5,NFI,5,0),1,0)*Data_NFI_t[[#This Row],[Blanket]],0)</f>
        <v>0</v>
      </c>
      <c r="AD331" s="112">
        <f>IF(NFI_Expiration=1,IF($A331&lt;VLOOKUP(O$5,NFI,5,0),1,0)*Data_NFI_t[[#This Row],[Kitchen Set]],0)</f>
        <v>0</v>
      </c>
      <c r="AE331" s="112">
        <f>IF(NFI_Expiration=1,IF($A331&lt;VLOOKUP(P$5,NFI,5,0),1,0)*Data_NFI_t[[#This Row],[Complementary Kit]],0)</f>
        <v>0</v>
      </c>
      <c r="AF331" s="112">
        <f>IF(NFI_Expiration=1,IF($A331&lt;VLOOKUP(Q$5,NFI,5,0),1,0)*Data_NFI_t[[#This Row],[Plastic Bucket]],0)</f>
        <v>0</v>
      </c>
      <c r="AG331" s="112">
        <f>IF(NFI_Expiration=1,IF($A331&lt;VLOOKUP(R$5,NFI,5,0),1,0)*Data_NFI_t[[#This Row],[Jerry Can]],0)</f>
        <v>0</v>
      </c>
      <c r="AH331" s="131">
        <f>IF(NFI_Expiration=1,IF($A331&lt;VLOOKUP(S$5,NFI,5,0),1,0)*Data_NFI_t[[#This Row],[Plastic Mat]],0)*IF(Data_NFI_t[[#This Row],[Distribution Date]]&gt;"01-06-2015",1,2.5)</f>
        <v>0</v>
      </c>
      <c r="AI331" s="901">
        <f>IF(NFI_Expiration=1,IF($A331&lt;VLOOKUP(T$5,NFI,5,0),1,0)*Data_NFI_t[[#This Row],[Adult Clothes]],0)</f>
        <v>0</v>
      </c>
      <c r="AJ331" s="131">
        <f>IF(NFI_Expiration=1,IF($A331&lt;VLOOKUP(U$5,NFI,5,0),1,0)*Data_NFI_t[[#This Row],[Children Clothes]],0)</f>
        <v>0</v>
      </c>
      <c r="AK331" s="131">
        <f>IF(NFI_Expiration=1,IF($A331&lt;VLOOKUP(V$5,NFI,5,0),1,0)*Data_NFI_t[[#This Row],[Sewing Kit]],0)</f>
        <v>0</v>
      </c>
      <c r="AL331" s="901">
        <f>IF(NFI_Expiration=1,IF($A331&lt;VLOOKUP(V$5,NFI,5,0),1,0)*Data_NFI_t[[#This Row],[Solar Lantern]],0)</f>
        <v>0</v>
      </c>
      <c r="AM331" s="131" t="str">
        <f ca="1">IFERROR(OFFSET(Camp_List[P_Code],MATCH(Data_NFI_t[[#This Row],[Camp Name]],Camp_List[Camp Name],0)-1,0,1,1),"")</f>
        <v>MMR012CMP025</v>
      </c>
      <c r="AN331" s="513" t="str">
        <f ca="1">IFERROR(OFFSET(Camp_List[Status],MATCH(Data_NFI_t[[#This Row],[Camp Name]],Camp_List[Camp Name],0)-1,0,1,1),"")</f>
        <v>Returned</v>
      </c>
      <c r="AO331" s="131"/>
    </row>
    <row r="332" spans="1:41" s="90" customFormat="1" ht="19.5" customHeight="1" x14ac:dyDescent="0.25">
      <c r="A332" s="242">
        <f t="shared" si="6"/>
        <v>53.333333333333336</v>
      </c>
      <c r="B332" s="242">
        <f>YEAR(Data_NFI_t[[#This Row],[Distribution Date]])</f>
        <v>2012</v>
      </c>
      <c r="C332" s="913">
        <v>41256</v>
      </c>
      <c r="D332" s="489" t="s">
        <v>285</v>
      </c>
      <c r="E332" s="488"/>
      <c r="F332" s="489" t="s">
        <v>7</v>
      </c>
      <c r="G332" s="790" t="s">
        <v>15</v>
      </c>
      <c r="H332" s="790" t="s">
        <v>48</v>
      </c>
      <c r="I332" s="790"/>
      <c r="J332" s="51"/>
      <c r="K332" s="51"/>
      <c r="L332" s="51"/>
      <c r="M332" s="51"/>
      <c r="N332" s="51"/>
      <c r="O332" s="51"/>
      <c r="P332" s="51">
        <v>90</v>
      </c>
      <c r="Q332" s="51"/>
      <c r="R332" s="511"/>
      <c r="S332" s="51"/>
      <c r="T332" s="51"/>
      <c r="U332" s="51"/>
      <c r="V332" s="51"/>
      <c r="W332" s="51"/>
      <c r="X332" s="131">
        <f>IF(NFI_Expiration=1,IF($A332&lt;VLOOKUP(I$5,NFI,5,0),1,0)*Data_NFI_t[[#This Row],[Hygiene Kit]],0)</f>
        <v>0</v>
      </c>
      <c r="Y332" s="131">
        <f>IF(NFI_Expiration=1,IF($A332&lt;VLOOKUP(J$5,NFI,5,0),1,0)*Data_NFI_t[[#This Row],[NFI Core Kit]],0)</f>
        <v>0</v>
      </c>
      <c r="Z332" s="112">
        <f>IF(NFI_Expiration=1,IF($A332&lt;VLOOKUP(K$5,NFI,5,0),1,0)*Data_NFI_t[[#This Row],[Sanitary Kit]],0)</f>
        <v>0</v>
      </c>
      <c r="AA332" s="112">
        <f>IF(NFI_Expiration=1,IF($A332&lt;VLOOKUP(L$5,NFI,5,0),1,0)*Data_NFI_t[[#This Row],[Mosquito net]],0)</f>
        <v>0</v>
      </c>
      <c r="AB332" s="112">
        <f>IF(NFI_Expiration=1,IF($A332&lt;VLOOKUP(M$5,NFI,5,0),1,0)*Data_NFI_t[[#This Row],[Tarpaulin]],0)</f>
        <v>0</v>
      </c>
      <c r="AC332" s="112">
        <f>IF(NFI_Expiration=1,IF($A332&lt;VLOOKUP(N$5,NFI,5,0),1,0)*Data_NFI_t[[#This Row],[Blanket]],0)</f>
        <v>0</v>
      </c>
      <c r="AD332" s="112">
        <f>IF(NFI_Expiration=1,IF($A332&lt;VLOOKUP(O$5,NFI,5,0),1,0)*Data_NFI_t[[#This Row],[Kitchen Set]],0)</f>
        <v>0</v>
      </c>
      <c r="AE332" s="112">
        <f>IF(NFI_Expiration=1,IF($A332&lt;VLOOKUP(P$5,NFI,5,0),1,0)*Data_NFI_t[[#This Row],[Complementary Kit]],0)</f>
        <v>0</v>
      </c>
      <c r="AF332" s="112">
        <f>IF(NFI_Expiration=1,IF($A332&lt;VLOOKUP(Q$5,NFI,5,0),1,0)*Data_NFI_t[[#This Row],[Plastic Bucket]],0)</f>
        <v>0</v>
      </c>
      <c r="AG332" s="112">
        <f>IF(NFI_Expiration=1,IF($A332&lt;VLOOKUP(R$5,NFI,5,0),1,0)*Data_NFI_t[[#This Row],[Jerry Can]],0)</f>
        <v>0</v>
      </c>
      <c r="AH332" s="131">
        <f>IF(NFI_Expiration=1,IF($A332&lt;VLOOKUP(S$5,NFI,5,0),1,0)*Data_NFI_t[[#This Row],[Plastic Mat]],0)*IF(Data_NFI_t[[#This Row],[Distribution Date]]&gt;"01-06-2015",1,2.5)</f>
        <v>0</v>
      </c>
      <c r="AI332" s="901">
        <f>IF(NFI_Expiration=1,IF($A332&lt;VLOOKUP(T$5,NFI,5,0),1,0)*Data_NFI_t[[#This Row],[Adult Clothes]],0)</f>
        <v>0</v>
      </c>
      <c r="AJ332" s="131">
        <f>IF(NFI_Expiration=1,IF($A332&lt;VLOOKUP(U$5,NFI,5,0),1,0)*Data_NFI_t[[#This Row],[Children Clothes]],0)</f>
        <v>0</v>
      </c>
      <c r="AK332" s="131">
        <f>IF(NFI_Expiration=1,IF($A332&lt;VLOOKUP(V$5,NFI,5,0),1,0)*Data_NFI_t[[#This Row],[Sewing Kit]],0)</f>
        <v>0</v>
      </c>
      <c r="AL332" s="901">
        <f>IF(NFI_Expiration=1,IF($A332&lt;VLOOKUP(V$5,NFI,5,0),1,0)*Data_NFI_t[[#This Row],[Solar Lantern]],0)</f>
        <v>0</v>
      </c>
      <c r="AM332" s="131" t="str">
        <f ca="1">IFERROR(OFFSET(Camp_List[P_Code],MATCH(Data_NFI_t[[#This Row],[Camp Name]],Camp_List[Camp Name],0)-1,0,1,1),"")</f>
        <v>MMR012CMP024</v>
      </c>
      <c r="AN332" s="513" t="str">
        <f ca="1">IFERROR(OFFSET(Camp_List[Status],MATCH(Data_NFI_t[[#This Row],[Camp Name]],Camp_List[Camp Name],0)-1,0,1,1),"")</f>
        <v>Returned</v>
      </c>
      <c r="AO332" s="131"/>
    </row>
    <row r="333" spans="1:41" s="90" customFormat="1" ht="19.5" customHeight="1" x14ac:dyDescent="0.25">
      <c r="A333" s="242">
        <f t="shared" si="6"/>
        <v>53.333333333333336</v>
      </c>
      <c r="B333" s="242">
        <f>YEAR(Data_NFI_t[[#This Row],[Distribution Date]])</f>
        <v>2012</v>
      </c>
      <c r="C333" s="913">
        <v>41256</v>
      </c>
      <c r="D333" s="489" t="s">
        <v>285</v>
      </c>
      <c r="E333" s="488"/>
      <c r="F333" s="489" t="s">
        <v>7</v>
      </c>
      <c r="G333" s="790" t="s">
        <v>19</v>
      </c>
      <c r="H333" s="790" t="s">
        <v>61</v>
      </c>
      <c r="I333" s="790"/>
      <c r="J333" s="51"/>
      <c r="K333" s="51">
        <v>302</v>
      </c>
      <c r="L333" s="51"/>
      <c r="M333" s="51"/>
      <c r="N333" s="51"/>
      <c r="O333" s="51"/>
      <c r="P333" s="51"/>
      <c r="Q333" s="51"/>
      <c r="R333" s="511"/>
      <c r="S333" s="51"/>
      <c r="T333" s="51"/>
      <c r="U333" s="51"/>
      <c r="V333" s="51"/>
      <c r="W333" s="51"/>
      <c r="X333" s="131">
        <f>IF(NFI_Expiration=1,IF($A333&lt;VLOOKUP(I$5,NFI,5,0),1,0)*Data_NFI_t[[#This Row],[Hygiene Kit]],0)</f>
        <v>0</v>
      </c>
      <c r="Y333" s="131">
        <f>IF(NFI_Expiration=1,IF($A333&lt;VLOOKUP(J$5,NFI,5,0),1,0)*Data_NFI_t[[#This Row],[NFI Core Kit]],0)</f>
        <v>0</v>
      </c>
      <c r="Z333" s="112">
        <f>IF(NFI_Expiration=1,IF($A333&lt;VLOOKUP(K$5,NFI,5,0),1,0)*Data_NFI_t[[#This Row],[Sanitary Kit]],0)</f>
        <v>0</v>
      </c>
      <c r="AA333" s="112">
        <f>IF(NFI_Expiration=1,IF($A333&lt;VLOOKUP(L$5,NFI,5,0),1,0)*Data_NFI_t[[#This Row],[Mosquito net]],0)</f>
        <v>0</v>
      </c>
      <c r="AB333" s="112">
        <f>IF(NFI_Expiration=1,IF($A333&lt;VLOOKUP(M$5,NFI,5,0),1,0)*Data_NFI_t[[#This Row],[Tarpaulin]],0)</f>
        <v>0</v>
      </c>
      <c r="AC333" s="112">
        <f>IF(NFI_Expiration=1,IF($A333&lt;VLOOKUP(N$5,NFI,5,0),1,0)*Data_NFI_t[[#This Row],[Blanket]],0)</f>
        <v>0</v>
      </c>
      <c r="AD333" s="112">
        <f>IF(NFI_Expiration=1,IF($A333&lt;VLOOKUP(O$5,NFI,5,0),1,0)*Data_NFI_t[[#This Row],[Kitchen Set]],0)</f>
        <v>0</v>
      </c>
      <c r="AE333" s="112">
        <f>IF(NFI_Expiration=1,IF($A333&lt;VLOOKUP(P$5,NFI,5,0),1,0)*Data_NFI_t[[#This Row],[Complementary Kit]],0)</f>
        <v>0</v>
      </c>
      <c r="AF333" s="112">
        <f>IF(NFI_Expiration=1,IF($A333&lt;VLOOKUP(Q$5,NFI,5,0),1,0)*Data_NFI_t[[#This Row],[Plastic Bucket]],0)</f>
        <v>0</v>
      </c>
      <c r="AG333" s="112">
        <f>IF(NFI_Expiration=1,IF($A333&lt;VLOOKUP(R$5,NFI,5,0),1,0)*Data_NFI_t[[#This Row],[Jerry Can]],0)</f>
        <v>0</v>
      </c>
      <c r="AH333" s="131">
        <f>IF(NFI_Expiration=1,IF($A333&lt;VLOOKUP(S$5,NFI,5,0),1,0)*Data_NFI_t[[#This Row],[Plastic Mat]],0)*IF(Data_NFI_t[[#This Row],[Distribution Date]]&gt;"01-06-2015",1,2.5)</f>
        <v>0</v>
      </c>
      <c r="AI333" s="901">
        <f>IF(NFI_Expiration=1,IF($A333&lt;VLOOKUP(T$5,NFI,5,0),1,0)*Data_NFI_t[[#This Row],[Adult Clothes]],0)</f>
        <v>0</v>
      </c>
      <c r="AJ333" s="131">
        <f>IF(NFI_Expiration=1,IF($A333&lt;VLOOKUP(U$5,NFI,5,0),1,0)*Data_NFI_t[[#This Row],[Children Clothes]],0)</f>
        <v>0</v>
      </c>
      <c r="AK333" s="131">
        <f>IF(NFI_Expiration=1,IF($A333&lt;VLOOKUP(V$5,NFI,5,0),1,0)*Data_NFI_t[[#This Row],[Sewing Kit]],0)</f>
        <v>0</v>
      </c>
      <c r="AL333" s="901">
        <f>IF(NFI_Expiration=1,IF($A333&lt;VLOOKUP(V$5,NFI,5,0),1,0)*Data_NFI_t[[#This Row],[Solar Lantern]],0)</f>
        <v>0</v>
      </c>
      <c r="AM333" s="131" t="str">
        <f ca="1">IFERROR(OFFSET(Camp_List[P_Code],MATCH(Data_NFI_t[[#This Row],[Camp Name]],Camp_List[Camp Name],0)-1,0,1,1),"")</f>
        <v>MMR012CMP039</v>
      </c>
      <c r="AN333" s="513" t="str">
        <f ca="1">IFERROR(OFFSET(Camp_List[Status],MATCH(Data_NFI_t[[#This Row],[Camp Name]],Camp_List[Camp Name],0)-1,0,1,1),"")</f>
        <v>Open</v>
      </c>
      <c r="AO333" s="131"/>
    </row>
    <row r="334" spans="1:41" s="90" customFormat="1" ht="19.5" customHeight="1" x14ac:dyDescent="0.25">
      <c r="A334" s="242">
        <f t="shared" si="6"/>
        <v>53.333333333333336</v>
      </c>
      <c r="B334" s="242">
        <f>YEAR(Data_NFI_t[[#This Row],[Distribution Date]])</f>
        <v>2012</v>
      </c>
      <c r="C334" s="913">
        <v>41256</v>
      </c>
      <c r="D334" s="489" t="s">
        <v>285</v>
      </c>
      <c r="E334" s="488"/>
      <c r="F334" s="489" t="s">
        <v>7</v>
      </c>
      <c r="G334" s="790" t="s">
        <v>19</v>
      </c>
      <c r="H334" s="790" t="s">
        <v>62</v>
      </c>
      <c r="I334" s="790"/>
      <c r="J334" s="51"/>
      <c r="K334" s="51">
        <v>2142</v>
      </c>
      <c r="L334" s="51"/>
      <c r="M334" s="51"/>
      <c r="N334" s="51"/>
      <c r="O334" s="51"/>
      <c r="P334" s="51"/>
      <c r="Q334" s="51"/>
      <c r="R334" s="511"/>
      <c r="S334" s="51"/>
      <c r="T334" s="51"/>
      <c r="U334" s="51"/>
      <c r="V334" s="51"/>
      <c r="W334" s="51"/>
      <c r="X334" s="131">
        <f>IF(NFI_Expiration=1,IF($A334&lt;VLOOKUP(I$5,NFI,5,0),1,0)*Data_NFI_t[[#This Row],[Hygiene Kit]],0)</f>
        <v>0</v>
      </c>
      <c r="Y334" s="131">
        <f>IF(NFI_Expiration=1,IF($A334&lt;VLOOKUP(J$5,NFI,5,0),1,0)*Data_NFI_t[[#This Row],[NFI Core Kit]],0)</f>
        <v>0</v>
      </c>
      <c r="Z334" s="112">
        <f>IF(NFI_Expiration=1,IF($A334&lt;VLOOKUP(K$5,NFI,5,0),1,0)*Data_NFI_t[[#This Row],[Sanitary Kit]],0)</f>
        <v>0</v>
      </c>
      <c r="AA334" s="112">
        <f>IF(NFI_Expiration=1,IF($A334&lt;VLOOKUP(L$5,NFI,5,0),1,0)*Data_NFI_t[[#This Row],[Mosquito net]],0)</f>
        <v>0</v>
      </c>
      <c r="AB334" s="112">
        <f>IF(NFI_Expiration=1,IF($A334&lt;VLOOKUP(M$5,NFI,5,0),1,0)*Data_NFI_t[[#This Row],[Tarpaulin]],0)</f>
        <v>0</v>
      </c>
      <c r="AC334" s="112">
        <f>IF(NFI_Expiration=1,IF($A334&lt;VLOOKUP(N$5,NFI,5,0),1,0)*Data_NFI_t[[#This Row],[Blanket]],0)</f>
        <v>0</v>
      </c>
      <c r="AD334" s="112">
        <f>IF(NFI_Expiration=1,IF($A334&lt;VLOOKUP(O$5,NFI,5,0),1,0)*Data_NFI_t[[#This Row],[Kitchen Set]],0)</f>
        <v>0</v>
      </c>
      <c r="AE334" s="112">
        <f>IF(NFI_Expiration=1,IF($A334&lt;VLOOKUP(P$5,NFI,5,0),1,0)*Data_NFI_t[[#This Row],[Complementary Kit]],0)</f>
        <v>0</v>
      </c>
      <c r="AF334" s="112">
        <f>IF(NFI_Expiration=1,IF($A334&lt;VLOOKUP(Q$5,NFI,5,0),1,0)*Data_NFI_t[[#This Row],[Plastic Bucket]],0)</f>
        <v>0</v>
      </c>
      <c r="AG334" s="112">
        <f>IF(NFI_Expiration=1,IF($A334&lt;VLOOKUP(R$5,NFI,5,0),1,0)*Data_NFI_t[[#This Row],[Jerry Can]],0)</f>
        <v>0</v>
      </c>
      <c r="AH334" s="131">
        <f>IF(NFI_Expiration=1,IF($A334&lt;VLOOKUP(S$5,NFI,5,0),1,0)*Data_NFI_t[[#This Row],[Plastic Mat]],0)*IF(Data_NFI_t[[#This Row],[Distribution Date]]&gt;"01-06-2015",1,2.5)</f>
        <v>0</v>
      </c>
      <c r="AI334" s="901">
        <f>IF(NFI_Expiration=1,IF($A334&lt;VLOOKUP(T$5,NFI,5,0),1,0)*Data_NFI_t[[#This Row],[Adult Clothes]],0)</f>
        <v>0</v>
      </c>
      <c r="AJ334" s="131">
        <f>IF(NFI_Expiration=1,IF($A334&lt;VLOOKUP(U$5,NFI,5,0),1,0)*Data_NFI_t[[#This Row],[Children Clothes]],0)</f>
        <v>0</v>
      </c>
      <c r="AK334" s="131">
        <f>IF(NFI_Expiration=1,IF($A334&lt;VLOOKUP(V$5,NFI,5,0),1,0)*Data_NFI_t[[#This Row],[Sewing Kit]],0)</f>
        <v>0</v>
      </c>
      <c r="AL334" s="901">
        <f>IF(NFI_Expiration=1,IF($A334&lt;VLOOKUP(V$5,NFI,5,0),1,0)*Data_NFI_t[[#This Row],[Solar Lantern]],0)</f>
        <v>0</v>
      </c>
      <c r="AM334" s="131" t="str">
        <f ca="1">IFERROR(OFFSET(Camp_List[P_Code],MATCH(Data_NFI_t[[#This Row],[Camp Name]],Camp_List[Camp Name],0)-1,0,1,1),"")</f>
        <v>MMR012CMP040</v>
      </c>
      <c r="AN334" s="513" t="str">
        <f ca="1">IFERROR(OFFSET(Camp_List[Status],MATCH(Data_NFI_t[[#This Row],[Camp Name]],Camp_List[Camp Name],0)-1,0,1,1),"")</f>
        <v>Close</v>
      </c>
      <c r="AO334" s="131"/>
    </row>
    <row r="335" spans="1:41" s="90" customFormat="1" ht="19.5" customHeight="1" x14ac:dyDescent="0.25">
      <c r="A335" s="242">
        <f t="shared" si="6"/>
        <v>53.333333333333336</v>
      </c>
      <c r="B335" s="242">
        <f>YEAR(Data_NFI_t[[#This Row],[Distribution Date]])</f>
        <v>2012</v>
      </c>
      <c r="C335" s="913">
        <v>41256</v>
      </c>
      <c r="D335" s="489" t="s">
        <v>285</v>
      </c>
      <c r="E335" s="488"/>
      <c r="F335" s="489" t="s">
        <v>7</v>
      </c>
      <c r="G335" s="790" t="s">
        <v>19</v>
      </c>
      <c r="H335" s="790" t="s">
        <v>63</v>
      </c>
      <c r="I335" s="790"/>
      <c r="J335" s="51"/>
      <c r="K335" s="51">
        <v>1707</v>
      </c>
      <c r="L335" s="51"/>
      <c r="M335" s="51"/>
      <c r="N335" s="51"/>
      <c r="O335" s="51"/>
      <c r="P335" s="51"/>
      <c r="Q335" s="51"/>
      <c r="R335" s="511"/>
      <c r="S335" s="51"/>
      <c r="T335" s="51"/>
      <c r="U335" s="51"/>
      <c r="V335" s="51"/>
      <c r="W335" s="51"/>
      <c r="X335" s="131">
        <f>IF(NFI_Expiration=1,IF($A335&lt;VLOOKUP(I$5,NFI,5,0),1,0)*Data_NFI_t[[#This Row],[Hygiene Kit]],0)</f>
        <v>0</v>
      </c>
      <c r="Y335" s="131">
        <f>IF(NFI_Expiration=1,IF($A335&lt;VLOOKUP(J$5,NFI,5,0),1,0)*Data_NFI_t[[#This Row],[NFI Core Kit]],0)</f>
        <v>0</v>
      </c>
      <c r="Z335" s="112">
        <f>IF(NFI_Expiration=1,IF($A335&lt;VLOOKUP(K$5,NFI,5,0),1,0)*Data_NFI_t[[#This Row],[Sanitary Kit]],0)</f>
        <v>0</v>
      </c>
      <c r="AA335" s="112">
        <f>IF(NFI_Expiration=1,IF($A335&lt;VLOOKUP(L$5,NFI,5,0),1,0)*Data_NFI_t[[#This Row],[Mosquito net]],0)</f>
        <v>0</v>
      </c>
      <c r="AB335" s="112">
        <f>IF(NFI_Expiration=1,IF($A335&lt;VLOOKUP(M$5,NFI,5,0),1,0)*Data_NFI_t[[#This Row],[Tarpaulin]],0)</f>
        <v>0</v>
      </c>
      <c r="AC335" s="112">
        <f>IF(NFI_Expiration=1,IF($A335&lt;VLOOKUP(N$5,NFI,5,0),1,0)*Data_NFI_t[[#This Row],[Blanket]],0)</f>
        <v>0</v>
      </c>
      <c r="AD335" s="112">
        <f>IF(NFI_Expiration=1,IF($A335&lt;VLOOKUP(O$5,NFI,5,0),1,0)*Data_NFI_t[[#This Row],[Kitchen Set]],0)</f>
        <v>0</v>
      </c>
      <c r="AE335" s="112">
        <f>IF(NFI_Expiration=1,IF($A335&lt;VLOOKUP(P$5,NFI,5,0),1,0)*Data_NFI_t[[#This Row],[Complementary Kit]],0)</f>
        <v>0</v>
      </c>
      <c r="AF335" s="112">
        <f>IF(NFI_Expiration=1,IF($A335&lt;VLOOKUP(Q$5,NFI,5,0),1,0)*Data_NFI_t[[#This Row],[Plastic Bucket]],0)</f>
        <v>0</v>
      </c>
      <c r="AG335" s="112">
        <f>IF(NFI_Expiration=1,IF($A335&lt;VLOOKUP(R$5,NFI,5,0),1,0)*Data_NFI_t[[#This Row],[Jerry Can]],0)</f>
        <v>0</v>
      </c>
      <c r="AH335" s="131">
        <f>IF(NFI_Expiration=1,IF($A335&lt;VLOOKUP(S$5,NFI,5,0),1,0)*Data_NFI_t[[#This Row],[Plastic Mat]],0)*IF(Data_NFI_t[[#This Row],[Distribution Date]]&gt;"01-06-2015",1,2.5)</f>
        <v>0</v>
      </c>
      <c r="AI335" s="901">
        <f>IF(NFI_Expiration=1,IF($A335&lt;VLOOKUP(T$5,NFI,5,0),1,0)*Data_NFI_t[[#This Row],[Adult Clothes]],0)</f>
        <v>0</v>
      </c>
      <c r="AJ335" s="131">
        <f>IF(NFI_Expiration=1,IF($A335&lt;VLOOKUP(U$5,NFI,5,0),1,0)*Data_NFI_t[[#This Row],[Children Clothes]],0)</f>
        <v>0</v>
      </c>
      <c r="AK335" s="131">
        <f>IF(NFI_Expiration=1,IF($A335&lt;VLOOKUP(V$5,NFI,5,0),1,0)*Data_NFI_t[[#This Row],[Sewing Kit]],0)</f>
        <v>0</v>
      </c>
      <c r="AL335" s="901">
        <f>IF(NFI_Expiration=1,IF($A335&lt;VLOOKUP(V$5,NFI,5,0),1,0)*Data_NFI_t[[#This Row],[Solar Lantern]],0)</f>
        <v>0</v>
      </c>
      <c r="AM335" s="131" t="str">
        <f ca="1">IFERROR(OFFSET(Camp_List[P_Code],MATCH(Data_NFI_t[[#This Row],[Camp Name]],Camp_List[Camp Name],0)-1,0,1,1),"")</f>
        <v>MMR012CMP041</v>
      </c>
      <c r="AN335" s="513" t="str">
        <f ca="1">IFERROR(OFFSET(Camp_List[Status],MATCH(Data_NFI_t[[#This Row],[Camp Name]],Camp_List[Camp Name],0)-1,0,1,1),"")</f>
        <v>Open</v>
      </c>
      <c r="AO335" s="131"/>
    </row>
    <row r="336" spans="1:41" s="90" customFormat="1" ht="19.5" customHeight="1" x14ac:dyDescent="0.25">
      <c r="A336" s="242">
        <f t="shared" si="6"/>
        <v>53.333333333333336</v>
      </c>
      <c r="B336" s="242">
        <f>YEAR(Data_NFI_t[[#This Row],[Distribution Date]])</f>
        <v>2012</v>
      </c>
      <c r="C336" s="913">
        <v>41256</v>
      </c>
      <c r="D336" s="489" t="s">
        <v>285</v>
      </c>
      <c r="E336" s="488"/>
      <c r="F336" s="489" t="s">
        <v>7</v>
      </c>
      <c r="G336" s="790" t="s">
        <v>15</v>
      </c>
      <c r="H336" s="790" t="s">
        <v>51</v>
      </c>
      <c r="I336" s="790"/>
      <c r="J336" s="51"/>
      <c r="K336" s="51"/>
      <c r="L336" s="51">
        <v>232</v>
      </c>
      <c r="M336" s="51"/>
      <c r="N336" s="51">
        <v>232</v>
      </c>
      <c r="O336" s="51">
        <v>105</v>
      </c>
      <c r="P336" s="51">
        <v>116</v>
      </c>
      <c r="Q336" s="51"/>
      <c r="R336" s="511"/>
      <c r="S336" s="51"/>
      <c r="T336" s="51"/>
      <c r="U336" s="51"/>
      <c r="V336" s="51"/>
      <c r="W336" s="51"/>
      <c r="X336" s="131">
        <f>IF(NFI_Expiration=1,IF($A336&lt;VLOOKUP(I$5,NFI,5,0),1,0)*Data_NFI_t[[#This Row],[Hygiene Kit]],0)</f>
        <v>0</v>
      </c>
      <c r="Y336" s="131">
        <f>IF(NFI_Expiration=1,IF($A336&lt;VLOOKUP(J$5,NFI,5,0),1,0)*Data_NFI_t[[#This Row],[NFI Core Kit]],0)</f>
        <v>0</v>
      </c>
      <c r="Z336" s="112">
        <f>IF(NFI_Expiration=1,IF($A336&lt;VLOOKUP(K$5,NFI,5,0),1,0)*Data_NFI_t[[#This Row],[Sanitary Kit]],0)</f>
        <v>0</v>
      </c>
      <c r="AA336" s="112">
        <f>IF(NFI_Expiration=1,IF($A336&lt;VLOOKUP(L$5,NFI,5,0),1,0)*Data_NFI_t[[#This Row],[Mosquito net]],0)</f>
        <v>0</v>
      </c>
      <c r="AB336" s="112">
        <f>IF(NFI_Expiration=1,IF($A336&lt;VLOOKUP(M$5,NFI,5,0),1,0)*Data_NFI_t[[#This Row],[Tarpaulin]],0)</f>
        <v>0</v>
      </c>
      <c r="AC336" s="112">
        <f>IF(NFI_Expiration=1,IF($A336&lt;VLOOKUP(N$5,NFI,5,0),1,0)*Data_NFI_t[[#This Row],[Blanket]],0)</f>
        <v>0</v>
      </c>
      <c r="AD336" s="112">
        <f>IF(NFI_Expiration=1,IF($A336&lt;VLOOKUP(O$5,NFI,5,0),1,0)*Data_NFI_t[[#This Row],[Kitchen Set]],0)</f>
        <v>0</v>
      </c>
      <c r="AE336" s="112">
        <f>IF(NFI_Expiration=1,IF($A336&lt;VLOOKUP(P$5,NFI,5,0),1,0)*Data_NFI_t[[#This Row],[Complementary Kit]],0)</f>
        <v>0</v>
      </c>
      <c r="AF336" s="112">
        <f>IF(NFI_Expiration=1,IF($A336&lt;VLOOKUP(Q$5,NFI,5,0),1,0)*Data_NFI_t[[#This Row],[Plastic Bucket]],0)</f>
        <v>0</v>
      </c>
      <c r="AG336" s="112">
        <f>IF(NFI_Expiration=1,IF($A336&lt;VLOOKUP(R$5,NFI,5,0),1,0)*Data_NFI_t[[#This Row],[Jerry Can]],0)</f>
        <v>0</v>
      </c>
      <c r="AH336" s="131">
        <f>IF(NFI_Expiration=1,IF($A336&lt;VLOOKUP(S$5,NFI,5,0),1,0)*Data_NFI_t[[#This Row],[Plastic Mat]],0)*IF(Data_NFI_t[[#This Row],[Distribution Date]]&gt;"01-06-2015",1,2.5)</f>
        <v>0</v>
      </c>
      <c r="AI336" s="901">
        <f>IF(NFI_Expiration=1,IF($A336&lt;VLOOKUP(T$5,NFI,5,0),1,0)*Data_NFI_t[[#This Row],[Adult Clothes]],0)</f>
        <v>0</v>
      </c>
      <c r="AJ336" s="131">
        <f>IF(NFI_Expiration=1,IF($A336&lt;VLOOKUP(U$5,NFI,5,0),1,0)*Data_NFI_t[[#This Row],[Children Clothes]],0)</f>
        <v>0</v>
      </c>
      <c r="AK336" s="131">
        <f>IF(NFI_Expiration=1,IF($A336&lt;VLOOKUP(V$5,NFI,5,0),1,0)*Data_NFI_t[[#This Row],[Sewing Kit]],0)</f>
        <v>0</v>
      </c>
      <c r="AL336" s="901">
        <f>IF(NFI_Expiration=1,IF($A336&lt;VLOOKUP(V$5,NFI,5,0),1,0)*Data_NFI_t[[#This Row],[Solar Lantern]],0)</f>
        <v>0</v>
      </c>
      <c r="AM336" s="131" t="str">
        <f ca="1">IFERROR(OFFSET(Camp_List[P_Code],MATCH(Data_NFI_t[[#This Row],[Camp Name]],Camp_List[Camp Name],0)-1,0,1,1),"")</f>
        <v>MMR012CMP027</v>
      </c>
      <c r="AN336" s="513" t="str">
        <f ca="1">IFERROR(OFFSET(Camp_List[Status],MATCH(Data_NFI_t[[#This Row],[Camp Name]],Camp_List[Camp Name],0)-1,0,1,1),"")</f>
        <v>Returned</v>
      </c>
      <c r="AO336" s="131"/>
    </row>
    <row r="337" spans="1:41" s="90" customFormat="1" ht="19.5" customHeight="1" x14ac:dyDescent="0.25">
      <c r="A337" s="242">
        <f t="shared" si="6"/>
        <v>53.333333333333336</v>
      </c>
      <c r="B337" s="242">
        <f>YEAR(Data_NFI_t[[#This Row],[Distribution Date]])</f>
        <v>2012</v>
      </c>
      <c r="C337" s="913">
        <v>41256</v>
      </c>
      <c r="D337" s="489" t="s">
        <v>285</v>
      </c>
      <c r="E337" s="488"/>
      <c r="F337" s="489" t="s">
        <v>7</v>
      </c>
      <c r="G337" s="790" t="s">
        <v>15</v>
      </c>
      <c r="H337" s="790" t="s">
        <v>50</v>
      </c>
      <c r="I337" s="790"/>
      <c r="J337" s="51"/>
      <c r="K337" s="51"/>
      <c r="L337" s="51">
        <v>460</v>
      </c>
      <c r="M337" s="51"/>
      <c r="N337" s="51">
        <v>460</v>
      </c>
      <c r="O337" s="51">
        <v>145</v>
      </c>
      <c r="P337" s="51"/>
      <c r="Q337" s="51"/>
      <c r="R337" s="511"/>
      <c r="S337" s="51"/>
      <c r="T337" s="51"/>
      <c r="U337" s="51"/>
      <c r="V337" s="51"/>
      <c r="W337" s="51"/>
      <c r="X337" s="131">
        <f>IF(NFI_Expiration=1,IF($A337&lt;VLOOKUP(I$5,NFI,5,0),1,0)*Data_NFI_t[[#This Row],[Hygiene Kit]],0)</f>
        <v>0</v>
      </c>
      <c r="Y337" s="131">
        <f>IF(NFI_Expiration=1,IF($A337&lt;VLOOKUP(J$5,NFI,5,0),1,0)*Data_NFI_t[[#This Row],[NFI Core Kit]],0)</f>
        <v>0</v>
      </c>
      <c r="Z337" s="112">
        <f>IF(NFI_Expiration=1,IF($A337&lt;VLOOKUP(K$5,NFI,5,0),1,0)*Data_NFI_t[[#This Row],[Sanitary Kit]],0)</f>
        <v>0</v>
      </c>
      <c r="AA337" s="112">
        <f>IF(NFI_Expiration=1,IF($A337&lt;VLOOKUP(L$5,NFI,5,0),1,0)*Data_NFI_t[[#This Row],[Mosquito net]],0)</f>
        <v>0</v>
      </c>
      <c r="AB337" s="112">
        <f>IF(NFI_Expiration=1,IF($A337&lt;VLOOKUP(M$5,NFI,5,0),1,0)*Data_NFI_t[[#This Row],[Tarpaulin]],0)</f>
        <v>0</v>
      </c>
      <c r="AC337" s="112">
        <f>IF(NFI_Expiration=1,IF($A337&lt;VLOOKUP(N$5,NFI,5,0),1,0)*Data_NFI_t[[#This Row],[Blanket]],0)</f>
        <v>0</v>
      </c>
      <c r="AD337" s="112">
        <f>IF(NFI_Expiration=1,IF($A337&lt;VLOOKUP(O$5,NFI,5,0),1,0)*Data_NFI_t[[#This Row],[Kitchen Set]],0)</f>
        <v>0</v>
      </c>
      <c r="AE337" s="112">
        <f>IF(NFI_Expiration=1,IF($A337&lt;VLOOKUP(P$5,NFI,5,0),1,0)*Data_NFI_t[[#This Row],[Complementary Kit]],0)</f>
        <v>0</v>
      </c>
      <c r="AF337" s="112">
        <f>IF(NFI_Expiration=1,IF($A337&lt;VLOOKUP(Q$5,NFI,5,0),1,0)*Data_NFI_t[[#This Row],[Plastic Bucket]],0)</f>
        <v>0</v>
      </c>
      <c r="AG337" s="112">
        <f>IF(NFI_Expiration=1,IF($A337&lt;VLOOKUP(R$5,NFI,5,0),1,0)*Data_NFI_t[[#This Row],[Jerry Can]],0)</f>
        <v>0</v>
      </c>
      <c r="AH337" s="131">
        <f>IF(NFI_Expiration=1,IF($A337&lt;VLOOKUP(S$5,NFI,5,0),1,0)*Data_NFI_t[[#This Row],[Plastic Mat]],0)*IF(Data_NFI_t[[#This Row],[Distribution Date]]&gt;"01-06-2015",1,2.5)</f>
        <v>0</v>
      </c>
      <c r="AI337" s="901">
        <f>IF(NFI_Expiration=1,IF($A337&lt;VLOOKUP(T$5,NFI,5,0),1,0)*Data_NFI_t[[#This Row],[Adult Clothes]],0)</f>
        <v>0</v>
      </c>
      <c r="AJ337" s="131">
        <f>IF(NFI_Expiration=1,IF($A337&lt;VLOOKUP(U$5,NFI,5,0),1,0)*Data_NFI_t[[#This Row],[Children Clothes]],0)</f>
        <v>0</v>
      </c>
      <c r="AK337" s="131">
        <f>IF(NFI_Expiration=1,IF($A337&lt;VLOOKUP(V$5,NFI,5,0),1,0)*Data_NFI_t[[#This Row],[Sewing Kit]],0)</f>
        <v>0</v>
      </c>
      <c r="AL337" s="901">
        <f>IF(NFI_Expiration=1,IF($A337&lt;VLOOKUP(V$5,NFI,5,0),1,0)*Data_NFI_t[[#This Row],[Solar Lantern]],0)</f>
        <v>0</v>
      </c>
      <c r="AM337" s="131" t="str">
        <f ca="1">IFERROR(OFFSET(Camp_List[P_Code],MATCH(Data_NFI_t[[#This Row],[Camp Name]],Camp_List[Camp Name],0)-1,0,1,1),"")</f>
        <v>MMR012CMP026</v>
      </c>
      <c r="AN337" s="513" t="str">
        <f ca="1">IFERROR(OFFSET(Camp_List[Status],MATCH(Data_NFI_t[[#This Row],[Camp Name]],Camp_List[Camp Name],0)-1,0,1,1),"")</f>
        <v>Returned</v>
      </c>
      <c r="AO337" s="131"/>
    </row>
    <row r="338" spans="1:41" s="90" customFormat="1" ht="19.5" customHeight="1" x14ac:dyDescent="0.25">
      <c r="A338" s="242">
        <f t="shared" si="6"/>
        <v>53.333333333333336</v>
      </c>
      <c r="B338" s="242">
        <f>YEAR(Data_NFI_t[[#This Row],[Distribution Date]])</f>
        <v>2012</v>
      </c>
      <c r="C338" s="913">
        <v>41256</v>
      </c>
      <c r="D338" s="489" t="s">
        <v>285</v>
      </c>
      <c r="E338" s="488"/>
      <c r="F338" s="489" t="s">
        <v>7</v>
      </c>
      <c r="G338" s="790" t="s">
        <v>19</v>
      </c>
      <c r="H338" s="790" t="s">
        <v>64</v>
      </c>
      <c r="I338" s="790"/>
      <c r="J338" s="51"/>
      <c r="K338" s="51">
        <v>310</v>
      </c>
      <c r="L338" s="51"/>
      <c r="M338" s="51"/>
      <c r="N338" s="51"/>
      <c r="O338" s="51"/>
      <c r="P338" s="51"/>
      <c r="Q338" s="51"/>
      <c r="R338" s="511"/>
      <c r="S338" s="51"/>
      <c r="T338" s="51"/>
      <c r="U338" s="51"/>
      <c r="V338" s="51"/>
      <c r="W338" s="51"/>
      <c r="X338" s="131">
        <f>IF(NFI_Expiration=1,IF($A338&lt;VLOOKUP(I$5,NFI,5,0),1,0)*Data_NFI_t[[#This Row],[Hygiene Kit]],0)</f>
        <v>0</v>
      </c>
      <c r="Y338" s="131">
        <f>IF(NFI_Expiration=1,IF($A338&lt;VLOOKUP(J$5,NFI,5,0),1,0)*Data_NFI_t[[#This Row],[NFI Core Kit]],0)</f>
        <v>0</v>
      </c>
      <c r="Z338" s="112">
        <f>IF(NFI_Expiration=1,IF($A338&lt;VLOOKUP(K$5,NFI,5,0),1,0)*Data_NFI_t[[#This Row],[Sanitary Kit]],0)</f>
        <v>0</v>
      </c>
      <c r="AA338" s="112">
        <f>IF(NFI_Expiration=1,IF($A338&lt;VLOOKUP(L$5,NFI,5,0),1,0)*Data_NFI_t[[#This Row],[Mosquito net]],0)</f>
        <v>0</v>
      </c>
      <c r="AB338" s="112">
        <f>IF(NFI_Expiration=1,IF($A338&lt;VLOOKUP(M$5,NFI,5,0),1,0)*Data_NFI_t[[#This Row],[Tarpaulin]],0)</f>
        <v>0</v>
      </c>
      <c r="AC338" s="112">
        <f>IF(NFI_Expiration=1,IF($A338&lt;VLOOKUP(N$5,NFI,5,0),1,0)*Data_NFI_t[[#This Row],[Blanket]],0)</f>
        <v>0</v>
      </c>
      <c r="AD338" s="112">
        <f>IF(NFI_Expiration=1,IF($A338&lt;VLOOKUP(O$5,NFI,5,0),1,0)*Data_NFI_t[[#This Row],[Kitchen Set]],0)</f>
        <v>0</v>
      </c>
      <c r="AE338" s="112">
        <f>IF(NFI_Expiration=1,IF($A338&lt;VLOOKUP(P$5,NFI,5,0),1,0)*Data_NFI_t[[#This Row],[Complementary Kit]],0)</f>
        <v>0</v>
      </c>
      <c r="AF338" s="112">
        <f>IF(NFI_Expiration=1,IF($A338&lt;VLOOKUP(Q$5,NFI,5,0),1,0)*Data_NFI_t[[#This Row],[Plastic Bucket]],0)</f>
        <v>0</v>
      </c>
      <c r="AG338" s="112">
        <f>IF(NFI_Expiration=1,IF($A338&lt;VLOOKUP(R$5,NFI,5,0),1,0)*Data_NFI_t[[#This Row],[Jerry Can]],0)</f>
        <v>0</v>
      </c>
      <c r="AH338" s="131">
        <f>IF(NFI_Expiration=1,IF($A338&lt;VLOOKUP(S$5,NFI,5,0),1,0)*Data_NFI_t[[#This Row],[Plastic Mat]],0)*IF(Data_NFI_t[[#This Row],[Distribution Date]]&gt;"01-06-2015",1,2.5)</f>
        <v>0</v>
      </c>
      <c r="AI338" s="901">
        <f>IF(NFI_Expiration=1,IF($A338&lt;VLOOKUP(T$5,NFI,5,0),1,0)*Data_NFI_t[[#This Row],[Adult Clothes]],0)</f>
        <v>0</v>
      </c>
      <c r="AJ338" s="131">
        <f>IF(NFI_Expiration=1,IF($A338&lt;VLOOKUP(U$5,NFI,5,0),1,0)*Data_NFI_t[[#This Row],[Children Clothes]],0)</f>
        <v>0</v>
      </c>
      <c r="AK338" s="131">
        <f>IF(NFI_Expiration=1,IF($A338&lt;VLOOKUP(V$5,NFI,5,0),1,0)*Data_NFI_t[[#This Row],[Sewing Kit]],0)</f>
        <v>0</v>
      </c>
      <c r="AL338" s="901">
        <f>IF(NFI_Expiration=1,IF($A338&lt;VLOOKUP(V$5,NFI,5,0),1,0)*Data_NFI_t[[#This Row],[Solar Lantern]],0)</f>
        <v>0</v>
      </c>
      <c r="AM338" s="131" t="str">
        <f ca="1">IFERROR(OFFSET(Camp_List[P_Code],MATCH(Data_NFI_t[[#This Row],[Camp Name]],Camp_List[Camp Name],0)-1,0,1,1),"")</f>
        <v>MMR012CMP042</v>
      </c>
      <c r="AN338" s="513" t="str">
        <f ca="1">IFERROR(OFFSET(Camp_List[Status],MATCH(Data_NFI_t[[#This Row],[Camp Name]],Camp_List[Camp Name],0)-1,0,1,1),"")</f>
        <v>Open</v>
      </c>
      <c r="AO338" s="131"/>
    </row>
    <row r="339" spans="1:41" s="90" customFormat="1" ht="19.5" customHeight="1" x14ac:dyDescent="0.25">
      <c r="A339" s="242">
        <f t="shared" si="6"/>
        <v>53.333333333333336</v>
      </c>
      <c r="B339" s="242">
        <f>YEAR(Data_NFI_t[[#This Row],[Distribution Date]])</f>
        <v>2012</v>
      </c>
      <c r="C339" s="913">
        <v>41256</v>
      </c>
      <c r="D339" s="489" t="s">
        <v>285</v>
      </c>
      <c r="E339" s="488"/>
      <c r="F339" s="489" t="s">
        <v>7</v>
      </c>
      <c r="G339" s="790" t="s">
        <v>15</v>
      </c>
      <c r="H339" s="790" t="s">
        <v>44</v>
      </c>
      <c r="I339" s="790"/>
      <c r="J339" s="51"/>
      <c r="K339" s="51"/>
      <c r="L339" s="51">
        <v>36</v>
      </c>
      <c r="M339" s="51"/>
      <c r="N339" s="51">
        <v>36</v>
      </c>
      <c r="O339" s="51">
        <v>18</v>
      </c>
      <c r="P339" s="51">
        <v>18</v>
      </c>
      <c r="Q339" s="51"/>
      <c r="R339" s="511"/>
      <c r="S339" s="51"/>
      <c r="T339" s="51"/>
      <c r="U339" s="51"/>
      <c r="V339" s="51"/>
      <c r="W339" s="51"/>
      <c r="X339" s="131">
        <f>IF(NFI_Expiration=1,IF($A339&lt;VLOOKUP(I$5,NFI,5,0),1,0)*Data_NFI_t[[#This Row],[Hygiene Kit]],0)</f>
        <v>0</v>
      </c>
      <c r="Y339" s="131">
        <f>IF(NFI_Expiration=1,IF($A339&lt;VLOOKUP(J$5,NFI,5,0),1,0)*Data_NFI_t[[#This Row],[NFI Core Kit]],0)</f>
        <v>0</v>
      </c>
      <c r="Z339" s="112">
        <f>IF(NFI_Expiration=1,IF($A339&lt;VLOOKUP(K$5,NFI,5,0),1,0)*Data_NFI_t[[#This Row],[Sanitary Kit]],0)</f>
        <v>0</v>
      </c>
      <c r="AA339" s="112">
        <f>IF(NFI_Expiration=1,IF($A339&lt;VLOOKUP(L$5,NFI,5,0),1,0)*Data_NFI_t[[#This Row],[Mosquito net]],0)</f>
        <v>0</v>
      </c>
      <c r="AB339" s="112">
        <f>IF(NFI_Expiration=1,IF($A339&lt;VLOOKUP(M$5,NFI,5,0),1,0)*Data_NFI_t[[#This Row],[Tarpaulin]],0)</f>
        <v>0</v>
      </c>
      <c r="AC339" s="112">
        <f>IF(NFI_Expiration=1,IF($A339&lt;VLOOKUP(N$5,NFI,5,0),1,0)*Data_NFI_t[[#This Row],[Blanket]],0)</f>
        <v>0</v>
      </c>
      <c r="AD339" s="112">
        <f>IF(NFI_Expiration=1,IF($A339&lt;VLOOKUP(O$5,NFI,5,0),1,0)*Data_NFI_t[[#This Row],[Kitchen Set]],0)</f>
        <v>0</v>
      </c>
      <c r="AE339" s="112">
        <f>IF(NFI_Expiration=1,IF($A339&lt;VLOOKUP(P$5,NFI,5,0),1,0)*Data_NFI_t[[#This Row],[Complementary Kit]],0)</f>
        <v>0</v>
      </c>
      <c r="AF339" s="112">
        <f>IF(NFI_Expiration=1,IF($A339&lt;VLOOKUP(Q$5,NFI,5,0),1,0)*Data_NFI_t[[#This Row],[Plastic Bucket]],0)</f>
        <v>0</v>
      </c>
      <c r="AG339" s="112">
        <f>IF(NFI_Expiration=1,IF($A339&lt;VLOOKUP(R$5,NFI,5,0),1,0)*Data_NFI_t[[#This Row],[Jerry Can]],0)</f>
        <v>0</v>
      </c>
      <c r="AH339" s="131">
        <f>IF(NFI_Expiration=1,IF($A339&lt;VLOOKUP(S$5,NFI,5,0),1,0)*Data_NFI_t[[#This Row],[Plastic Mat]],0)*IF(Data_NFI_t[[#This Row],[Distribution Date]]&gt;"01-06-2015",1,2.5)</f>
        <v>0</v>
      </c>
      <c r="AI339" s="901">
        <f>IF(NFI_Expiration=1,IF($A339&lt;VLOOKUP(T$5,NFI,5,0),1,0)*Data_NFI_t[[#This Row],[Adult Clothes]],0)</f>
        <v>0</v>
      </c>
      <c r="AJ339" s="131">
        <f>IF(NFI_Expiration=1,IF($A339&lt;VLOOKUP(U$5,NFI,5,0),1,0)*Data_NFI_t[[#This Row],[Children Clothes]],0)</f>
        <v>0</v>
      </c>
      <c r="AK339" s="131">
        <f>IF(NFI_Expiration=1,IF($A339&lt;VLOOKUP(V$5,NFI,5,0),1,0)*Data_NFI_t[[#This Row],[Sewing Kit]],0)</f>
        <v>0</v>
      </c>
      <c r="AL339" s="901">
        <f>IF(NFI_Expiration=1,IF($A339&lt;VLOOKUP(V$5,NFI,5,0),1,0)*Data_NFI_t[[#This Row],[Solar Lantern]],0)</f>
        <v>0</v>
      </c>
      <c r="AM339" s="131" t="str">
        <f ca="1">IFERROR(OFFSET(Camp_List[P_Code],MATCH(Data_NFI_t[[#This Row],[Camp Name]],Camp_List[Camp Name],0)-1,0,1,1),"")</f>
        <v>MMR012CMP020</v>
      </c>
      <c r="AN339" s="513" t="str">
        <f ca="1">IFERROR(OFFSET(Camp_List[Status],MATCH(Data_NFI_t[[#This Row],[Camp Name]],Camp_List[Camp Name],0)-1,0,1,1),"")</f>
        <v>Returned</v>
      </c>
      <c r="AO339" s="131"/>
    </row>
    <row r="340" spans="1:41" s="90" customFormat="1" ht="19.5" customHeight="1" x14ac:dyDescent="0.25">
      <c r="A340" s="242">
        <f t="shared" si="6"/>
        <v>53.333333333333336</v>
      </c>
      <c r="B340" s="242">
        <f>YEAR(Data_NFI_t[[#This Row],[Distribution Date]])</f>
        <v>2012</v>
      </c>
      <c r="C340" s="913">
        <v>41256</v>
      </c>
      <c r="D340" s="489" t="s">
        <v>285</v>
      </c>
      <c r="E340" s="488"/>
      <c r="F340" s="489" t="s">
        <v>7</v>
      </c>
      <c r="G340" s="790" t="s">
        <v>19</v>
      </c>
      <c r="H340" s="790" t="s">
        <v>65</v>
      </c>
      <c r="I340" s="790"/>
      <c r="J340" s="51"/>
      <c r="K340" s="51">
        <v>65</v>
      </c>
      <c r="L340" s="51"/>
      <c r="M340" s="51"/>
      <c r="N340" s="51"/>
      <c r="O340" s="51"/>
      <c r="P340" s="51"/>
      <c r="Q340" s="51"/>
      <c r="R340" s="511"/>
      <c r="S340" s="51"/>
      <c r="T340" s="51"/>
      <c r="U340" s="51"/>
      <c r="V340" s="51"/>
      <c r="W340" s="51"/>
      <c r="X340" s="131">
        <f>IF(NFI_Expiration=1,IF($A340&lt;VLOOKUP(I$5,NFI,5,0),1,0)*Data_NFI_t[[#This Row],[Hygiene Kit]],0)</f>
        <v>0</v>
      </c>
      <c r="Y340" s="131">
        <f>IF(NFI_Expiration=1,IF($A340&lt;VLOOKUP(J$5,NFI,5,0),1,0)*Data_NFI_t[[#This Row],[NFI Core Kit]],0)</f>
        <v>0</v>
      </c>
      <c r="Z340" s="112">
        <f>IF(NFI_Expiration=1,IF($A340&lt;VLOOKUP(K$5,NFI,5,0),1,0)*Data_NFI_t[[#This Row],[Sanitary Kit]],0)</f>
        <v>0</v>
      </c>
      <c r="AA340" s="112">
        <f>IF(NFI_Expiration=1,IF($A340&lt;VLOOKUP(L$5,NFI,5,0),1,0)*Data_NFI_t[[#This Row],[Mosquito net]],0)</f>
        <v>0</v>
      </c>
      <c r="AB340" s="112">
        <f>IF(NFI_Expiration=1,IF($A340&lt;VLOOKUP(M$5,NFI,5,0),1,0)*Data_NFI_t[[#This Row],[Tarpaulin]],0)</f>
        <v>0</v>
      </c>
      <c r="AC340" s="112">
        <f>IF(NFI_Expiration=1,IF($A340&lt;VLOOKUP(N$5,NFI,5,0),1,0)*Data_NFI_t[[#This Row],[Blanket]],0)</f>
        <v>0</v>
      </c>
      <c r="AD340" s="112">
        <f>IF(NFI_Expiration=1,IF($A340&lt;VLOOKUP(O$5,NFI,5,0),1,0)*Data_NFI_t[[#This Row],[Kitchen Set]],0)</f>
        <v>0</v>
      </c>
      <c r="AE340" s="112">
        <f>IF(NFI_Expiration=1,IF($A340&lt;VLOOKUP(P$5,NFI,5,0),1,0)*Data_NFI_t[[#This Row],[Complementary Kit]],0)</f>
        <v>0</v>
      </c>
      <c r="AF340" s="112">
        <f>IF(NFI_Expiration=1,IF($A340&lt;VLOOKUP(Q$5,NFI,5,0),1,0)*Data_NFI_t[[#This Row],[Plastic Bucket]],0)</f>
        <v>0</v>
      </c>
      <c r="AG340" s="112">
        <f>IF(NFI_Expiration=1,IF($A340&lt;VLOOKUP(R$5,NFI,5,0),1,0)*Data_NFI_t[[#This Row],[Jerry Can]],0)</f>
        <v>0</v>
      </c>
      <c r="AH340" s="131">
        <f>IF(NFI_Expiration=1,IF($A340&lt;VLOOKUP(S$5,NFI,5,0),1,0)*Data_NFI_t[[#This Row],[Plastic Mat]],0)*IF(Data_NFI_t[[#This Row],[Distribution Date]]&gt;"01-06-2015",1,2.5)</f>
        <v>0</v>
      </c>
      <c r="AI340" s="901">
        <f>IF(NFI_Expiration=1,IF($A340&lt;VLOOKUP(T$5,NFI,5,0),1,0)*Data_NFI_t[[#This Row],[Adult Clothes]],0)</f>
        <v>0</v>
      </c>
      <c r="AJ340" s="131">
        <f>IF(NFI_Expiration=1,IF($A340&lt;VLOOKUP(U$5,NFI,5,0),1,0)*Data_NFI_t[[#This Row],[Children Clothes]],0)</f>
        <v>0</v>
      </c>
      <c r="AK340" s="131">
        <f>IF(NFI_Expiration=1,IF($A340&lt;VLOOKUP(V$5,NFI,5,0),1,0)*Data_NFI_t[[#This Row],[Sewing Kit]],0)</f>
        <v>0</v>
      </c>
      <c r="AL340" s="901">
        <f>IF(NFI_Expiration=1,IF($A340&lt;VLOOKUP(V$5,NFI,5,0),1,0)*Data_NFI_t[[#This Row],[Solar Lantern]],0)</f>
        <v>0</v>
      </c>
      <c r="AM340" s="131" t="str">
        <f ca="1">IFERROR(OFFSET(Camp_List[P_Code],MATCH(Data_NFI_t[[#This Row],[Camp Name]],Camp_List[Camp Name],0)-1,0,1,1),"")</f>
        <v>MMR012CMP043</v>
      </c>
      <c r="AN340" s="513" t="str">
        <f ca="1">IFERROR(OFFSET(Camp_List[Status],MATCH(Data_NFI_t[[#This Row],[Camp Name]],Camp_List[Camp Name],0)-1,0,1,1),"")</f>
        <v>Close</v>
      </c>
      <c r="AO340" s="131"/>
    </row>
    <row r="341" spans="1:41" s="90" customFormat="1" ht="19.5" customHeight="1" x14ac:dyDescent="0.25">
      <c r="A341" s="242">
        <f t="shared" si="6"/>
        <v>53.333333333333336</v>
      </c>
      <c r="B341" s="242">
        <f>YEAR(Data_NFI_t[[#This Row],[Distribution Date]])</f>
        <v>2012</v>
      </c>
      <c r="C341" s="913">
        <v>41256</v>
      </c>
      <c r="D341" s="489" t="s">
        <v>285</v>
      </c>
      <c r="E341" s="488"/>
      <c r="F341" s="489" t="s">
        <v>7</v>
      </c>
      <c r="G341" s="790" t="s">
        <v>11</v>
      </c>
      <c r="H341" s="790" t="s">
        <v>25</v>
      </c>
      <c r="I341" s="790"/>
      <c r="J341" s="51"/>
      <c r="K341" s="51"/>
      <c r="L341" s="51">
        <v>38</v>
      </c>
      <c r="M341" s="51"/>
      <c r="N341" s="51">
        <v>38</v>
      </c>
      <c r="O341" s="51">
        <v>19</v>
      </c>
      <c r="P341" s="51"/>
      <c r="Q341" s="51"/>
      <c r="R341" s="511"/>
      <c r="S341" s="51"/>
      <c r="T341" s="51"/>
      <c r="U341" s="51"/>
      <c r="V341" s="51"/>
      <c r="W341" s="51"/>
      <c r="X341" s="131">
        <f>IF(NFI_Expiration=1,IF($A341&lt;VLOOKUP(I$5,NFI,5,0),1,0)*Data_NFI_t[[#This Row],[Hygiene Kit]],0)</f>
        <v>0</v>
      </c>
      <c r="Y341" s="131">
        <f>IF(NFI_Expiration=1,IF($A341&lt;VLOOKUP(J$5,NFI,5,0),1,0)*Data_NFI_t[[#This Row],[NFI Core Kit]],0)</f>
        <v>0</v>
      </c>
      <c r="Z341" s="112">
        <f>IF(NFI_Expiration=1,IF($A341&lt;VLOOKUP(K$5,NFI,5,0),1,0)*Data_NFI_t[[#This Row],[Sanitary Kit]],0)</f>
        <v>0</v>
      </c>
      <c r="AA341" s="112">
        <f>IF(NFI_Expiration=1,IF($A341&lt;VLOOKUP(L$5,NFI,5,0),1,0)*Data_NFI_t[[#This Row],[Mosquito net]],0)</f>
        <v>0</v>
      </c>
      <c r="AB341" s="112">
        <f>IF(NFI_Expiration=1,IF($A341&lt;VLOOKUP(M$5,NFI,5,0),1,0)*Data_NFI_t[[#This Row],[Tarpaulin]],0)</f>
        <v>0</v>
      </c>
      <c r="AC341" s="112">
        <f>IF(NFI_Expiration=1,IF($A341&lt;VLOOKUP(N$5,NFI,5,0),1,0)*Data_NFI_t[[#This Row],[Blanket]],0)</f>
        <v>0</v>
      </c>
      <c r="AD341" s="112">
        <f>IF(NFI_Expiration=1,IF($A341&lt;VLOOKUP(O$5,NFI,5,0),1,0)*Data_NFI_t[[#This Row],[Kitchen Set]],0)</f>
        <v>0</v>
      </c>
      <c r="AE341" s="112">
        <f>IF(NFI_Expiration=1,IF($A341&lt;VLOOKUP(P$5,NFI,5,0),1,0)*Data_NFI_t[[#This Row],[Complementary Kit]],0)</f>
        <v>0</v>
      </c>
      <c r="AF341" s="112">
        <f>IF(NFI_Expiration=1,IF($A341&lt;VLOOKUP(Q$5,NFI,5,0),1,0)*Data_NFI_t[[#This Row],[Plastic Bucket]],0)</f>
        <v>0</v>
      </c>
      <c r="AG341" s="112">
        <f>IF(NFI_Expiration=1,IF($A341&lt;VLOOKUP(R$5,NFI,5,0),1,0)*Data_NFI_t[[#This Row],[Jerry Can]],0)</f>
        <v>0</v>
      </c>
      <c r="AH341" s="131">
        <f>IF(NFI_Expiration=1,IF($A341&lt;VLOOKUP(S$5,NFI,5,0),1,0)*Data_NFI_t[[#This Row],[Plastic Mat]],0)*IF(Data_NFI_t[[#This Row],[Distribution Date]]&gt;"01-06-2015",1,2.5)</f>
        <v>0</v>
      </c>
      <c r="AI341" s="901">
        <f>IF(NFI_Expiration=1,IF($A341&lt;VLOOKUP(T$5,NFI,5,0),1,0)*Data_NFI_t[[#This Row],[Adult Clothes]],0)</f>
        <v>0</v>
      </c>
      <c r="AJ341" s="131">
        <f>IF(NFI_Expiration=1,IF($A341&lt;VLOOKUP(U$5,NFI,5,0),1,0)*Data_NFI_t[[#This Row],[Children Clothes]],0)</f>
        <v>0</v>
      </c>
      <c r="AK341" s="131">
        <f>IF(NFI_Expiration=1,IF($A341&lt;VLOOKUP(V$5,NFI,5,0),1,0)*Data_NFI_t[[#This Row],[Sewing Kit]],0)</f>
        <v>0</v>
      </c>
      <c r="AL341" s="901">
        <f>IF(NFI_Expiration=1,IF($A341&lt;VLOOKUP(V$5,NFI,5,0),1,0)*Data_NFI_t[[#This Row],[Solar Lantern]],0)</f>
        <v>0</v>
      </c>
      <c r="AM341" s="131" t="str">
        <f ca="1">IFERROR(OFFSET(Camp_List[P_Code],MATCH(Data_NFI_t[[#This Row],[Camp Name]],Camp_List[Camp Name],0)-1,0,1,1),"")</f>
        <v>MMR012CMP001</v>
      </c>
      <c r="AN341" s="513" t="str">
        <f ca="1">IFERROR(OFFSET(Camp_List[Status],MATCH(Data_NFI_t[[#This Row],[Camp Name]],Camp_List[Camp Name],0)-1,0,1,1),"")</f>
        <v>Returned</v>
      </c>
      <c r="AO341" s="131"/>
    </row>
    <row r="342" spans="1:41" s="90" customFormat="1" ht="19.5" customHeight="1" x14ac:dyDescent="0.25">
      <c r="A342" s="242">
        <f t="shared" si="6"/>
        <v>53.333333333333336</v>
      </c>
      <c r="B342" s="242">
        <f>YEAR(Data_NFI_t[[#This Row],[Distribution Date]])</f>
        <v>2012</v>
      </c>
      <c r="C342" s="913">
        <v>41256</v>
      </c>
      <c r="D342" s="489" t="s">
        <v>285</v>
      </c>
      <c r="E342" s="488"/>
      <c r="F342" s="489" t="s">
        <v>7</v>
      </c>
      <c r="G342" s="790" t="s">
        <v>19</v>
      </c>
      <c r="H342" s="790" t="s">
        <v>66</v>
      </c>
      <c r="I342" s="790"/>
      <c r="J342" s="51"/>
      <c r="K342" s="51">
        <v>374</v>
      </c>
      <c r="L342" s="51"/>
      <c r="M342" s="51"/>
      <c r="N342" s="51"/>
      <c r="O342" s="51"/>
      <c r="P342" s="51"/>
      <c r="Q342" s="51"/>
      <c r="R342" s="511"/>
      <c r="S342" s="51"/>
      <c r="T342" s="51"/>
      <c r="U342" s="51"/>
      <c r="V342" s="51"/>
      <c r="W342" s="51"/>
      <c r="X342" s="131">
        <f>IF(NFI_Expiration=1,IF($A342&lt;VLOOKUP(I$5,NFI,5,0),1,0)*Data_NFI_t[[#This Row],[Hygiene Kit]],0)</f>
        <v>0</v>
      </c>
      <c r="Y342" s="131">
        <f>IF(NFI_Expiration=1,IF($A342&lt;VLOOKUP(J$5,NFI,5,0),1,0)*Data_NFI_t[[#This Row],[NFI Core Kit]],0)</f>
        <v>0</v>
      </c>
      <c r="Z342" s="112">
        <f>IF(NFI_Expiration=1,IF($A342&lt;VLOOKUP(K$5,NFI,5,0),1,0)*Data_NFI_t[[#This Row],[Sanitary Kit]],0)</f>
        <v>0</v>
      </c>
      <c r="AA342" s="112">
        <f>IF(NFI_Expiration=1,IF($A342&lt;VLOOKUP(L$5,NFI,5,0),1,0)*Data_NFI_t[[#This Row],[Mosquito net]],0)</f>
        <v>0</v>
      </c>
      <c r="AB342" s="112">
        <f>IF(NFI_Expiration=1,IF($A342&lt;VLOOKUP(M$5,NFI,5,0),1,0)*Data_NFI_t[[#This Row],[Tarpaulin]],0)</f>
        <v>0</v>
      </c>
      <c r="AC342" s="112">
        <f>IF(NFI_Expiration=1,IF($A342&lt;VLOOKUP(N$5,NFI,5,0),1,0)*Data_NFI_t[[#This Row],[Blanket]],0)</f>
        <v>0</v>
      </c>
      <c r="AD342" s="112">
        <f>IF(NFI_Expiration=1,IF($A342&lt;VLOOKUP(O$5,NFI,5,0),1,0)*Data_NFI_t[[#This Row],[Kitchen Set]],0)</f>
        <v>0</v>
      </c>
      <c r="AE342" s="112">
        <f>IF(NFI_Expiration=1,IF($A342&lt;VLOOKUP(P$5,NFI,5,0),1,0)*Data_NFI_t[[#This Row],[Complementary Kit]],0)</f>
        <v>0</v>
      </c>
      <c r="AF342" s="112">
        <f>IF(NFI_Expiration=1,IF($A342&lt;VLOOKUP(Q$5,NFI,5,0),1,0)*Data_NFI_t[[#This Row],[Plastic Bucket]],0)</f>
        <v>0</v>
      </c>
      <c r="AG342" s="112">
        <f>IF(NFI_Expiration=1,IF($A342&lt;VLOOKUP(R$5,NFI,5,0),1,0)*Data_NFI_t[[#This Row],[Jerry Can]],0)</f>
        <v>0</v>
      </c>
      <c r="AH342" s="131">
        <f>IF(NFI_Expiration=1,IF($A342&lt;VLOOKUP(S$5,NFI,5,0),1,0)*Data_NFI_t[[#This Row],[Plastic Mat]],0)*IF(Data_NFI_t[[#This Row],[Distribution Date]]&gt;"01-06-2015",1,2.5)</f>
        <v>0</v>
      </c>
      <c r="AI342" s="901">
        <f>IF(NFI_Expiration=1,IF($A342&lt;VLOOKUP(T$5,NFI,5,0),1,0)*Data_NFI_t[[#This Row],[Adult Clothes]],0)</f>
        <v>0</v>
      </c>
      <c r="AJ342" s="131">
        <f>IF(NFI_Expiration=1,IF($A342&lt;VLOOKUP(U$5,NFI,5,0),1,0)*Data_NFI_t[[#This Row],[Children Clothes]],0)</f>
        <v>0</v>
      </c>
      <c r="AK342" s="131">
        <f>IF(NFI_Expiration=1,IF($A342&lt;VLOOKUP(V$5,NFI,5,0),1,0)*Data_NFI_t[[#This Row],[Sewing Kit]],0)</f>
        <v>0</v>
      </c>
      <c r="AL342" s="901">
        <f>IF(NFI_Expiration=1,IF($A342&lt;VLOOKUP(V$5,NFI,5,0),1,0)*Data_NFI_t[[#This Row],[Solar Lantern]],0)</f>
        <v>0</v>
      </c>
      <c r="AM342" s="131" t="str">
        <f ca="1">IFERROR(OFFSET(Camp_List[P_Code],MATCH(Data_NFI_t[[#This Row],[Camp Name]],Camp_List[Camp Name],0)-1,0,1,1),"")</f>
        <v>MMR012CMP044</v>
      </c>
      <c r="AN342" s="513" t="str">
        <f ca="1">IFERROR(OFFSET(Camp_List[Status],MATCH(Data_NFI_t[[#This Row],[Camp Name]],Camp_List[Camp Name],0)-1,0,1,1),"")</f>
        <v>Close</v>
      </c>
      <c r="AO342" s="131"/>
    </row>
    <row r="343" spans="1:41" s="90" customFormat="1" ht="19.5" customHeight="1" x14ac:dyDescent="0.25">
      <c r="A343" s="242">
        <f t="shared" ref="A343:A406" si="7">IF(ISBLANK(C343),"",(Report_Date-C343)/30)</f>
        <v>53.333333333333336</v>
      </c>
      <c r="B343" s="242">
        <f>YEAR(Data_NFI_t[[#This Row],[Distribution Date]])</f>
        <v>2012</v>
      </c>
      <c r="C343" s="913">
        <v>41256</v>
      </c>
      <c r="D343" s="489" t="s">
        <v>285</v>
      </c>
      <c r="E343" s="488"/>
      <c r="F343" s="489" t="s">
        <v>7</v>
      </c>
      <c r="G343" s="790" t="s">
        <v>19</v>
      </c>
      <c r="H343" s="790" t="s">
        <v>67</v>
      </c>
      <c r="I343" s="790"/>
      <c r="J343" s="51"/>
      <c r="K343" s="51">
        <v>1460</v>
      </c>
      <c r="L343" s="51"/>
      <c r="M343" s="51"/>
      <c r="N343" s="51"/>
      <c r="O343" s="51"/>
      <c r="P343" s="51"/>
      <c r="Q343" s="51"/>
      <c r="R343" s="511"/>
      <c r="S343" s="51"/>
      <c r="T343" s="51"/>
      <c r="U343" s="51"/>
      <c r="V343" s="51"/>
      <c r="W343" s="51"/>
      <c r="X343" s="131">
        <f>IF(NFI_Expiration=1,IF($A343&lt;VLOOKUP(I$5,NFI,5,0),1,0)*Data_NFI_t[[#This Row],[Hygiene Kit]],0)</f>
        <v>0</v>
      </c>
      <c r="Y343" s="131">
        <f>IF(NFI_Expiration=1,IF($A343&lt;VLOOKUP(J$5,NFI,5,0),1,0)*Data_NFI_t[[#This Row],[NFI Core Kit]],0)</f>
        <v>0</v>
      </c>
      <c r="Z343" s="112">
        <f>IF(NFI_Expiration=1,IF($A343&lt;VLOOKUP(K$5,NFI,5,0),1,0)*Data_NFI_t[[#This Row],[Sanitary Kit]],0)</f>
        <v>0</v>
      </c>
      <c r="AA343" s="112">
        <f>IF(NFI_Expiration=1,IF($A343&lt;VLOOKUP(L$5,NFI,5,0),1,0)*Data_NFI_t[[#This Row],[Mosquito net]],0)</f>
        <v>0</v>
      </c>
      <c r="AB343" s="112">
        <f>IF(NFI_Expiration=1,IF($A343&lt;VLOOKUP(M$5,NFI,5,0),1,0)*Data_NFI_t[[#This Row],[Tarpaulin]],0)</f>
        <v>0</v>
      </c>
      <c r="AC343" s="112">
        <f>IF(NFI_Expiration=1,IF($A343&lt;VLOOKUP(N$5,NFI,5,0),1,0)*Data_NFI_t[[#This Row],[Blanket]],0)</f>
        <v>0</v>
      </c>
      <c r="AD343" s="112">
        <f>IF(NFI_Expiration=1,IF($A343&lt;VLOOKUP(O$5,NFI,5,0),1,0)*Data_NFI_t[[#This Row],[Kitchen Set]],0)</f>
        <v>0</v>
      </c>
      <c r="AE343" s="112">
        <f>IF(NFI_Expiration=1,IF($A343&lt;VLOOKUP(P$5,NFI,5,0),1,0)*Data_NFI_t[[#This Row],[Complementary Kit]],0)</f>
        <v>0</v>
      </c>
      <c r="AF343" s="112">
        <f>IF(NFI_Expiration=1,IF($A343&lt;VLOOKUP(Q$5,NFI,5,0),1,0)*Data_NFI_t[[#This Row],[Plastic Bucket]],0)</f>
        <v>0</v>
      </c>
      <c r="AG343" s="112">
        <f>IF(NFI_Expiration=1,IF($A343&lt;VLOOKUP(R$5,NFI,5,0),1,0)*Data_NFI_t[[#This Row],[Jerry Can]],0)</f>
        <v>0</v>
      </c>
      <c r="AH343" s="131">
        <f>IF(NFI_Expiration=1,IF($A343&lt;VLOOKUP(S$5,NFI,5,0),1,0)*Data_NFI_t[[#This Row],[Plastic Mat]],0)*IF(Data_NFI_t[[#This Row],[Distribution Date]]&gt;"01-06-2015",1,2.5)</f>
        <v>0</v>
      </c>
      <c r="AI343" s="901">
        <f>IF(NFI_Expiration=1,IF($A343&lt;VLOOKUP(T$5,NFI,5,0),1,0)*Data_NFI_t[[#This Row],[Adult Clothes]],0)</f>
        <v>0</v>
      </c>
      <c r="AJ343" s="131">
        <f>IF(NFI_Expiration=1,IF($A343&lt;VLOOKUP(U$5,NFI,5,0),1,0)*Data_NFI_t[[#This Row],[Children Clothes]],0)</f>
        <v>0</v>
      </c>
      <c r="AK343" s="131">
        <f>IF(NFI_Expiration=1,IF($A343&lt;VLOOKUP(V$5,NFI,5,0),1,0)*Data_NFI_t[[#This Row],[Sewing Kit]],0)</f>
        <v>0</v>
      </c>
      <c r="AL343" s="901">
        <f>IF(NFI_Expiration=1,IF($A343&lt;VLOOKUP(V$5,NFI,5,0),1,0)*Data_NFI_t[[#This Row],[Solar Lantern]],0)</f>
        <v>0</v>
      </c>
      <c r="AM343" s="131" t="str">
        <f ca="1">IFERROR(OFFSET(Camp_List[P_Code],MATCH(Data_NFI_t[[#This Row],[Camp Name]],Camp_List[Camp Name],0)-1,0,1,1),"")</f>
        <v>MMR012CMP045</v>
      </c>
      <c r="AN343" s="513" t="str">
        <f ca="1">IFERROR(OFFSET(Camp_List[Status],MATCH(Data_NFI_t[[#This Row],[Camp Name]],Camp_List[Camp Name],0)-1,0,1,1),"")</f>
        <v>Open</v>
      </c>
      <c r="AO343" s="131"/>
    </row>
    <row r="344" spans="1:41" s="90" customFormat="1" ht="19.5" customHeight="1" x14ac:dyDescent="0.25">
      <c r="A344" s="242">
        <f t="shared" si="7"/>
        <v>53.333333333333336</v>
      </c>
      <c r="B344" s="242">
        <f>YEAR(Data_NFI_t[[#This Row],[Distribution Date]])</f>
        <v>2012</v>
      </c>
      <c r="C344" s="913">
        <v>41256</v>
      </c>
      <c r="D344" s="489" t="s">
        <v>285</v>
      </c>
      <c r="E344" s="488"/>
      <c r="F344" s="489" t="s">
        <v>7</v>
      </c>
      <c r="G344" s="790" t="s">
        <v>15</v>
      </c>
      <c r="H344" s="790" t="s">
        <v>53</v>
      </c>
      <c r="I344" s="790"/>
      <c r="J344" s="51"/>
      <c r="K344" s="51"/>
      <c r="L344" s="51">
        <v>290</v>
      </c>
      <c r="M344" s="51"/>
      <c r="N344" s="51"/>
      <c r="O344" s="51"/>
      <c r="P344" s="51"/>
      <c r="Q344" s="51"/>
      <c r="R344" s="511"/>
      <c r="S344" s="51"/>
      <c r="T344" s="51"/>
      <c r="U344" s="51"/>
      <c r="V344" s="51"/>
      <c r="W344" s="51"/>
      <c r="X344" s="131">
        <f>IF(NFI_Expiration=1,IF($A344&lt;VLOOKUP(I$5,NFI,5,0),1,0)*Data_NFI_t[[#This Row],[Hygiene Kit]],0)</f>
        <v>0</v>
      </c>
      <c r="Y344" s="131">
        <f>IF(NFI_Expiration=1,IF($A344&lt;VLOOKUP(J$5,NFI,5,0),1,0)*Data_NFI_t[[#This Row],[NFI Core Kit]],0)</f>
        <v>0</v>
      </c>
      <c r="Z344" s="112">
        <f>IF(NFI_Expiration=1,IF($A344&lt;VLOOKUP(K$5,NFI,5,0),1,0)*Data_NFI_t[[#This Row],[Sanitary Kit]],0)</f>
        <v>0</v>
      </c>
      <c r="AA344" s="112">
        <f>IF(NFI_Expiration=1,IF($A344&lt;VLOOKUP(L$5,NFI,5,0),1,0)*Data_NFI_t[[#This Row],[Mosquito net]],0)</f>
        <v>0</v>
      </c>
      <c r="AB344" s="112">
        <f>IF(NFI_Expiration=1,IF($A344&lt;VLOOKUP(M$5,NFI,5,0),1,0)*Data_NFI_t[[#This Row],[Tarpaulin]],0)</f>
        <v>0</v>
      </c>
      <c r="AC344" s="112">
        <f>IF(NFI_Expiration=1,IF($A344&lt;VLOOKUP(N$5,NFI,5,0),1,0)*Data_NFI_t[[#This Row],[Blanket]],0)</f>
        <v>0</v>
      </c>
      <c r="AD344" s="112">
        <f>IF(NFI_Expiration=1,IF($A344&lt;VLOOKUP(O$5,NFI,5,0),1,0)*Data_NFI_t[[#This Row],[Kitchen Set]],0)</f>
        <v>0</v>
      </c>
      <c r="AE344" s="112">
        <f>IF(NFI_Expiration=1,IF($A344&lt;VLOOKUP(P$5,NFI,5,0),1,0)*Data_NFI_t[[#This Row],[Complementary Kit]],0)</f>
        <v>0</v>
      </c>
      <c r="AF344" s="112">
        <f>IF(NFI_Expiration=1,IF($A344&lt;VLOOKUP(Q$5,NFI,5,0),1,0)*Data_NFI_t[[#This Row],[Plastic Bucket]],0)</f>
        <v>0</v>
      </c>
      <c r="AG344" s="112">
        <f>IF(NFI_Expiration=1,IF($A344&lt;VLOOKUP(R$5,NFI,5,0),1,0)*Data_NFI_t[[#This Row],[Jerry Can]],0)</f>
        <v>0</v>
      </c>
      <c r="AH344" s="131">
        <f>IF(NFI_Expiration=1,IF($A344&lt;VLOOKUP(S$5,NFI,5,0),1,0)*Data_NFI_t[[#This Row],[Plastic Mat]],0)*IF(Data_NFI_t[[#This Row],[Distribution Date]]&gt;"01-06-2015",1,2.5)</f>
        <v>0</v>
      </c>
      <c r="AI344" s="901">
        <f>IF(NFI_Expiration=1,IF($A344&lt;VLOOKUP(T$5,NFI,5,0),1,0)*Data_NFI_t[[#This Row],[Adult Clothes]],0)</f>
        <v>0</v>
      </c>
      <c r="AJ344" s="131">
        <f>IF(NFI_Expiration=1,IF($A344&lt;VLOOKUP(U$5,NFI,5,0),1,0)*Data_NFI_t[[#This Row],[Children Clothes]],0)</f>
        <v>0</v>
      </c>
      <c r="AK344" s="131">
        <f>IF(NFI_Expiration=1,IF($A344&lt;VLOOKUP(V$5,NFI,5,0),1,0)*Data_NFI_t[[#This Row],[Sewing Kit]],0)</f>
        <v>0</v>
      </c>
      <c r="AL344" s="901">
        <f>IF(NFI_Expiration=1,IF($A344&lt;VLOOKUP(V$5,NFI,5,0),1,0)*Data_NFI_t[[#This Row],[Solar Lantern]],0)</f>
        <v>0</v>
      </c>
      <c r="AM344" s="131" t="str">
        <f ca="1">IFERROR(OFFSET(Camp_List[P_Code],MATCH(Data_NFI_t[[#This Row],[Camp Name]],Camp_List[Camp Name],0)-1,0,1,1),"")</f>
        <v>MMR012CMP029</v>
      </c>
      <c r="AN344" s="513" t="str">
        <f ca="1">IFERROR(OFFSET(Camp_List[Status],MATCH(Data_NFI_t[[#This Row],[Camp Name]],Camp_List[Camp Name],0)-1,0,1,1),"")</f>
        <v>Returned</v>
      </c>
      <c r="AO344" s="131"/>
    </row>
    <row r="345" spans="1:41" s="90" customFormat="1" ht="19.5" customHeight="1" x14ac:dyDescent="0.25">
      <c r="A345" s="242">
        <f t="shared" si="7"/>
        <v>53.333333333333336</v>
      </c>
      <c r="B345" s="242">
        <f>YEAR(Data_NFI_t[[#This Row],[Distribution Date]])</f>
        <v>2012</v>
      </c>
      <c r="C345" s="913">
        <v>41256</v>
      </c>
      <c r="D345" s="489" t="s">
        <v>285</v>
      </c>
      <c r="E345" s="488"/>
      <c r="F345" s="489" t="s">
        <v>7</v>
      </c>
      <c r="G345" s="790" t="s">
        <v>15</v>
      </c>
      <c r="H345" s="790" t="s">
        <v>45</v>
      </c>
      <c r="I345" s="790"/>
      <c r="J345" s="51"/>
      <c r="K345" s="51"/>
      <c r="L345" s="51"/>
      <c r="M345" s="51"/>
      <c r="N345" s="51"/>
      <c r="O345" s="51">
        <v>87</v>
      </c>
      <c r="P345" s="51"/>
      <c r="Q345" s="51"/>
      <c r="R345" s="511"/>
      <c r="S345" s="51"/>
      <c r="T345" s="51"/>
      <c r="U345" s="51"/>
      <c r="V345" s="51"/>
      <c r="W345" s="51"/>
      <c r="X345" s="131">
        <f>IF(NFI_Expiration=1,IF($A345&lt;VLOOKUP(I$5,NFI,5,0),1,0)*Data_NFI_t[[#This Row],[Hygiene Kit]],0)</f>
        <v>0</v>
      </c>
      <c r="Y345" s="131">
        <f>IF(NFI_Expiration=1,IF($A345&lt;VLOOKUP(J$5,NFI,5,0),1,0)*Data_NFI_t[[#This Row],[NFI Core Kit]],0)</f>
        <v>0</v>
      </c>
      <c r="Z345" s="112">
        <f>IF(NFI_Expiration=1,IF($A345&lt;VLOOKUP(K$5,NFI,5,0),1,0)*Data_NFI_t[[#This Row],[Sanitary Kit]],0)</f>
        <v>0</v>
      </c>
      <c r="AA345" s="112">
        <f>IF(NFI_Expiration=1,IF($A345&lt;VLOOKUP(L$5,NFI,5,0),1,0)*Data_NFI_t[[#This Row],[Mosquito net]],0)</f>
        <v>0</v>
      </c>
      <c r="AB345" s="112">
        <f>IF(NFI_Expiration=1,IF($A345&lt;VLOOKUP(M$5,NFI,5,0),1,0)*Data_NFI_t[[#This Row],[Tarpaulin]],0)</f>
        <v>0</v>
      </c>
      <c r="AC345" s="112">
        <f>IF(NFI_Expiration=1,IF($A345&lt;VLOOKUP(N$5,NFI,5,0),1,0)*Data_NFI_t[[#This Row],[Blanket]],0)</f>
        <v>0</v>
      </c>
      <c r="AD345" s="112">
        <f>IF(NFI_Expiration=1,IF($A345&lt;VLOOKUP(O$5,NFI,5,0),1,0)*Data_NFI_t[[#This Row],[Kitchen Set]],0)</f>
        <v>0</v>
      </c>
      <c r="AE345" s="112">
        <f>IF(NFI_Expiration=1,IF($A345&lt;VLOOKUP(P$5,NFI,5,0),1,0)*Data_NFI_t[[#This Row],[Complementary Kit]],0)</f>
        <v>0</v>
      </c>
      <c r="AF345" s="112">
        <f>IF(NFI_Expiration=1,IF($A345&lt;VLOOKUP(Q$5,NFI,5,0),1,0)*Data_NFI_t[[#This Row],[Plastic Bucket]],0)</f>
        <v>0</v>
      </c>
      <c r="AG345" s="112">
        <f>IF(NFI_Expiration=1,IF($A345&lt;VLOOKUP(R$5,NFI,5,0),1,0)*Data_NFI_t[[#This Row],[Jerry Can]],0)</f>
        <v>0</v>
      </c>
      <c r="AH345" s="131">
        <f>IF(NFI_Expiration=1,IF($A345&lt;VLOOKUP(S$5,NFI,5,0),1,0)*Data_NFI_t[[#This Row],[Plastic Mat]],0)*IF(Data_NFI_t[[#This Row],[Distribution Date]]&gt;"01-06-2015",1,2.5)</f>
        <v>0</v>
      </c>
      <c r="AI345" s="901">
        <f>IF(NFI_Expiration=1,IF($A345&lt;VLOOKUP(T$5,NFI,5,0),1,0)*Data_NFI_t[[#This Row],[Adult Clothes]],0)</f>
        <v>0</v>
      </c>
      <c r="AJ345" s="131">
        <f>IF(NFI_Expiration=1,IF($A345&lt;VLOOKUP(U$5,NFI,5,0),1,0)*Data_NFI_t[[#This Row],[Children Clothes]],0)</f>
        <v>0</v>
      </c>
      <c r="AK345" s="131">
        <f>IF(NFI_Expiration=1,IF($A345&lt;VLOOKUP(V$5,NFI,5,0),1,0)*Data_NFI_t[[#This Row],[Sewing Kit]],0)</f>
        <v>0</v>
      </c>
      <c r="AL345" s="901">
        <f>IF(NFI_Expiration=1,IF($A345&lt;VLOOKUP(V$5,NFI,5,0),1,0)*Data_NFI_t[[#This Row],[Solar Lantern]],0)</f>
        <v>0</v>
      </c>
      <c r="AM345" s="131" t="str">
        <f ca="1">IFERROR(OFFSET(Camp_List[P_Code],MATCH(Data_NFI_t[[#This Row],[Camp Name]],Camp_List[Camp Name],0)-1,0,1,1),"")</f>
        <v>MMR012CMP021</v>
      </c>
      <c r="AN345" s="513" t="str">
        <f ca="1">IFERROR(OFFSET(Camp_List[Status],MATCH(Data_NFI_t[[#This Row],[Camp Name]],Camp_List[Camp Name],0)-1,0,1,1),"")</f>
        <v>Returned</v>
      </c>
      <c r="AO345" s="131"/>
    </row>
    <row r="346" spans="1:41" s="90" customFormat="1" ht="19.5" customHeight="1" x14ac:dyDescent="0.25">
      <c r="A346" s="242">
        <f t="shared" si="7"/>
        <v>53.333333333333336</v>
      </c>
      <c r="B346" s="242">
        <f>YEAR(Data_NFI_t[[#This Row],[Distribution Date]])</f>
        <v>2012</v>
      </c>
      <c r="C346" s="913">
        <v>41256</v>
      </c>
      <c r="D346" s="489" t="s">
        <v>285</v>
      </c>
      <c r="E346" s="488"/>
      <c r="F346" s="489" t="s">
        <v>7</v>
      </c>
      <c r="G346" s="790" t="s">
        <v>11</v>
      </c>
      <c r="H346" s="790" t="s">
        <v>26</v>
      </c>
      <c r="I346" s="790"/>
      <c r="J346" s="51"/>
      <c r="K346" s="51"/>
      <c r="L346" s="51"/>
      <c r="M346" s="51"/>
      <c r="N346" s="51"/>
      <c r="O346" s="51">
        <v>203</v>
      </c>
      <c r="P346" s="51"/>
      <c r="Q346" s="51"/>
      <c r="R346" s="511"/>
      <c r="S346" s="51"/>
      <c r="T346" s="51"/>
      <c r="U346" s="51"/>
      <c r="V346" s="51"/>
      <c r="W346" s="51"/>
      <c r="X346" s="131">
        <f>IF(NFI_Expiration=1,IF($A346&lt;VLOOKUP(I$5,NFI,5,0),1,0)*Data_NFI_t[[#This Row],[Hygiene Kit]],0)</f>
        <v>0</v>
      </c>
      <c r="Y346" s="131">
        <f>IF(NFI_Expiration=1,IF($A346&lt;VLOOKUP(J$5,NFI,5,0),1,0)*Data_NFI_t[[#This Row],[NFI Core Kit]],0)</f>
        <v>0</v>
      </c>
      <c r="Z346" s="112">
        <f>IF(NFI_Expiration=1,IF($A346&lt;VLOOKUP(K$5,NFI,5,0),1,0)*Data_NFI_t[[#This Row],[Sanitary Kit]],0)</f>
        <v>0</v>
      </c>
      <c r="AA346" s="112">
        <f>IF(NFI_Expiration=1,IF($A346&lt;VLOOKUP(L$5,NFI,5,0),1,0)*Data_NFI_t[[#This Row],[Mosquito net]],0)</f>
        <v>0</v>
      </c>
      <c r="AB346" s="112">
        <f>IF(NFI_Expiration=1,IF($A346&lt;VLOOKUP(M$5,NFI,5,0),1,0)*Data_NFI_t[[#This Row],[Tarpaulin]],0)</f>
        <v>0</v>
      </c>
      <c r="AC346" s="112">
        <f>IF(NFI_Expiration=1,IF($A346&lt;VLOOKUP(N$5,NFI,5,0),1,0)*Data_NFI_t[[#This Row],[Blanket]],0)</f>
        <v>0</v>
      </c>
      <c r="AD346" s="112">
        <f>IF(NFI_Expiration=1,IF($A346&lt;VLOOKUP(O$5,NFI,5,0),1,0)*Data_NFI_t[[#This Row],[Kitchen Set]],0)</f>
        <v>0</v>
      </c>
      <c r="AE346" s="112">
        <f>IF(NFI_Expiration=1,IF($A346&lt;VLOOKUP(P$5,NFI,5,0),1,0)*Data_NFI_t[[#This Row],[Complementary Kit]],0)</f>
        <v>0</v>
      </c>
      <c r="AF346" s="112">
        <f>IF(NFI_Expiration=1,IF($A346&lt;VLOOKUP(Q$5,NFI,5,0),1,0)*Data_NFI_t[[#This Row],[Plastic Bucket]],0)</f>
        <v>0</v>
      </c>
      <c r="AG346" s="112">
        <f>IF(NFI_Expiration=1,IF($A346&lt;VLOOKUP(R$5,NFI,5,0),1,0)*Data_NFI_t[[#This Row],[Jerry Can]],0)</f>
        <v>0</v>
      </c>
      <c r="AH346" s="131">
        <f>IF(NFI_Expiration=1,IF($A346&lt;VLOOKUP(S$5,NFI,5,0),1,0)*Data_NFI_t[[#This Row],[Plastic Mat]],0)*IF(Data_NFI_t[[#This Row],[Distribution Date]]&gt;"01-06-2015",1,2.5)</f>
        <v>0</v>
      </c>
      <c r="AI346" s="901">
        <f>IF(NFI_Expiration=1,IF($A346&lt;VLOOKUP(T$5,NFI,5,0),1,0)*Data_NFI_t[[#This Row],[Adult Clothes]],0)</f>
        <v>0</v>
      </c>
      <c r="AJ346" s="131">
        <f>IF(NFI_Expiration=1,IF($A346&lt;VLOOKUP(U$5,NFI,5,0),1,0)*Data_NFI_t[[#This Row],[Children Clothes]],0)</f>
        <v>0</v>
      </c>
      <c r="AK346" s="131">
        <f>IF(NFI_Expiration=1,IF($A346&lt;VLOOKUP(V$5,NFI,5,0),1,0)*Data_NFI_t[[#This Row],[Sewing Kit]],0)</f>
        <v>0</v>
      </c>
      <c r="AL346" s="901">
        <f>IF(NFI_Expiration=1,IF($A346&lt;VLOOKUP(V$5,NFI,5,0),1,0)*Data_NFI_t[[#This Row],[Solar Lantern]],0)</f>
        <v>0</v>
      </c>
      <c r="AM346" s="131" t="str">
        <f ca="1">IFERROR(OFFSET(Camp_List[P_Code],MATCH(Data_NFI_t[[#This Row],[Camp Name]],Camp_List[Camp Name],0)-1,0,1,1),"")</f>
        <v>MMR012CMP002</v>
      </c>
      <c r="AN346" s="513" t="str">
        <f ca="1">IFERROR(OFFSET(Camp_List[Status],MATCH(Data_NFI_t[[#This Row],[Camp Name]],Camp_List[Camp Name],0)-1,0,1,1),"")</f>
        <v>Returned</v>
      </c>
      <c r="AO346" s="131"/>
    </row>
    <row r="347" spans="1:41" s="90" customFormat="1" ht="19.5" customHeight="1" x14ac:dyDescent="0.25">
      <c r="A347" s="242">
        <f t="shared" si="7"/>
        <v>53.333333333333336</v>
      </c>
      <c r="B347" s="242">
        <f>YEAR(Data_NFI_t[[#This Row],[Distribution Date]])</f>
        <v>2012</v>
      </c>
      <c r="C347" s="913">
        <v>41256</v>
      </c>
      <c r="D347" s="489" t="s">
        <v>285</v>
      </c>
      <c r="E347" s="488"/>
      <c r="F347" s="489" t="s">
        <v>7</v>
      </c>
      <c r="G347" s="790" t="s">
        <v>19</v>
      </c>
      <c r="H347" s="790" t="s">
        <v>68</v>
      </c>
      <c r="I347" s="790"/>
      <c r="J347" s="51"/>
      <c r="K347" s="51">
        <v>2813</v>
      </c>
      <c r="L347" s="51"/>
      <c r="M347" s="51"/>
      <c r="N347" s="51"/>
      <c r="O347" s="51"/>
      <c r="P347" s="51"/>
      <c r="Q347" s="51"/>
      <c r="R347" s="511"/>
      <c r="S347" s="51"/>
      <c r="T347" s="51"/>
      <c r="U347" s="51"/>
      <c r="V347" s="51"/>
      <c r="W347" s="51"/>
      <c r="X347" s="131">
        <f>IF(NFI_Expiration=1,IF($A347&lt;VLOOKUP(I$5,NFI,5,0),1,0)*Data_NFI_t[[#This Row],[Hygiene Kit]],0)</f>
        <v>0</v>
      </c>
      <c r="Y347" s="131">
        <f>IF(NFI_Expiration=1,IF($A347&lt;VLOOKUP(J$5,NFI,5,0),1,0)*Data_NFI_t[[#This Row],[NFI Core Kit]],0)</f>
        <v>0</v>
      </c>
      <c r="Z347" s="112">
        <f>IF(NFI_Expiration=1,IF($A347&lt;VLOOKUP(K$5,NFI,5,0),1,0)*Data_NFI_t[[#This Row],[Sanitary Kit]],0)</f>
        <v>0</v>
      </c>
      <c r="AA347" s="112">
        <f>IF(NFI_Expiration=1,IF($A347&lt;VLOOKUP(L$5,NFI,5,0),1,0)*Data_NFI_t[[#This Row],[Mosquito net]],0)</f>
        <v>0</v>
      </c>
      <c r="AB347" s="112">
        <f>IF(NFI_Expiration=1,IF($A347&lt;VLOOKUP(M$5,NFI,5,0),1,0)*Data_NFI_t[[#This Row],[Tarpaulin]],0)</f>
        <v>0</v>
      </c>
      <c r="AC347" s="112">
        <f>IF(NFI_Expiration=1,IF($A347&lt;VLOOKUP(N$5,NFI,5,0),1,0)*Data_NFI_t[[#This Row],[Blanket]],0)</f>
        <v>0</v>
      </c>
      <c r="AD347" s="112">
        <f>IF(NFI_Expiration=1,IF($A347&lt;VLOOKUP(O$5,NFI,5,0),1,0)*Data_NFI_t[[#This Row],[Kitchen Set]],0)</f>
        <v>0</v>
      </c>
      <c r="AE347" s="112">
        <f>IF(NFI_Expiration=1,IF($A347&lt;VLOOKUP(P$5,NFI,5,0),1,0)*Data_NFI_t[[#This Row],[Complementary Kit]],0)</f>
        <v>0</v>
      </c>
      <c r="AF347" s="112">
        <f>IF(NFI_Expiration=1,IF($A347&lt;VLOOKUP(Q$5,NFI,5,0),1,0)*Data_NFI_t[[#This Row],[Plastic Bucket]],0)</f>
        <v>0</v>
      </c>
      <c r="AG347" s="112">
        <f>IF(NFI_Expiration=1,IF($A347&lt;VLOOKUP(R$5,NFI,5,0),1,0)*Data_NFI_t[[#This Row],[Jerry Can]],0)</f>
        <v>0</v>
      </c>
      <c r="AH347" s="131">
        <f>IF(NFI_Expiration=1,IF($A347&lt;VLOOKUP(S$5,NFI,5,0),1,0)*Data_NFI_t[[#This Row],[Plastic Mat]],0)*IF(Data_NFI_t[[#This Row],[Distribution Date]]&gt;"01-06-2015",1,2.5)</f>
        <v>0</v>
      </c>
      <c r="AI347" s="901">
        <f>IF(NFI_Expiration=1,IF($A347&lt;VLOOKUP(T$5,NFI,5,0),1,0)*Data_NFI_t[[#This Row],[Adult Clothes]],0)</f>
        <v>0</v>
      </c>
      <c r="AJ347" s="131">
        <f>IF(NFI_Expiration=1,IF($A347&lt;VLOOKUP(U$5,NFI,5,0),1,0)*Data_NFI_t[[#This Row],[Children Clothes]],0)</f>
        <v>0</v>
      </c>
      <c r="AK347" s="131">
        <f>IF(NFI_Expiration=1,IF($A347&lt;VLOOKUP(V$5,NFI,5,0),1,0)*Data_NFI_t[[#This Row],[Sewing Kit]],0)</f>
        <v>0</v>
      </c>
      <c r="AL347" s="901">
        <f>IF(NFI_Expiration=1,IF($A347&lt;VLOOKUP(V$5,NFI,5,0),1,0)*Data_NFI_t[[#This Row],[Solar Lantern]],0)</f>
        <v>0</v>
      </c>
      <c r="AM347" s="131" t="str">
        <f ca="1">IFERROR(OFFSET(Camp_List[P_Code],MATCH(Data_NFI_t[[#This Row],[Camp Name]],Camp_List[Camp Name],0)-1,0,1,1),"")</f>
        <v>MMR012CMP046</v>
      </c>
      <c r="AN347" s="513" t="str">
        <f ca="1">IFERROR(OFFSET(Camp_List[Status],MATCH(Data_NFI_t[[#This Row],[Camp Name]],Camp_List[Camp Name],0)-1,0,1,1),"")</f>
        <v>Open</v>
      </c>
      <c r="AO347" s="131"/>
    </row>
    <row r="348" spans="1:41" s="90" customFormat="1" ht="19.5" customHeight="1" x14ac:dyDescent="0.25">
      <c r="A348" s="242">
        <f t="shared" si="7"/>
        <v>53.333333333333336</v>
      </c>
      <c r="B348" s="242">
        <f>YEAR(Data_NFI_t[[#This Row],[Distribution Date]])</f>
        <v>2012</v>
      </c>
      <c r="C348" s="913">
        <v>41256</v>
      </c>
      <c r="D348" s="489" t="s">
        <v>285</v>
      </c>
      <c r="E348" s="488"/>
      <c r="F348" s="489" t="s">
        <v>7</v>
      </c>
      <c r="G348" s="790" t="s">
        <v>19</v>
      </c>
      <c r="H348" s="790" t="s">
        <v>70</v>
      </c>
      <c r="I348" s="790"/>
      <c r="J348" s="51"/>
      <c r="K348" s="51">
        <v>1900</v>
      </c>
      <c r="L348" s="51"/>
      <c r="M348" s="51"/>
      <c r="N348" s="51"/>
      <c r="O348" s="51"/>
      <c r="P348" s="51"/>
      <c r="Q348" s="51"/>
      <c r="R348" s="511"/>
      <c r="S348" s="51"/>
      <c r="T348" s="51"/>
      <c r="U348" s="51"/>
      <c r="V348" s="51"/>
      <c r="W348" s="51"/>
      <c r="X348" s="131">
        <f>IF(NFI_Expiration=1,IF($A348&lt;VLOOKUP(I$5,NFI,5,0),1,0)*Data_NFI_t[[#This Row],[Hygiene Kit]],0)</f>
        <v>0</v>
      </c>
      <c r="Y348" s="131">
        <f>IF(NFI_Expiration=1,IF($A348&lt;VLOOKUP(J$5,NFI,5,0),1,0)*Data_NFI_t[[#This Row],[NFI Core Kit]],0)</f>
        <v>0</v>
      </c>
      <c r="Z348" s="112">
        <f>IF(NFI_Expiration=1,IF($A348&lt;VLOOKUP(K$5,NFI,5,0),1,0)*Data_NFI_t[[#This Row],[Sanitary Kit]],0)</f>
        <v>0</v>
      </c>
      <c r="AA348" s="112">
        <f>IF(NFI_Expiration=1,IF($A348&lt;VLOOKUP(L$5,NFI,5,0),1,0)*Data_NFI_t[[#This Row],[Mosquito net]],0)</f>
        <v>0</v>
      </c>
      <c r="AB348" s="112">
        <f>IF(NFI_Expiration=1,IF($A348&lt;VLOOKUP(M$5,NFI,5,0),1,0)*Data_NFI_t[[#This Row],[Tarpaulin]],0)</f>
        <v>0</v>
      </c>
      <c r="AC348" s="112">
        <f>IF(NFI_Expiration=1,IF($A348&lt;VLOOKUP(N$5,NFI,5,0),1,0)*Data_NFI_t[[#This Row],[Blanket]],0)</f>
        <v>0</v>
      </c>
      <c r="AD348" s="112">
        <f>IF(NFI_Expiration=1,IF($A348&lt;VLOOKUP(O$5,NFI,5,0),1,0)*Data_NFI_t[[#This Row],[Kitchen Set]],0)</f>
        <v>0</v>
      </c>
      <c r="AE348" s="112">
        <f>IF(NFI_Expiration=1,IF($A348&lt;VLOOKUP(P$5,NFI,5,0),1,0)*Data_NFI_t[[#This Row],[Complementary Kit]],0)</f>
        <v>0</v>
      </c>
      <c r="AF348" s="112">
        <f>IF(NFI_Expiration=1,IF($A348&lt;VLOOKUP(Q$5,NFI,5,0),1,0)*Data_NFI_t[[#This Row],[Plastic Bucket]],0)</f>
        <v>0</v>
      </c>
      <c r="AG348" s="112">
        <f>IF(NFI_Expiration=1,IF($A348&lt;VLOOKUP(R$5,NFI,5,0),1,0)*Data_NFI_t[[#This Row],[Jerry Can]],0)</f>
        <v>0</v>
      </c>
      <c r="AH348" s="131">
        <f>IF(NFI_Expiration=1,IF($A348&lt;VLOOKUP(S$5,NFI,5,0),1,0)*Data_NFI_t[[#This Row],[Plastic Mat]],0)*IF(Data_NFI_t[[#This Row],[Distribution Date]]&gt;"01-06-2015",1,2.5)</f>
        <v>0</v>
      </c>
      <c r="AI348" s="901">
        <f>IF(NFI_Expiration=1,IF($A348&lt;VLOOKUP(T$5,NFI,5,0),1,0)*Data_NFI_t[[#This Row],[Adult Clothes]],0)</f>
        <v>0</v>
      </c>
      <c r="AJ348" s="131">
        <f>IF(NFI_Expiration=1,IF($A348&lt;VLOOKUP(U$5,NFI,5,0),1,0)*Data_NFI_t[[#This Row],[Children Clothes]],0)</f>
        <v>0</v>
      </c>
      <c r="AK348" s="131">
        <f>IF(NFI_Expiration=1,IF($A348&lt;VLOOKUP(V$5,NFI,5,0),1,0)*Data_NFI_t[[#This Row],[Sewing Kit]],0)</f>
        <v>0</v>
      </c>
      <c r="AL348" s="901">
        <f>IF(NFI_Expiration=1,IF($A348&lt;VLOOKUP(V$5,NFI,5,0),1,0)*Data_NFI_t[[#This Row],[Solar Lantern]],0)</f>
        <v>0</v>
      </c>
      <c r="AM348" s="131" t="str">
        <f ca="1">IFERROR(OFFSET(Camp_List[P_Code],MATCH(Data_NFI_t[[#This Row],[Camp Name]],Camp_List[Camp Name],0)-1,0,1,1),"")</f>
        <v>MMR012CMP048</v>
      </c>
      <c r="AN348" s="513" t="str">
        <f ca="1">IFERROR(OFFSET(Camp_List[Status],MATCH(Data_NFI_t[[#This Row],[Camp Name]],Camp_List[Camp Name],0)-1,0,1,1),"")</f>
        <v>Open</v>
      </c>
      <c r="AO348" s="131"/>
    </row>
    <row r="349" spans="1:41" s="90" customFormat="1" ht="19.5" customHeight="1" x14ac:dyDescent="0.25">
      <c r="A349" s="242">
        <f t="shared" si="7"/>
        <v>53.333333333333336</v>
      </c>
      <c r="B349" s="242">
        <f>YEAR(Data_NFI_t[[#This Row],[Distribution Date]])</f>
        <v>2012</v>
      </c>
      <c r="C349" s="913">
        <v>41256</v>
      </c>
      <c r="D349" s="489" t="s">
        <v>285</v>
      </c>
      <c r="E349" s="488"/>
      <c r="F349" s="489" t="s">
        <v>7</v>
      </c>
      <c r="G349" s="790" t="s">
        <v>15</v>
      </c>
      <c r="H349" s="790" t="s">
        <v>52</v>
      </c>
      <c r="I349" s="790"/>
      <c r="J349" s="51"/>
      <c r="K349" s="51"/>
      <c r="L349" s="51">
        <v>214</v>
      </c>
      <c r="M349" s="51"/>
      <c r="N349" s="51">
        <v>214</v>
      </c>
      <c r="O349" s="51">
        <v>107</v>
      </c>
      <c r="P349" s="51">
        <v>107</v>
      </c>
      <c r="Q349" s="51"/>
      <c r="R349" s="511"/>
      <c r="S349" s="51"/>
      <c r="T349" s="51"/>
      <c r="U349" s="51"/>
      <c r="V349" s="51"/>
      <c r="W349" s="51"/>
      <c r="X349" s="131">
        <f>IF(NFI_Expiration=1,IF($A349&lt;VLOOKUP(I$5,NFI,5,0),1,0)*Data_NFI_t[[#This Row],[Hygiene Kit]],0)</f>
        <v>0</v>
      </c>
      <c r="Y349" s="131">
        <f>IF(NFI_Expiration=1,IF($A349&lt;VLOOKUP(J$5,NFI,5,0),1,0)*Data_NFI_t[[#This Row],[NFI Core Kit]],0)</f>
        <v>0</v>
      </c>
      <c r="Z349" s="112">
        <f>IF(NFI_Expiration=1,IF($A349&lt;VLOOKUP(K$5,NFI,5,0),1,0)*Data_NFI_t[[#This Row],[Sanitary Kit]],0)</f>
        <v>0</v>
      </c>
      <c r="AA349" s="112">
        <f>IF(NFI_Expiration=1,IF($A349&lt;VLOOKUP(L$5,NFI,5,0),1,0)*Data_NFI_t[[#This Row],[Mosquito net]],0)</f>
        <v>0</v>
      </c>
      <c r="AB349" s="112">
        <f>IF(NFI_Expiration=1,IF($A349&lt;VLOOKUP(M$5,NFI,5,0),1,0)*Data_NFI_t[[#This Row],[Tarpaulin]],0)</f>
        <v>0</v>
      </c>
      <c r="AC349" s="112">
        <f>IF(NFI_Expiration=1,IF($A349&lt;VLOOKUP(N$5,NFI,5,0),1,0)*Data_NFI_t[[#This Row],[Blanket]],0)</f>
        <v>0</v>
      </c>
      <c r="AD349" s="112">
        <f>IF(NFI_Expiration=1,IF($A349&lt;VLOOKUP(O$5,NFI,5,0),1,0)*Data_NFI_t[[#This Row],[Kitchen Set]],0)</f>
        <v>0</v>
      </c>
      <c r="AE349" s="112">
        <f>IF(NFI_Expiration=1,IF($A349&lt;VLOOKUP(P$5,NFI,5,0),1,0)*Data_NFI_t[[#This Row],[Complementary Kit]],0)</f>
        <v>0</v>
      </c>
      <c r="AF349" s="112">
        <f>IF(NFI_Expiration=1,IF($A349&lt;VLOOKUP(Q$5,NFI,5,0),1,0)*Data_NFI_t[[#This Row],[Plastic Bucket]],0)</f>
        <v>0</v>
      </c>
      <c r="AG349" s="112">
        <f>IF(NFI_Expiration=1,IF($A349&lt;VLOOKUP(R$5,NFI,5,0),1,0)*Data_NFI_t[[#This Row],[Jerry Can]],0)</f>
        <v>0</v>
      </c>
      <c r="AH349" s="131">
        <f>IF(NFI_Expiration=1,IF($A349&lt;VLOOKUP(S$5,NFI,5,0),1,0)*Data_NFI_t[[#This Row],[Plastic Mat]],0)*IF(Data_NFI_t[[#This Row],[Distribution Date]]&gt;"01-06-2015",1,2.5)</f>
        <v>0</v>
      </c>
      <c r="AI349" s="901">
        <f>IF(NFI_Expiration=1,IF($A349&lt;VLOOKUP(T$5,NFI,5,0),1,0)*Data_NFI_t[[#This Row],[Adult Clothes]],0)</f>
        <v>0</v>
      </c>
      <c r="AJ349" s="131">
        <f>IF(NFI_Expiration=1,IF($A349&lt;VLOOKUP(U$5,NFI,5,0),1,0)*Data_NFI_t[[#This Row],[Children Clothes]],0)</f>
        <v>0</v>
      </c>
      <c r="AK349" s="131">
        <f>IF(NFI_Expiration=1,IF($A349&lt;VLOOKUP(V$5,NFI,5,0),1,0)*Data_NFI_t[[#This Row],[Sewing Kit]],0)</f>
        <v>0</v>
      </c>
      <c r="AL349" s="901">
        <f>IF(NFI_Expiration=1,IF($A349&lt;VLOOKUP(V$5,NFI,5,0),1,0)*Data_NFI_t[[#This Row],[Solar Lantern]],0)</f>
        <v>0</v>
      </c>
      <c r="AM349" s="131" t="str">
        <f ca="1">IFERROR(OFFSET(Camp_List[P_Code],MATCH(Data_NFI_t[[#This Row],[Camp Name]],Camp_List[Camp Name],0)-1,0,1,1),"")</f>
        <v>MMR012CMP028</v>
      </c>
      <c r="AN349" s="513" t="str">
        <f ca="1">IFERROR(OFFSET(Camp_List[Status],MATCH(Data_NFI_t[[#This Row],[Camp Name]],Camp_List[Camp Name],0)-1,0,1,1),"")</f>
        <v>Returned</v>
      </c>
      <c r="AO349" s="131"/>
    </row>
    <row r="350" spans="1:41" s="90" customFormat="1" ht="19.5" customHeight="1" x14ac:dyDescent="0.25">
      <c r="A350" s="242">
        <f t="shared" si="7"/>
        <v>53.366666666666667</v>
      </c>
      <c r="B350" s="242">
        <f>YEAR(Data_NFI_t[[#This Row],[Distribution Date]])</f>
        <v>2012</v>
      </c>
      <c r="C350" s="913">
        <v>41255</v>
      </c>
      <c r="D350" s="489" t="s">
        <v>289</v>
      </c>
      <c r="E350" s="488" t="s">
        <v>285</v>
      </c>
      <c r="F350" s="489" t="s">
        <v>7</v>
      </c>
      <c r="G350" s="790" t="s">
        <v>19</v>
      </c>
      <c r="H350" s="790" t="s">
        <v>71</v>
      </c>
      <c r="I350" s="790"/>
      <c r="J350" s="51"/>
      <c r="K350" s="51"/>
      <c r="L350" s="51"/>
      <c r="M350" s="51"/>
      <c r="N350" s="51">
        <v>50</v>
      </c>
      <c r="O350" s="51"/>
      <c r="P350" s="51"/>
      <c r="Q350" s="51"/>
      <c r="R350" s="511"/>
      <c r="S350" s="51"/>
      <c r="T350" s="51"/>
      <c r="U350" s="51"/>
      <c r="V350" s="51"/>
      <c r="W350" s="51"/>
      <c r="X350" s="131">
        <f>IF(NFI_Expiration=1,IF($A350&lt;VLOOKUP(I$5,NFI,5,0),1,0)*Data_NFI_t[[#This Row],[Hygiene Kit]],0)</f>
        <v>0</v>
      </c>
      <c r="Y350" s="131">
        <f>IF(NFI_Expiration=1,IF($A350&lt;VLOOKUP(J$5,NFI,5,0),1,0)*Data_NFI_t[[#This Row],[NFI Core Kit]],0)</f>
        <v>0</v>
      </c>
      <c r="Z350" s="112">
        <f>IF(NFI_Expiration=1,IF($A350&lt;VLOOKUP(K$5,NFI,5,0),1,0)*Data_NFI_t[[#This Row],[Sanitary Kit]],0)</f>
        <v>0</v>
      </c>
      <c r="AA350" s="112">
        <f>IF(NFI_Expiration=1,IF($A350&lt;VLOOKUP(L$5,NFI,5,0),1,0)*Data_NFI_t[[#This Row],[Mosquito net]],0)</f>
        <v>0</v>
      </c>
      <c r="AB350" s="112">
        <f>IF(NFI_Expiration=1,IF($A350&lt;VLOOKUP(M$5,NFI,5,0),1,0)*Data_NFI_t[[#This Row],[Tarpaulin]],0)</f>
        <v>0</v>
      </c>
      <c r="AC350" s="112">
        <f>IF(NFI_Expiration=1,IF($A350&lt;VLOOKUP(N$5,NFI,5,0),1,0)*Data_NFI_t[[#This Row],[Blanket]],0)</f>
        <v>0</v>
      </c>
      <c r="AD350" s="112">
        <f>IF(NFI_Expiration=1,IF($A350&lt;VLOOKUP(O$5,NFI,5,0),1,0)*Data_NFI_t[[#This Row],[Kitchen Set]],0)</f>
        <v>0</v>
      </c>
      <c r="AE350" s="112">
        <f>IF(NFI_Expiration=1,IF($A350&lt;VLOOKUP(P$5,NFI,5,0),1,0)*Data_NFI_t[[#This Row],[Complementary Kit]],0)</f>
        <v>0</v>
      </c>
      <c r="AF350" s="112">
        <f>IF(NFI_Expiration=1,IF($A350&lt;VLOOKUP(Q$5,NFI,5,0),1,0)*Data_NFI_t[[#This Row],[Plastic Bucket]],0)</f>
        <v>0</v>
      </c>
      <c r="AG350" s="112">
        <f>IF(NFI_Expiration=1,IF($A350&lt;VLOOKUP(R$5,NFI,5,0),1,0)*Data_NFI_t[[#This Row],[Jerry Can]],0)</f>
        <v>0</v>
      </c>
      <c r="AH350" s="131">
        <f>IF(NFI_Expiration=1,IF($A350&lt;VLOOKUP(S$5,NFI,5,0),1,0)*Data_NFI_t[[#This Row],[Plastic Mat]],0)*IF(Data_NFI_t[[#This Row],[Distribution Date]]&gt;"01-06-2015",1,2.5)</f>
        <v>0</v>
      </c>
      <c r="AI350" s="901">
        <f>IF(NFI_Expiration=1,IF($A350&lt;VLOOKUP(T$5,NFI,5,0),1,0)*Data_NFI_t[[#This Row],[Adult Clothes]],0)</f>
        <v>0</v>
      </c>
      <c r="AJ350" s="131">
        <f>IF(NFI_Expiration=1,IF($A350&lt;VLOOKUP(U$5,NFI,5,0),1,0)*Data_NFI_t[[#This Row],[Children Clothes]],0)</f>
        <v>0</v>
      </c>
      <c r="AK350" s="131">
        <f>IF(NFI_Expiration=1,IF($A350&lt;VLOOKUP(V$5,NFI,5,0),1,0)*Data_NFI_t[[#This Row],[Sewing Kit]],0)</f>
        <v>0</v>
      </c>
      <c r="AL350" s="901">
        <f>IF(NFI_Expiration=1,IF($A350&lt;VLOOKUP(V$5,NFI,5,0),1,0)*Data_NFI_t[[#This Row],[Solar Lantern]],0)</f>
        <v>0</v>
      </c>
      <c r="AM350" s="131" t="str">
        <f ca="1">IFERROR(OFFSET(Camp_List[P_Code],MATCH(Data_NFI_t[[#This Row],[Camp Name]],Camp_List[Camp Name],0)-1,0,1,1),"")</f>
        <v>MMR012CMP049</v>
      </c>
      <c r="AN350" s="513" t="str">
        <f ca="1">IFERROR(OFFSET(Camp_List[Status],MATCH(Data_NFI_t[[#This Row],[Camp Name]],Camp_List[Camp Name],0)-1,0,1,1),"")</f>
        <v>Close</v>
      </c>
      <c r="AO350" s="131"/>
    </row>
    <row r="351" spans="1:41" s="90" customFormat="1" ht="19.5" customHeight="1" x14ac:dyDescent="0.25">
      <c r="A351" s="242">
        <f t="shared" si="7"/>
        <v>53.366666666666667</v>
      </c>
      <c r="B351" s="242">
        <f>YEAR(Data_NFI_t[[#This Row],[Distribution Date]])</f>
        <v>2012</v>
      </c>
      <c r="C351" s="913">
        <v>41255</v>
      </c>
      <c r="D351" s="489" t="s">
        <v>285</v>
      </c>
      <c r="E351" s="488"/>
      <c r="F351" s="489" t="s">
        <v>7</v>
      </c>
      <c r="G351" s="790" t="s">
        <v>19</v>
      </c>
      <c r="H351" s="790" t="s">
        <v>75</v>
      </c>
      <c r="I351" s="790"/>
      <c r="J351" s="51"/>
      <c r="K351" s="51">
        <v>85</v>
      </c>
      <c r="L351" s="51"/>
      <c r="M351" s="51"/>
      <c r="N351" s="51"/>
      <c r="O351" s="51"/>
      <c r="P351" s="51"/>
      <c r="Q351" s="51"/>
      <c r="R351" s="511"/>
      <c r="S351" s="51"/>
      <c r="T351" s="51"/>
      <c r="U351" s="51"/>
      <c r="V351" s="51"/>
      <c r="W351" s="51"/>
      <c r="X351" s="131">
        <f>IF(NFI_Expiration=1,IF($A351&lt;VLOOKUP(I$5,NFI,5,0),1,0)*Data_NFI_t[[#This Row],[Hygiene Kit]],0)</f>
        <v>0</v>
      </c>
      <c r="Y351" s="131">
        <f>IF(NFI_Expiration=1,IF($A351&lt;VLOOKUP(J$5,NFI,5,0),1,0)*Data_NFI_t[[#This Row],[NFI Core Kit]],0)</f>
        <v>0</v>
      </c>
      <c r="Z351" s="112">
        <f>IF(NFI_Expiration=1,IF($A351&lt;VLOOKUP(K$5,NFI,5,0),1,0)*Data_NFI_t[[#This Row],[Sanitary Kit]],0)</f>
        <v>0</v>
      </c>
      <c r="AA351" s="112">
        <f>IF(NFI_Expiration=1,IF($A351&lt;VLOOKUP(L$5,NFI,5,0),1,0)*Data_NFI_t[[#This Row],[Mosquito net]],0)</f>
        <v>0</v>
      </c>
      <c r="AB351" s="112">
        <f>IF(NFI_Expiration=1,IF($A351&lt;VLOOKUP(M$5,NFI,5,0),1,0)*Data_NFI_t[[#This Row],[Tarpaulin]],0)</f>
        <v>0</v>
      </c>
      <c r="AC351" s="112">
        <f>IF(NFI_Expiration=1,IF($A351&lt;VLOOKUP(N$5,NFI,5,0),1,0)*Data_NFI_t[[#This Row],[Blanket]],0)</f>
        <v>0</v>
      </c>
      <c r="AD351" s="112">
        <f>IF(NFI_Expiration=1,IF($A351&lt;VLOOKUP(O$5,NFI,5,0),1,0)*Data_NFI_t[[#This Row],[Kitchen Set]],0)</f>
        <v>0</v>
      </c>
      <c r="AE351" s="112">
        <f>IF(NFI_Expiration=1,IF($A351&lt;VLOOKUP(P$5,NFI,5,0),1,0)*Data_NFI_t[[#This Row],[Complementary Kit]],0)</f>
        <v>0</v>
      </c>
      <c r="AF351" s="112">
        <f>IF(NFI_Expiration=1,IF($A351&lt;VLOOKUP(Q$5,NFI,5,0),1,0)*Data_NFI_t[[#This Row],[Plastic Bucket]],0)</f>
        <v>0</v>
      </c>
      <c r="AG351" s="112">
        <f>IF(NFI_Expiration=1,IF($A351&lt;VLOOKUP(R$5,NFI,5,0),1,0)*Data_NFI_t[[#This Row],[Jerry Can]],0)</f>
        <v>0</v>
      </c>
      <c r="AH351" s="131">
        <f>IF(NFI_Expiration=1,IF($A351&lt;VLOOKUP(S$5,NFI,5,0),1,0)*Data_NFI_t[[#This Row],[Plastic Mat]],0)*IF(Data_NFI_t[[#This Row],[Distribution Date]]&gt;"01-06-2015",1,2.5)</f>
        <v>0</v>
      </c>
      <c r="AI351" s="901">
        <f>IF(NFI_Expiration=1,IF($A351&lt;VLOOKUP(T$5,NFI,5,0),1,0)*Data_NFI_t[[#This Row],[Adult Clothes]],0)</f>
        <v>0</v>
      </c>
      <c r="AJ351" s="131">
        <f>IF(NFI_Expiration=1,IF($A351&lt;VLOOKUP(U$5,NFI,5,0),1,0)*Data_NFI_t[[#This Row],[Children Clothes]],0)</f>
        <v>0</v>
      </c>
      <c r="AK351" s="131">
        <f>IF(NFI_Expiration=1,IF($A351&lt;VLOOKUP(V$5,NFI,5,0),1,0)*Data_NFI_t[[#This Row],[Sewing Kit]],0)</f>
        <v>0</v>
      </c>
      <c r="AL351" s="901">
        <f>IF(NFI_Expiration=1,IF($A351&lt;VLOOKUP(V$5,NFI,5,0),1,0)*Data_NFI_t[[#This Row],[Solar Lantern]],0)</f>
        <v>0</v>
      </c>
      <c r="AM351" s="131" t="str">
        <f ca="1">IFERROR(OFFSET(Camp_List[P_Code],MATCH(Data_NFI_t[[#This Row],[Camp Name]],Camp_List[Camp Name],0)-1,0,1,1),"")</f>
        <v>MMR012CMP053</v>
      </c>
      <c r="AN351" s="513" t="str">
        <f ca="1">IFERROR(OFFSET(Camp_List[Status],MATCH(Data_NFI_t[[#This Row],[Camp Name]],Camp_List[Camp Name],0)-1,0,1,1),"")</f>
        <v>Close</v>
      </c>
      <c r="AO351" s="131"/>
    </row>
    <row r="352" spans="1:41" s="90" customFormat="1" ht="19.5" customHeight="1" x14ac:dyDescent="0.25">
      <c r="A352" s="242">
        <f t="shared" si="7"/>
        <v>53.366666666666667</v>
      </c>
      <c r="B352" s="242">
        <f>YEAR(Data_NFI_t[[#This Row],[Distribution Date]])</f>
        <v>2012</v>
      </c>
      <c r="C352" s="913">
        <v>41255</v>
      </c>
      <c r="D352" s="489" t="s">
        <v>285</v>
      </c>
      <c r="E352" s="488"/>
      <c r="F352" s="489" t="s">
        <v>7</v>
      </c>
      <c r="G352" s="790" t="s">
        <v>19</v>
      </c>
      <c r="H352" s="790" t="s">
        <v>76</v>
      </c>
      <c r="I352" s="790"/>
      <c r="J352" s="51"/>
      <c r="K352" s="51">
        <v>53</v>
      </c>
      <c r="L352" s="51"/>
      <c r="M352" s="51"/>
      <c r="N352" s="51"/>
      <c r="O352" s="51"/>
      <c r="P352" s="51"/>
      <c r="Q352" s="51"/>
      <c r="R352" s="511"/>
      <c r="S352" s="51"/>
      <c r="T352" s="51"/>
      <c r="U352" s="51"/>
      <c r="V352" s="51"/>
      <c r="W352" s="51"/>
      <c r="X352" s="131">
        <f>IF(NFI_Expiration=1,IF($A352&lt;VLOOKUP(I$5,NFI,5,0),1,0)*Data_NFI_t[[#This Row],[Hygiene Kit]],0)</f>
        <v>0</v>
      </c>
      <c r="Y352" s="131">
        <f>IF(NFI_Expiration=1,IF($A352&lt;VLOOKUP(J$5,NFI,5,0),1,0)*Data_NFI_t[[#This Row],[NFI Core Kit]],0)</f>
        <v>0</v>
      </c>
      <c r="Z352" s="112">
        <f>IF(NFI_Expiration=1,IF($A352&lt;VLOOKUP(K$5,NFI,5,0),1,0)*Data_NFI_t[[#This Row],[Sanitary Kit]],0)</f>
        <v>0</v>
      </c>
      <c r="AA352" s="112">
        <f>IF(NFI_Expiration=1,IF($A352&lt;VLOOKUP(L$5,NFI,5,0),1,0)*Data_NFI_t[[#This Row],[Mosquito net]],0)</f>
        <v>0</v>
      </c>
      <c r="AB352" s="112">
        <f>IF(NFI_Expiration=1,IF($A352&lt;VLOOKUP(M$5,NFI,5,0),1,0)*Data_NFI_t[[#This Row],[Tarpaulin]],0)</f>
        <v>0</v>
      </c>
      <c r="AC352" s="112">
        <f>IF(NFI_Expiration=1,IF($A352&lt;VLOOKUP(N$5,NFI,5,0),1,0)*Data_NFI_t[[#This Row],[Blanket]],0)</f>
        <v>0</v>
      </c>
      <c r="AD352" s="112">
        <f>IF(NFI_Expiration=1,IF($A352&lt;VLOOKUP(O$5,NFI,5,0),1,0)*Data_NFI_t[[#This Row],[Kitchen Set]],0)</f>
        <v>0</v>
      </c>
      <c r="AE352" s="112">
        <f>IF(NFI_Expiration=1,IF($A352&lt;VLOOKUP(P$5,NFI,5,0),1,0)*Data_NFI_t[[#This Row],[Complementary Kit]],0)</f>
        <v>0</v>
      </c>
      <c r="AF352" s="112">
        <f>IF(NFI_Expiration=1,IF($A352&lt;VLOOKUP(Q$5,NFI,5,0),1,0)*Data_NFI_t[[#This Row],[Plastic Bucket]],0)</f>
        <v>0</v>
      </c>
      <c r="AG352" s="112">
        <f>IF(NFI_Expiration=1,IF($A352&lt;VLOOKUP(R$5,NFI,5,0),1,0)*Data_NFI_t[[#This Row],[Jerry Can]],0)</f>
        <v>0</v>
      </c>
      <c r="AH352" s="131">
        <f>IF(NFI_Expiration=1,IF($A352&lt;VLOOKUP(S$5,NFI,5,0),1,0)*Data_NFI_t[[#This Row],[Plastic Mat]],0)*IF(Data_NFI_t[[#This Row],[Distribution Date]]&gt;"01-06-2015",1,2.5)</f>
        <v>0</v>
      </c>
      <c r="AI352" s="901">
        <f>IF(NFI_Expiration=1,IF($A352&lt;VLOOKUP(T$5,NFI,5,0),1,0)*Data_NFI_t[[#This Row],[Adult Clothes]],0)</f>
        <v>0</v>
      </c>
      <c r="AJ352" s="131">
        <f>IF(NFI_Expiration=1,IF($A352&lt;VLOOKUP(U$5,NFI,5,0),1,0)*Data_NFI_t[[#This Row],[Children Clothes]],0)</f>
        <v>0</v>
      </c>
      <c r="AK352" s="131">
        <f>IF(NFI_Expiration=1,IF($A352&lt;VLOOKUP(V$5,NFI,5,0),1,0)*Data_NFI_t[[#This Row],[Sewing Kit]],0)</f>
        <v>0</v>
      </c>
      <c r="AL352" s="901">
        <f>IF(NFI_Expiration=1,IF($A352&lt;VLOOKUP(V$5,NFI,5,0),1,0)*Data_NFI_t[[#This Row],[Solar Lantern]],0)</f>
        <v>0</v>
      </c>
      <c r="AM352" s="131" t="str">
        <f ca="1">IFERROR(OFFSET(Camp_List[P_Code],MATCH(Data_NFI_t[[#This Row],[Camp Name]],Camp_List[Camp Name],0)-1,0,1,1),"")</f>
        <v>MMR012CMP054</v>
      </c>
      <c r="AN352" s="513" t="str">
        <f ca="1">IFERROR(OFFSET(Camp_List[Status],MATCH(Data_NFI_t[[#This Row],[Camp Name]],Camp_List[Camp Name],0)-1,0,1,1),"")</f>
        <v>Close</v>
      </c>
      <c r="AO352" s="131"/>
    </row>
    <row r="353" spans="1:41" s="90" customFormat="1" ht="19.5" customHeight="1" x14ac:dyDescent="0.25">
      <c r="A353" s="242">
        <f t="shared" si="7"/>
        <v>53.366666666666667</v>
      </c>
      <c r="B353" s="242">
        <f>YEAR(Data_NFI_t[[#This Row],[Distribution Date]])</f>
        <v>2012</v>
      </c>
      <c r="C353" s="913">
        <v>41255</v>
      </c>
      <c r="D353" s="489" t="s">
        <v>285</v>
      </c>
      <c r="E353" s="488"/>
      <c r="F353" s="489" t="s">
        <v>7</v>
      </c>
      <c r="G353" s="790" t="s">
        <v>19</v>
      </c>
      <c r="H353" s="790" t="s">
        <v>78</v>
      </c>
      <c r="I353" s="790"/>
      <c r="J353" s="51"/>
      <c r="K353" s="51">
        <v>195</v>
      </c>
      <c r="L353" s="51"/>
      <c r="M353" s="51"/>
      <c r="N353" s="51"/>
      <c r="O353" s="51"/>
      <c r="P353" s="51"/>
      <c r="Q353" s="51"/>
      <c r="R353" s="511"/>
      <c r="S353" s="51"/>
      <c r="T353" s="51"/>
      <c r="U353" s="51"/>
      <c r="V353" s="51"/>
      <c r="W353" s="51"/>
      <c r="X353" s="131">
        <f>IF(NFI_Expiration=1,IF($A353&lt;VLOOKUP(I$5,NFI,5,0),1,0)*Data_NFI_t[[#This Row],[Hygiene Kit]],0)</f>
        <v>0</v>
      </c>
      <c r="Y353" s="131">
        <f>IF(NFI_Expiration=1,IF($A353&lt;VLOOKUP(J$5,NFI,5,0),1,0)*Data_NFI_t[[#This Row],[NFI Core Kit]],0)</f>
        <v>0</v>
      </c>
      <c r="Z353" s="112">
        <f>IF(NFI_Expiration=1,IF($A353&lt;VLOOKUP(K$5,NFI,5,0),1,0)*Data_NFI_t[[#This Row],[Sanitary Kit]],0)</f>
        <v>0</v>
      </c>
      <c r="AA353" s="112">
        <f>IF(NFI_Expiration=1,IF($A353&lt;VLOOKUP(L$5,NFI,5,0),1,0)*Data_NFI_t[[#This Row],[Mosquito net]],0)</f>
        <v>0</v>
      </c>
      <c r="AB353" s="112">
        <f>IF(NFI_Expiration=1,IF($A353&lt;VLOOKUP(M$5,NFI,5,0),1,0)*Data_NFI_t[[#This Row],[Tarpaulin]],0)</f>
        <v>0</v>
      </c>
      <c r="AC353" s="112">
        <f>IF(NFI_Expiration=1,IF($A353&lt;VLOOKUP(N$5,NFI,5,0),1,0)*Data_NFI_t[[#This Row],[Blanket]],0)</f>
        <v>0</v>
      </c>
      <c r="AD353" s="112">
        <f>IF(NFI_Expiration=1,IF($A353&lt;VLOOKUP(O$5,NFI,5,0),1,0)*Data_NFI_t[[#This Row],[Kitchen Set]],0)</f>
        <v>0</v>
      </c>
      <c r="AE353" s="112">
        <f>IF(NFI_Expiration=1,IF($A353&lt;VLOOKUP(P$5,NFI,5,0),1,0)*Data_NFI_t[[#This Row],[Complementary Kit]],0)</f>
        <v>0</v>
      </c>
      <c r="AF353" s="112">
        <f>IF(NFI_Expiration=1,IF($A353&lt;VLOOKUP(Q$5,NFI,5,0),1,0)*Data_NFI_t[[#This Row],[Plastic Bucket]],0)</f>
        <v>0</v>
      </c>
      <c r="AG353" s="112">
        <f>IF(NFI_Expiration=1,IF($A353&lt;VLOOKUP(R$5,NFI,5,0),1,0)*Data_NFI_t[[#This Row],[Jerry Can]],0)</f>
        <v>0</v>
      </c>
      <c r="AH353" s="131">
        <f>IF(NFI_Expiration=1,IF($A353&lt;VLOOKUP(S$5,NFI,5,0),1,0)*Data_NFI_t[[#This Row],[Plastic Mat]],0)*IF(Data_NFI_t[[#This Row],[Distribution Date]]&gt;"01-06-2015",1,2.5)</f>
        <v>0</v>
      </c>
      <c r="AI353" s="901">
        <f>IF(NFI_Expiration=1,IF($A353&lt;VLOOKUP(T$5,NFI,5,0),1,0)*Data_NFI_t[[#This Row],[Adult Clothes]],0)</f>
        <v>0</v>
      </c>
      <c r="AJ353" s="131">
        <f>IF(NFI_Expiration=1,IF($A353&lt;VLOOKUP(U$5,NFI,5,0),1,0)*Data_NFI_t[[#This Row],[Children Clothes]],0)</f>
        <v>0</v>
      </c>
      <c r="AK353" s="131">
        <f>IF(NFI_Expiration=1,IF($A353&lt;VLOOKUP(V$5,NFI,5,0),1,0)*Data_NFI_t[[#This Row],[Sewing Kit]],0)</f>
        <v>0</v>
      </c>
      <c r="AL353" s="901">
        <f>IF(NFI_Expiration=1,IF($A353&lt;VLOOKUP(V$5,NFI,5,0),1,0)*Data_NFI_t[[#This Row],[Solar Lantern]],0)</f>
        <v>0</v>
      </c>
      <c r="AM353" s="131" t="str">
        <f ca="1">IFERROR(OFFSET(Camp_List[P_Code],MATCH(Data_NFI_t[[#This Row],[Camp Name]],Camp_List[Camp Name],0)-1,0,1,1),"")</f>
        <v>MMR012CMP056</v>
      </c>
      <c r="AN353" s="513" t="str">
        <f ca="1">IFERROR(OFFSET(Camp_List[Status],MATCH(Data_NFI_t[[#This Row],[Camp Name]],Camp_List[Camp Name],0)-1,0,1,1),"")</f>
        <v>Relocated</v>
      </c>
      <c r="AO353" s="131"/>
    </row>
    <row r="354" spans="1:41" s="90" customFormat="1" ht="19.5" customHeight="1" x14ac:dyDescent="0.25">
      <c r="A354" s="242">
        <f t="shared" si="7"/>
        <v>53.43333333333333</v>
      </c>
      <c r="B354" s="242">
        <f>YEAR(Data_NFI_t[[#This Row],[Distribution Date]])</f>
        <v>2012</v>
      </c>
      <c r="C354" s="913">
        <v>41253</v>
      </c>
      <c r="D354" s="489" t="s">
        <v>285</v>
      </c>
      <c r="E354" s="488"/>
      <c r="F354" s="489" t="s">
        <v>7</v>
      </c>
      <c r="G354" s="790" t="s">
        <v>607</v>
      </c>
      <c r="H354" s="790" t="s">
        <v>474</v>
      </c>
      <c r="I354" s="790"/>
      <c r="J354" s="51"/>
      <c r="K354" s="51"/>
      <c r="L354" s="51">
        <v>170</v>
      </c>
      <c r="M354" s="51">
        <v>85</v>
      </c>
      <c r="N354" s="51">
        <v>170</v>
      </c>
      <c r="O354" s="51">
        <v>85</v>
      </c>
      <c r="P354" s="51"/>
      <c r="Q354" s="51"/>
      <c r="R354" s="511"/>
      <c r="S354" s="51"/>
      <c r="T354" s="51"/>
      <c r="U354" s="51"/>
      <c r="V354" s="51"/>
      <c r="W354" s="51"/>
      <c r="X354" s="131">
        <f>IF(NFI_Expiration=1,IF($A354&lt;VLOOKUP(I$5,NFI,5,0),1,0)*Data_NFI_t[[#This Row],[Hygiene Kit]],0)</f>
        <v>0</v>
      </c>
      <c r="Y354" s="131">
        <f>IF(NFI_Expiration=1,IF($A354&lt;VLOOKUP(J$5,NFI,5,0),1,0)*Data_NFI_t[[#This Row],[NFI Core Kit]],0)</f>
        <v>0</v>
      </c>
      <c r="Z354" s="112">
        <f>IF(NFI_Expiration=1,IF($A354&lt;VLOOKUP(K$5,NFI,5,0),1,0)*Data_NFI_t[[#This Row],[Sanitary Kit]],0)</f>
        <v>0</v>
      </c>
      <c r="AA354" s="112">
        <f>IF(NFI_Expiration=1,IF($A354&lt;VLOOKUP(L$5,NFI,5,0),1,0)*Data_NFI_t[[#This Row],[Mosquito net]],0)</f>
        <v>0</v>
      </c>
      <c r="AB354" s="112">
        <f>IF(NFI_Expiration=1,IF($A354&lt;VLOOKUP(M$5,NFI,5,0),1,0)*Data_NFI_t[[#This Row],[Tarpaulin]],0)</f>
        <v>0</v>
      </c>
      <c r="AC354" s="112">
        <f>IF(NFI_Expiration=1,IF($A354&lt;VLOOKUP(N$5,NFI,5,0),1,0)*Data_NFI_t[[#This Row],[Blanket]],0)</f>
        <v>0</v>
      </c>
      <c r="AD354" s="112">
        <f>IF(NFI_Expiration=1,IF($A354&lt;VLOOKUP(O$5,NFI,5,0),1,0)*Data_NFI_t[[#This Row],[Kitchen Set]],0)</f>
        <v>0</v>
      </c>
      <c r="AE354" s="112">
        <f>IF(NFI_Expiration=1,IF($A354&lt;VLOOKUP(P$5,NFI,5,0),1,0)*Data_NFI_t[[#This Row],[Complementary Kit]],0)</f>
        <v>0</v>
      </c>
      <c r="AF354" s="112">
        <f>IF(NFI_Expiration=1,IF($A354&lt;VLOOKUP(Q$5,NFI,5,0),1,0)*Data_NFI_t[[#This Row],[Plastic Bucket]],0)</f>
        <v>0</v>
      </c>
      <c r="AG354" s="112">
        <f>IF(NFI_Expiration=1,IF($A354&lt;VLOOKUP(R$5,NFI,5,0),1,0)*Data_NFI_t[[#This Row],[Jerry Can]],0)</f>
        <v>0</v>
      </c>
      <c r="AH354" s="131">
        <f>IF(NFI_Expiration=1,IF($A354&lt;VLOOKUP(S$5,NFI,5,0),1,0)*Data_NFI_t[[#This Row],[Plastic Mat]],0)*IF(Data_NFI_t[[#This Row],[Distribution Date]]&gt;"01-06-2015",1,2.5)</f>
        <v>0</v>
      </c>
      <c r="AI354" s="901">
        <f>IF(NFI_Expiration=1,IF($A354&lt;VLOOKUP(T$5,NFI,5,0),1,0)*Data_NFI_t[[#This Row],[Adult Clothes]],0)</f>
        <v>0</v>
      </c>
      <c r="AJ354" s="131">
        <f>IF(NFI_Expiration=1,IF($A354&lt;VLOOKUP(U$5,NFI,5,0),1,0)*Data_NFI_t[[#This Row],[Children Clothes]],0)</f>
        <v>0</v>
      </c>
      <c r="AK354" s="131">
        <f>IF(NFI_Expiration=1,IF($A354&lt;VLOOKUP(V$5,NFI,5,0),1,0)*Data_NFI_t[[#This Row],[Sewing Kit]],0)</f>
        <v>0</v>
      </c>
      <c r="AL354" s="901">
        <f>IF(NFI_Expiration=1,IF($A354&lt;VLOOKUP(V$5,NFI,5,0),1,0)*Data_NFI_t[[#This Row],[Solar Lantern]],0)</f>
        <v>0</v>
      </c>
      <c r="AM354" s="131" t="str">
        <f ca="1">IFERROR(OFFSET(Camp_List[P_Code],MATCH(Data_NFI_t[[#This Row],[Camp Name]],Camp_List[Camp Name],0)-1,0,1,1),"")</f>
        <v>MMR012CMP036</v>
      </c>
      <c r="AN354" s="513" t="str">
        <f ca="1">IFERROR(OFFSET(Camp_List[Status],MATCH(Data_NFI_t[[#This Row],[Camp Name]],Camp_List[Camp Name],0)-1,0,1,1),"")</f>
        <v>Open</v>
      </c>
      <c r="AO354" s="131"/>
    </row>
    <row r="355" spans="1:41" s="90" customFormat="1" ht="19.5" customHeight="1" x14ac:dyDescent="0.25">
      <c r="A355" s="242">
        <f t="shared" si="7"/>
        <v>53.43333333333333</v>
      </c>
      <c r="B355" s="242">
        <f>YEAR(Data_NFI_t[[#This Row],[Distribution Date]])</f>
        <v>2012</v>
      </c>
      <c r="C355" s="913">
        <v>41253</v>
      </c>
      <c r="D355" s="489" t="s">
        <v>285</v>
      </c>
      <c r="E355" s="488"/>
      <c r="F355" s="489" t="s">
        <v>7</v>
      </c>
      <c r="G355" s="790" t="s">
        <v>607</v>
      </c>
      <c r="H355" s="790" t="s">
        <v>58</v>
      </c>
      <c r="I355" s="790"/>
      <c r="J355" s="51"/>
      <c r="K355" s="51"/>
      <c r="L355" s="51">
        <v>826</v>
      </c>
      <c r="M355" s="51">
        <v>213</v>
      </c>
      <c r="N355" s="51">
        <v>826</v>
      </c>
      <c r="O355" s="51">
        <v>413</v>
      </c>
      <c r="P355" s="51"/>
      <c r="Q355" s="51"/>
      <c r="R355" s="511"/>
      <c r="S355" s="51"/>
      <c r="T355" s="51"/>
      <c r="U355" s="51"/>
      <c r="V355" s="51"/>
      <c r="W355" s="51"/>
      <c r="X355" s="131">
        <f>IF(NFI_Expiration=1,IF($A355&lt;VLOOKUP(I$5,NFI,5,0),1,0)*Data_NFI_t[[#This Row],[Hygiene Kit]],0)</f>
        <v>0</v>
      </c>
      <c r="Y355" s="131">
        <f>IF(NFI_Expiration=1,IF($A355&lt;VLOOKUP(J$5,NFI,5,0),1,0)*Data_NFI_t[[#This Row],[NFI Core Kit]],0)</f>
        <v>0</v>
      </c>
      <c r="Z355" s="112">
        <f>IF(NFI_Expiration=1,IF($A355&lt;VLOOKUP(K$5,NFI,5,0),1,0)*Data_NFI_t[[#This Row],[Sanitary Kit]],0)</f>
        <v>0</v>
      </c>
      <c r="AA355" s="112">
        <f>IF(NFI_Expiration=1,IF($A355&lt;VLOOKUP(L$5,NFI,5,0),1,0)*Data_NFI_t[[#This Row],[Mosquito net]],0)</f>
        <v>0</v>
      </c>
      <c r="AB355" s="112">
        <f>IF(NFI_Expiration=1,IF($A355&lt;VLOOKUP(M$5,NFI,5,0),1,0)*Data_NFI_t[[#This Row],[Tarpaulin]],0)</f>
        <v>0</v>
      </c>
      <c r="AC355" s="112">
        <f>IF(NFI_Expiration=1,IF($A355&lt;VLOOKUP(N$5,NFI,5,0),1,0)*Data_NFI_t[[#This Row],[Blanket]],0)</f>
        <v>0</v>
      </c>
      <c r="AD355" s="112">
        <f>IF(NFI_Expiration=1,IF($A355&lt;VLOOKUP(O$5,NFI,5,0),1,0)*Data_NFI_t[[#This Row],[Kitchen Set]],0)</f>
        <v>0</v>
      </c>
      <c r="AE355" s="112">
        <f>IF(NFI_Expiration=1,IF($A355&lt;VLOOKUP(P$5,NFI,5,0),1,0)*Data_NFI_t[[#This Row],[Complementary Kit]],0)</f>
        <v>0</v>
      </c>
      <c r="AF355" s="112">
        <f>IF(NFI_Expiration=1,IF($A355&lt;VLOOKUP(Q$5,NFI,5,0),1,0)*Data_NFI_t[[#This Row],[Plastic Bucket]],0)</f>
        <v>0</v>
      </c>
      <c r="AG355" s="112">
        <f>IF(NFI_Expiration=1,IF($A355&lt;VLOOKUP(R$5,NFI,5,0),1,0)*Data_NFI_t[[#This Row],[Jerry Can]],0)</f>
        <v>0</v>
      </c>
      <c r="AH355" s="131">
        <f>IF(NFI_Expiration=1,IF($A355&lt;VLOOKUP(S$5,NFI,5,0),1,0)*Data_NFI_t[[#This Row],[Plastic Mat]],0)*IF(Data_NFI_t[[#This Row],[Distribution Date]]&gt;"01-06-2015",1,2.5)</f>
        <v>0</v>
      </c>
      <c r="AI355" s="901">
        <f>IF(NFI_Expiration=1,IF($A355&lt;VLOOKUP(T$5,NFI,5,0),1,0)*Data_NFI_t[[#This Row],[Adult Clothes]],0)</f>
        <v>0</v>
      </c>
      <c r="AJ355" s="131">
        <f>IF(NFI_Expiration=1,IF($A355&lt;VLOOKUP(U$5,NFI,5,0),1,0)*Data_NFI_t[[#This Row],[Children Clothes]],0)</f>
        <v>0</v>
      </c>
      <c r="AK355" s="131">
        <f>IF(NFI_Expiration=1,IF($A355&lt;VLOOKUP(V$5,NFI,5,0),1,0)*Data_NFI_t[[#This Row],[Sewing Kit]],0)</f>
        <v>0</v>
      </c>
      <c r="AL355" s="901">
        <f>IF(NFI_Expiration=1,IF($A355&lt;VLOOKUP(V$5,NFI,5,0),1,0)*Data_NFI_t[[#This Row],[Solar Lantern]],0)</f>
        <v>0</v>
      </c>
      <c r="AM355" s="131" t="str">
        <f ca="1">IFERROR(OFFSET(Camp_List[P_Code],MATCH(Data_NFI_t[[#This Row],[Camp Name]],Camp_List[Camp Name],0)-1,0,1,1),"")</f>
        <v>MMR012CMP035</v>
      </c>
      <c r="AN355" s="513" t="str">
        <f ca="1">IFERROR(OFFSET(Camp_List[Status],MATCH(Data_NFI_t[[#This Row],[Camp Name]],Camp_List[Camp Name],0)-1,0,1,1),"")</f>
        <v>Open</v>
      </c>
      <c r="AO355" s="131"/>
    </row>
    <row r="356" spans="1:41" s="90" customFormat="1" ht="19.5" customHeight="1" x14ac:dyDescent="0.25">
      <c r="A356" s="242">
        <f t="shared" si="7"/>
        <v>53.6</v>
      </c>
      <c r="B356" s="242">
        <f>YEAR(Data_NFI_t[[#This Row],[Distribution Date]])</f>
        <v>2012</v>
      </c>
      <c r="C356" s="913">
        <v>41248</v>
      </c>
      <c r="D356" s="489" t="s">
        <v>289</v>
      </c>
      <c r="E356" s="488" t="s">
        <v>285</v>
      </c>
      <c r="F356" s="489" t="s">
        <v>7</v>
      </c>
      <c r="G356" s="790" t="s">
        <v>19</v>
      </c>
      <c r="H356" s="790" t="s">
        <v>71</v>
      </c>
      <c r="I356" s="790"/>
      <c r="J356" s="51"/>
      <c r="K356" s="51"/>
      <c r="L356" s="51"/>
      <c r="M356" s="51"/>
      <c r="N356" s="51">
        <v>50</v>
      </c>
      <c r="O356" s="51"/>
      <c r="P356" s="51"/>
      <c r="Q356" s="51"/>
      <c r="R356" s="511"/>
      <c r="S356" s="51"/>
      <c r="T356" s="51"/>
      <c r="U356" s="51"/>
      <c r="V356" s="51"/>
      <c r="W356" s="51"/>
      <c r="X356" s="131">
        <f>IF(NFI_Expiration=1,IF($A356&lt;VLOOKUP(I$5,NFI,5,0),1,0)*Data_NFI_t[[#This Row],[Hygiene Kit]],0)</f>
        <v>0</v>
      </c>
      <c r="Y356" s="131">
        <f>IF(NFI_Expiration=1,IF($A356&lt;VLOOKUP(J$5,NFI,5,0),1,0)*Data_NFI_t[[#This Row],[NFI Core Kit]],0)</f>
        <v>0</v>
      </c>
      <c r="Z356" s="112">
        <f>IF(NFI_Expiration=1,IF($A356&lt;VLOOKUP(K$5,NFI,5,0),1,0)*Data_NFI_t[[#This Row],[Sanitary Kit]],0)</f>
        <v>0</v>
      </c>
      <c r="AA356" s="112">
        <f>IF(NFI_Expiration=1,IF($A356&lt;VLOOKUP(L$5,NFI,5,0),1,0)*Data_NFI_t[[#This Row],[Mosquito net]],0)</f>
        <v>0</v>
      </c>
      <c r="AB356" s="112">
        <f>IF(NFI_Expiration=1,IF($A356&lt;VLOOKUP(M$5,NFI,5,0),1,0)*Data_NFI_t[[#This Row],[Tarpaulin]],0)</f>
        <v>0</v>
      </c>
      <c r="AC356" s="112">
        <f>IF(NFI_Expiration=1,IF($A356&lt;VLOOKUP(N$5,NFI,5,0),1,0)*Data_NFI_t[[#This Row],[Blanket]],0)</f>
        <v>0</v>
      </c>
      <c r="AD356" s="112">
        <f>IF(NFI_Expiration=1,IF($A356&lt;VLOOKUP(O$5,NFI,5,0),1,0)*Data_NFI_t[[#This Row],[Kitchen Set]],0)</f>
        <v>0</v>
      </c>
      <c r="AE356" s="112">
        <f>IF(NFI_Expiration=1,IF($A356&lt;VLOOKUP(P$5,NFI,5,0),1,0)*Data_NFI_t[[#This Row],[Complementary Kit]],0)</f>
        <v>0</v>
      </c>
      <c r="AF356" s="112">
        <f>IF(NFI_Expiration=1,IF($A356&lt;VLOOKUP(Q$5,NFI,5,0),1,0)*Data_NFI_t[[#This Row],[Plastic Bucket]],0)</f>
        <v>0</v>
      </c>
      <c r="AG356" s="112">
        <f>IF(NFI_Expiration=1,IF($A356&lt;VLOOKUP(R$5,NFI,5,0),1,0)*Data_NFI_t[[#This Row],[Jerry Can]],0)</f>
        <v>0</v>
      </c>
      <c r="AH356" s="131">
        <f>IF(NFI_Expiration=1,IF($A356&lt;VLOOKUP(S$5,NFI,5,0),1,0)*Data_NFI_t[[#This Row],[Plastic Mat]],0)*IF(Data_NFI_t[[#This Row],[Distribution Date]]&gt;"01-06-2015",1,2.5)</f>
        <v>0</v>
      </c>
      <c r="AI356" s="901">
        <f>IF(NFI_Expiration=1,IF($A356&lt;VLOOKUP(T$5,NFI,5,0),1,0)*Data_NFI_t[[#This Row],[Adult Clothes]],0)</f>
        <v>0</v>
      </c>
      <c r="AJ356" s="131">
        <f>IF(NFI_Expiration=1,IF($A356&lt;VLOOKUP(U$5,NFI,5,0),1,0)*Data_NFI_t[[#This Row],[Children Clothes]],0)</f>
        <v>0</v>
      </c>
      <c r="AK356" s="131">
        <f>IF(NFI_Expiration=1,IF($A356&lt;VLOOKUP(V$5,NFI,5,0),1,0)*Data_NFI_t[[#This Row],[Sewing Kit]],0)</f>
        <v>0</v>
      </c>
      <c r="AL356" s="901">
        <f>IF(NFI_Expiration=1,IF($A356&lt;VLOOKUP(V$5,NFI,5,0),1,0)*Data_NFI_t[[#This Row],[Solar Lantern]],0)</f>
        <v>0</v>
      </c>
      <c r="AM356" s="131" t="str">
        <f ca="1">IFERROR(OFFSET(Camp_List[P_Code],MATCH(Data_NFI_t[[#This Row],[Camp Name]],Camp_List[Camp Name],0)-1,0,1,1),"")</f>
        <v>MMR012CMP049</v>
      </c>
      <c r="AN356" s="513" t="str">
        <f ca="1">IFERROR(OFFSET(Camp_List[Status],MATCH(Data_NFI_t[[#This Row],[Camp Name]],Camp_List[Camp Name],0)-1,0,1,1),"")</f>
        <v>Close</v>
      </c>
      <c r="AO356" s="131"/>
    </row>
    <row r="357" spans="1:41" s="90" customFormat="1" ht="19.5" customHeight="1" x14ac:dyDescent="0.25">
      <c r="A357" s="242">
        <f t="shared" si="7"/>
        <v>53.666666666666664</v>
      </c>
      <c r="B357" s="242">
        <f>YEAR(Data_NFI_t[[#This Row],[Distribution Date]])</f>
        <v>2012</v>
      </c>
      <c r="C357" s="913">
        <v>41246</v>
      </c>
      <c r="D357" s="489" t="s">
        <v>289</v>
      </c>
      <c r="E357" s="488" t="s">
        <v>285</v>
      </c>
      <c r="F357" s="489" t="s">
        <v>7</v>
      </c>
      <c r="G357" s="790" t="s">
        <v>19</v>
      </c>
      <c r="H357" s="790" t="s">
        <v>70</v>
      </c>
      <c r="I357" s="790"/>
      <c r="J357" s="51"/>
      <c r="K357" s="51"/>
      <c r="L357" s="51"/>
      <c r="M357" s="51"/>
      <c r="N357" s="51">
        <v>92</v>
      </c>
      <c r="O357" s="51"/>
      <c r="P357" s="51"/>
      <c r="Q357" s="51"/>
      <c r="R357" s="511"/>
      <c r="S357" s="51"/>
      <c r="T357" s="51"/>
      <c r="U357" s="51"/>
      <c r="V357" s="51"/>
      <c r="W357" s="51"/>
      <c r="X357" s="131">
        <f>IF(NFI_Expiration=1,IF($A357&lt;VLOOKUP(I$5,NFI,5,0),1,0)*Data_NFI_t[[#This Row],[Hygiene Kit]],0)</f>
        <v>0</v>
      </c>
      <c r="Y357" s="131">
        <f>IF(NFI_Expiration=1,IF($A357&lt;VLOOKUP(J$5,NFI,5,0),1,0)*Data_NFI_t[[#This Row],[NFI Core Kit]],0)</f>
        <v>0</v>
      </c>
      <c r="Z357" s="112">
        <f>IF(NFI_Expiration=1,IF($A357&lt;VLOOKUP(K$5,NFI,5,0),1,0)*Data_NFI_t[[#This Row],[Sanitary Kit]],0)</f>
        <v>0</v>
      </c>
      <c r="AA357" s="112">
        <f>IF(NFI_Expiration=1,IF($A357&lt;VLOOKUP(L$5,NFI,5,0),1,0)*Data_NFI_t[[#This Row],[Mosquito net]],0)</f>
        <v>0</v>
      </c>
      <c r="AB357" s="112">
        <f>IF(NFI_Expiration=1,IF($A357&lt;VLOOKUP(M$5,NFI,5,0),1,0)*Data_NFI_t[[#This Row],[Tarpaulin]],0)</f>
        <v>0</v>
      </c>
      <c r="AC357" s="112">
        <f>IF(NFI_Expiration=1,IF($A357&lt;VLOOKUP(N$5,NFI,5,0),1,0)*Data_NFI_t[[#This Row],[Blanket]],0)</f>
        <v>0</v>
      </c>
      <c r="AD357" s="112">
        <f>IF(NFI_Expiration=1,IF($A357&lt;VLOOKUP(O$5,NFI,5,0),1,0)*Data_NFI_t[[#This Row],[Kitchen Set]],0)</f>
        <v>0</v>
      </c>
      <c r="AE357" s="112">
        <f>IF(NFI_Expiration=1,IF($A357&lt;VLOOKUP(P$5,NFI,5,0),1,0)*Data_NFI_t[[#This Row],[Complementary Kit]],0)</f>
        <v>0</v>
      </c>
      <c r="AF357" s="112">
        <f>IF(NFI_Expiration=1,IF($A357&lt;VLOOKUP(Q$5,NFI,5,0),1,0)*Data_NFI_t[[#This Row],[Plastic Bucket]],0)</f>
        <v>0</v>
      </c>
      <c r="AG357" s="112">
        <f>IF(NFI_Expiration=1,IF($A357&lt;VLOOKUP(R$5,NFI,5,0),1,0)*Data_NFI_t[[#This Row],[Jerry Can]],0)</f>
        <v>0</v>
      </c>
      <c r="AH357" s="131">
        <f>IF(NFI_Expiration=1,IF($A357&lt;VLOOKUP(S$5,NFI,5,0),1,0)*Data_NFI_t[[#This Row],[Plastic Mat]],0)*IF(Data_NFI_t[[#This Row],[Distribution Date]]&gt;"01-06-2015",1,2.5)</f>
        <v>0</v>
      </c>
      <c r="AI357" s="901">
        <f>IF(NFI_Expiration=1,IF($A357&lt;VLOOKUP(T$5,NFI,5,0),1,0)*Data_NFI_t[[#This Row],[Adult Clothes]],0)</f>
        <v>0</v>
      </c>
      <c r="AJ357" s="131">
        <f>IF(NFI_Expiration=1,IF($A357&lt;VLOOKUP(U$5,NFI,5,0),1,0)*Data_NFI_t[[#This Row],[Children Clothes]],0)</f>
        <v>0</v>
      </c>
      <c r="AK357" s="131">
        <f>IF(NFI_Expiration=1,IF($A357&lt;VLOOKUP(V$5,NFI,5,0),1,0)*Data_NFI_t[[#This Row],[Sewing Kit]],0)</f>
        <v>0</v>
      </c>
      <c r="AL357" s="901">
        <f>IF(NFI_Expiration=1,IF($A357&lt;VLOOKUP(V$5,NFI,5,0),1,0)*Data_NFI_t[[#This Row],[Solar Lantern]],0)</f>
        <v>0</v>
      </c>
      <c r="AM357" s="131" t="str">
        <f ca="1">IFERROR(OFFSET(Camp_List[P_Code],MATCH(Data_NFI_t[[#This Row],[Camp Name]],Camp_List[Camp Name],0)-1,0,1,1),"")</f>
        <v>MMR012CMP048</v>
      </c>
      <c r="AN357" s="513" t="str">
        <f ca="1">IFERROR(OFFSET(Camp_List[Status],MATCH(Data_NFI_t[[#This Row],[Camp Name]],Camp_List[Camp Name],0)-1,0,1,1),"")</f>
        <v>Open</v>
      </c>
      <c r="AO357" s="131"/>
    </row>
    <row r="358" spans="1:41" s="90" customFormat="1" ht="19.5" customHeight="1" x14ac:dyDescent="0.25">
      <c r="A358" s="242">
        <f t="shared" si="7"/>
        <v>53.766666666666666</v>
      </c>
      <c r="B358" s="242">
        <f>YEAR(Data_NFI_t[[#This Row],[Distribution Date]])</f>
        <v>2012</v>
      </c>
      <c r="C358" s="913">
        <v>41243</v>
      </c>
      <c r="D358" s="489" t="s">
        <v>285</v>
      </c>
      <c r="E358" s="488"/>
      <c r="F358" s="489" t="s">
        <v>7</v>
      </c>
      <c r="G358" s="790" t="s">
        <v>11</v>
      </c>
      <c r="H358" s="790" t="s">
        <v>30</v>
      </c>
      <c r="I358" s="790"/>
      <c r="J358" s="51"/>
      <c r="K358" s="51"/>
      <c r="L358" s="51"/>
      <c r="M358" s="51"/>
      <c r="N358" s="51">
        <v>172</v>
      </c>
      <c r="O358" s="51">
        <v>46</v>
      </c>
      <c r="P358" s="51"/>
      <c r="Q358" s="51"/>
      <c r="R358" s="511"/>
      <c r="S358" s="51"/>
      <c r="T358" s="51"/>
      <c r="U358" s="51"/>
      <c r="V358" s="51"/>
      <c r="W358" s="51"/>
      <c r="X358" s="131">
        <f>IF(NFI_Expiration=1,IF($A358&lt;VLOOKUP(I$5,NFI,5,0),1,0)*Data_NFI_t[[#This Row],[Hygiene Kit]],0)</f>
        <v>0</v>
      </c>
      <c r="Y358" s="131">
        <f>IF(NFI_Expiration=1,IF($A358&lt;VLOOKUP(J$5,NFI,5,0),1,0)*Data_NFI_t[[#This Row],[NFI Core Kit]],0)</f>
        <v>0</v>
      </c>
      <c r="Z358" s="112">
        <f>IF(NFI_Expiration=1,IF($A358&lt;VLOOKUP(K$5,NFI,5,0),1,0)*Data_NFI_t[[#This Row],[Sanitary Kit]],0)</f>
        <v>0</v>
      </c>
      <c r="AA358" s="112">
        <f>IF(NFI_Expiration=1,IF($A358&lt;VLOOKUP(L$5,NFI,5,0),1,0)*Data_NFI_t[[#This Row],[Mosquito net]],0)</f>
        <v>0</v>
      </c>
      <c r="AB358" s="112">
        <f>IF(NFI_Expiration=1,IF($A358&lt;VLOOKUP(M$5,NFI,5,0),1,0)*Data_NFI_t[[#This Row],[Tarpaulin]],0)</f>
        <v>0</v>
      </c>
      <c r="AC358" s="112">
        <f>IF(NFI_Expiration=1,IF($A358&lt;VLOOKUP(N$5,NFI,5,0),1,0)*Data_NFI_t[[#This Row],[Blanket]],0)</f>
        <v>0</v>
      </c>
      <c r="AD358" s="112">
        <f>IF(NFI_Expiration=1,IF($A358&lt;VLOOKUP(O$5,NFI,5,0),1,0)*Data_NFI_t[[#This Row],[Kitchen Set]],0)</f>
        <v>0</v>
      </c>
      <c r="AE358" s="112">
        <f>IF(NFI_Expiration=1,IF($A358&lt;VLOOKUP(P$5,NFI,5,0),1,0)*Data_NFI_t[[#This Row],[Complementary Kit]],0)</f>
        <v>0</v>
      </c>
      <c r="AF358" s="112">
        <f>IF(NFI_Expiration=1,IF($A358&lt;VLOOKUP(Q$5,NFI,5,0),1,0)*Data_NFI_t[[#This Row],[Plastic Bucket]],0)</f>
        <v>0</v>
      </c>
      <c r="AG358" s="112">
        <f>IF(NFI_Expiration=1,IF($A358&lt;VLOOKUP(R$5,NFI,5,0),1,0)*Data_NFI_t[[#This Row],[Jerry Can]],0)</f>
        <v>0</v>
      </c>
      <c r="AH358" s="131">
        <f>IF(NFI_Expiration=1,IF($A358&lt;VLOOKUP(S$5,NFI,5,0),1,0)*Data_NFI_t[[#This Row],[Plastic Mat]],0)*IF(Data_NFI_t[[#This Row],[Distribution Date]]&gt;"01-06-2015",1,2.5)</f>
        <v>0</v>
      </c>
      <c r="AI358" s="901">
        <f>IF(NFI_Expiration=1,IF($A358&lt;VLOOKUP(T$5,NFI,5,0),1,0)*Data_NFI_t[[#This Row],[Adult Clothes]],0)</f>
        <v>0</v>
      </c>
      <c r="AJ358" s="131">
        <f>IF(NFI_Expiration=1,IF($A358&lt;VLOOKUP(U$5,NFI,5,0),1,0)*Data_NFI_t[[#This Row],[Children Clothes]],0)</f>
        <v>0</v>
      </c>
      <c r="AK358" s="131">
        <f>IF(NFI_Expiration=1,IF($A358&lt;VLOOKUP(V$5,NFI,5,0),1,0)*Data_NFI_t[[#This Row],[Sewing Kit]],0)</f>
        <v>0</v>
      </c>
      <c r="AL358" s="901">
        <f>IF(NFI_Expiration=1,IF($A358&lt;VLOOKUP(V$5,NFI,5,0),1,0)*Data_NFI_t[[#This Row],[Solar Lantern]],0)</f>
        <v>0</v>
      </c>
      <c r="AM358" s="131" t="str">
        <f ca="1">IFERROR(OFFSET(Camp_List[P_Code],MATCH(Data_NFI_t[[#This Row],[Camp Name]],Camp_List[Camp Name],0)-1,0,1,1),"")</f>
        <v>MMR012CMP006</v>
      </c>
      <c r="AN358" s="513" t="str">
        <f ca="1">IFERROR(OFFSET(Camp_List[Status],MATCH(Data_NFI_t[[#This Row],[Camp Name]],Camp_List[Camp Name],0)-1,0,1,1),"")</f>
        <v>Returned</v>
      </c>
      <c r="AO358" s="131"/>
    </row>
    <row r="359" spans="1:41" s="90" customFormat="1" ht="19.5" customHeight="1" x14ac:dyDescent="0.25">
      <c r="A359" s="242">
        <f t="shared" si="7"/>
        <v>53.766666666666666</v>
      </c>
      <c r="B359" s="242">
        <f>YEAR(Data_NFI_t[[#This Row],[Distribution Date]])</f>
        <v>2012</v>
      </c>
      <c r="C359" s="913">
        <v>41243</v>
      </c>
      <c r="D359" s="489" t="s">
        <v>285</v>
      </c>
      <c r="E359" s="488"/>
      <c r="F359" s="489" t="s">
        <v>7</v>
      </c>
      <c r="G359" s="790" t="s">
        <v>19</v>
      </c>
      <c r="H359" s="790" t="s">
        <v>73</v>
      </c>
      <c r="I359" s="790"/>
      <c r="J359" s="51"/>
      <c r="K359" s="51"/>
      <c r="L359" s="51"/>
      <c r="M359" s="51">
        <v>130</v>
      </c>
      <c r="N359" s="51"/>
      <c r="O359" s="51"/>
      <c r="P359" s="51"/>
      <c r="Q359" s="51"/>
      <c r="R359" s="511"/>
      <c r="S359" s="51"/>
      <c r="T359" s="51"/>
      <c r="U359" s="51"/>
      <c r="V359" s="51"/>
      <c r="W359" s="51"/>
      <c r="X359" s="131">
        <f>IF(NFI_Expiration=1,IF($A359&lt;VLOOKUP(I$5,NFI,5,0),1,0)*Data_NFI_t[[#This Row],[Hygiene Kit]],0)</f>
        <v>0</v>
      </c>
      <c r="Y359" s="131">
        <f>IF(NFI_Expiration=1,IF($A359&lt;VLOOKUP(J$5,NFI,5,0),1,0)*Data_NFI_t[[#This Row],[NFI Core Kit]],0)</f>
        <v>0</v>
      </c>
      <c r="Z359" s="112">
        <f>IF(NFI_Expiration=1,IF($A359&lt;VLOOKUP(K$5,NFI,5,0),1,0)*Data_NFI_t[[#This Row],[Sanitary Kit]],0)</f>
        <v>0</v>
      </c>
      <c r="AA359" s="112">
        <f>IF(NFI_Expiration=1,IF($A359&lt;VLOOKUP(L$5,NFI,5,0),1,0)*Data_NFI_t[[#This Row],[Mosquito net]],0)</f>
        <v>0</v>
      </c>
      <c r="AB359" s="112">
        <f>IF(NFI_Expiration=1,IF($A359&lt;VLOOKUP(M$5,NFI,5,0),1,0)*Data_NFI_t[[#This Row],[Tarpaulin]],0)</f>
        <v>0</v>
      </c>
      <c r="AC359" s="112">
        <f>IF(NFI_Expiration=1,IF($A359&lt;VLOOKUP(N$5,NFI,5,0),1,0)*Data_NFI_t[[#This Row],[Blanket]],0)</f>
        <v>0</v>
      </c>
      <c r="AD359" s="112">
        <f>IF(NFI_Expiration=1,IF($A359&lt;VLOOKUP(O$5,NFI,5,0),1,0)*Data_NFI_t[[#This Row],[Kitchen Set]],0)</f>
        <v>0</v>
      </c>
      <c r="AE359" s="112">
        <f>IF(NFI_Expiration=1,IF($A359&lt;VLOOKUP(P$5,NFI,5,0),1,0)*Data_NFI_t[[#This Row],[Complementary Kit]],0)</f>
        <v>0</v>
      </c>
      <c r="AF359" s="112">
        <f>IF(NFI_Expiration=1,IF($A359&lt;VLOOKUP(Q$5,NFI,5,0),1,0)*Data_NFI_t[[#This Row],[Plastic Bucket]],0)</f>
        <v>0</v>
      </c>
      <c r="AG359" s="112">
        <f>IF(NFI_Expiration=1,IF($A359&lt;VLOOKUP(R$5,NFI,5,0),1,0)*Data_NFI_t[[#This Row],[Jerry Can]],0)</f>
        <v>0</v>
      </c>
      <c r="AH359" s="131">
        <f>IF(NFI_Expiration=1,IF($A359&lt;VLOOKUP(S$5,NFI,5,0),1,0)*Data_NFI_t[[#This Row],[Plastic Mat]],0)*IF(Data_NFI_t[[#This Row],[Distribution Date]]&gt;"01-06-2015",1,2.5)</f>
        <v>0</v>
      </c>
      <c r="AI359" s="901">
        <f>IF(NFI_Expiration=1,IF($A359&lt;VLOOKUP(T$5,NFI,5,0),1,0)*Data_NFI_t[[#This Row],[Adult Clothes]],0)</f>
        <v>0</v>
      </c>
      <c r="AJ359" s="131">
        <f>IF(NFI_Expiration=1,IF($A359&lt;VLOOKUP(U$5,NFI,5,0),1,0)*Data_NFI_t[[#This Row],[Children Clothes]],0)</f>
        <v>0</v>
      </c>
      <c r="AK359" s="131">
        <f>IF(NFI_Expiration=1,IF($A359&lt;VLOOKUP(V$5,NFI,5,0),1,0)*Data_NFI_t[[#This Row],[Sewing Kit]],0)</f>
        <v>0</v>
      </c>
      <c r="AL359" s="901">
        <f>IF(NFI_Expiration=1,IF($A359&lt;VLOOKUP(V$5,NFI,5,0),1,0)*Data_NFI_t[[#This Row],[Solar Lantern]],0)</f>
        <v>0</v>
      </c>
      <c r="AM359" s="131" t="str">
        <f ca="1">IFERROR(OFFSET(Camp_List[P_Code],MATCH(Data_NFI_t[[#This Row],[Camp Name]],Camp_List[Camp Name],0)-1,0,1,1),"")</f>
        <v>MMR012CMP051</v>
      </c>
      <c r="AN359" s="513" t="str">
        <f ca="1">IFERROR(OFFSET(Camp_List[Status],MATCH(Data_NFI_t[[#This Row],[Camp Name]],Camp_List[Camp Name],0)-1,0,1,1),"")</f>
        <v>Close</v>
      </c>
      <c r="AO359" s="131"/>
    </row>
    <row r="360" spans="1:41" s="90" customFormat="1" ht="19.5" customHeight="1" x14ac:dyDescent="0.25">
      <c r="A360" s="242">
        <f t="shared" si="7"/>
        <v>53.766666666666666</v>
      </c>
      <c r="B360" s="242">
        <f>YEAR(Data_NFI_t[[#This Row],[Distribution Date]])</f>
        <v>2012</v>
      </c>
      <c r="C360" s="913">
        <v>41243</v>
      </c>
      <c r="D360" s="489" t="s">
        <v>285</v>
      </c>
      <c r="E360" s="488"/>
      <c r="F360" s="489" t="s">
        <v>7</v>
      </c>
      <c r="G360" s="790" t="s">
        <v>19</v>
      </c>
      <c r="H360" s="790" t="s">
        <v>73</v>
      </c>
      <c r="I360" s="790"/>
      <c r="J360" s="51"/>
      <c r="K360" s="51"/>
      <c r="L360" s="51"/>
      <c r="M360" s="51">
        <v>314</v>
      </c>
      <c r="N360" s="51"/>
      <c r="O360" s="51"/>
      <c r="P360" s="51"/>
      <c r="Q360" s="51"/>
      <c r="R360" s="511"/>
      <c r="S360" s="51"/>
      <c r="T360" s="51"/>
      <c r="U360" s="51"/>
      <c r="V360" s="51"/>
      <c r="W360" s="51"/>
      <c r="X360" s="131">
        <f>IF(NFI_Expiration=1,IF($A360&lt;VLOOKUP(I$5,NFI,5,0),1,0)*Data_NFI_t[[#This Row],[Hygiene Kit]],0)</f>
        <v>0</v>
      </c>
      <c r="Y360" s="131">
        <f>IF(NFI_Expiration=1,IF($A360&lt;VLOOKUP(J$5,NFI,5,0),1,0)*Data_NFI_t[[#This Row],[NFI Core Kit]],0)</f>
        <v>0</v>
      </c>
      <c r="Z360" s="112">
        <f>IF(NFI_Expiration=1,IF($A360&lt;VLOOKUP(K$5,NFI,5,0),1,0)*Data_NFI_t[[#This Row],[Sanitary Kit]],0)</f>
        <v>0</v>
      </c>
      <c r="AA360" s="112">
        <f>IF(NFI_Expiration=1,IF($A360&lt;VLOOKUP(L$5,NFI,5,0),1,0)*Data_NFI_t[[#This Row],[Mosquito net]],0)</f>
        <v>0</v>
      </c>
      <c r="AB360" s="112">
        <f>IF(NFI_Expiration=1,IF($A360&lt;VLOOKUP(M$5,NFI,5,0),1,0)*Data_NFI_t[[#This Row],[Tarpaulin]],0)</f>
        <v>0</v>
      </c>
      <c r="AC360" s="112">
        <f>IF(NFI_Expiration=1,IF($A360&lt;VLOOKUP(N$5,NFI,5,0),1,0)*Data_NFI_t[[#This Row],[Blanket]],0)</f>
        <v>0</v>
      </c>
      <c r="AD360" s="112">
        <f>IF(NFI_Expiration=1,IF($A360&lt;VLOOKUP(O$5,NFI,5,0),1,0)*Data_NFI_t[[#This Row],[Kitchen Set]],0)</f>
        <v>0</v>
      </c>
      <c r="AE360" s="112">
        <f>IF(NFI_Expiration=1,IF($A360&lt;VLOOKUP(P$5,NFI,5,0),1,0)*Data_NFI_t[[#This Row],[Complementary Kit]],0)</f>
        <v>0</v>
      </c>
      <c r="AF360" s="112">
        <f>IF(NFI_Expiration=1,IF($A360&lt;VLOOKUP(Q$5,NFI,5,0),1,0)*Data_NFI_t[[#This Row],[Plastic Bucket]],0)</f>
        <v>0</v>
      </c>
      <c r="AG360" s="112">
        <f>IF(NFI_Expiration=1,IF($A360&lt;VLOOKUP(R$5,NFI,5,0),1,0)*Data_NFI_t[[#This Row],[Jerry Can]],0)</f>
        <v>0</v>
      </c>
      <c r="AH360" s="131">
        <f>IF(NFI_Expiration=1,IF($A360&lt;VLOOKUP(S$5,NFI,5,0),1,0)*Data_NFI_t[[#This Row],[Plastic Mat]],0)*IF(Data_NFI_t[[#This Row],[Distribution Date]]&gt;"01-06-2015",1,2.5)</f>
        <v>0</v>
      </c>
      <c r="AI360" s="901">
        <f>IF(NFI_Expiration=1,IF($A360&lt;VLOOKUP(T$5,NFI,5,0),1,0)*Data_NFI_t[[#This Row],[Adult Clothes]],0)</f>
        <v>0</v>
      </c>
      <c r="AJ360" s="131">
        <f>IF(NFI_Expiration=1,IF($A360&lt;VLOOKUP(U$5,NFI,5,0),1,0)*Data_NFI_t[[#This Row],[Children Clothes]],0)</f>
        <v>0</v>
      </c>
      <c r="AK360" s="131">
        <f>IF(NFI_Expiration=1,IF($A360&lt;VLOOKUP(V$5,NFI,5,0),1,0)*Data_NFI_t[[#This Row],[Sewing Kit]],0)</f>
        <v>0</v>
      </c>
      <c r="AL360" s="901">
        <f>IF(NFI_Expiration=1,IF($A360&lt;VLOOKUP(V$5,NFI,5,0),1,0)*Data_NFI_t[[#This Row],[Solar Lantern]],0)</f>
        <v>0</v>
      </c>
      <c r="AM360" s="131" t="str">
        <f ca="1">IFERROR(OFFSET(Camp_List[P_Code],MATCH(Data_NFI_t[[#This Row],[Camp Name]],Camp_List[Camp Name],0)-1,0,1,1),"")</f>
        <v>MMR012CMP051</v>
      </c>
      <c r="AN360" s="513" t="str">
        <f ca="1">IFERROR(OFFSET(Camp_List[Status],MATCH(Data_NFI_t[[#This Row],[Camp Name]],Camp_List[Camp Name],0)-1,0,1,1),"")</f>
        <v>Close</v>
      </c>
      <c r="AO360" s="131"/>
    </row>
    <row r="361" spans="1:41" s="90" customFormat="1" ht="19.5" customHeight="1" x14ac:dyDescent="0.25">
      <c r="A361" s="242">
        <f t="shared" si="7"/>
        <v>53.766666666666666</v>
      </c>
      <c r="B361" s="242">
        <f>YEAR(Data_NFI_t[[#This Row],[Distribution Date]])</f>
        <v>2012</v>
      </c>
      <c r="C361" s="913">
        <v>41243</v>
      </c>
      <c r="D361" s="489" t="s">
        <v>285</v>
      </c>
      <c r="E361" s="488"/>
      <c r="F361" s="489" t="s">
        <v>7</v>
      </c>
      <c r="G361" s="790" t="s">
        <v>866</v>
      </c>
      <c r="H361" s="790" t="s">
        <v>37</v>
      </c>
      <c r="I361" s="790"/>
      <c r="J361" s="51"/>
      <c r="K361" s="51"/>
      <c r="L361" s="51">
        <v>88</v>
      </c>
      <c r="M361" s="51">
        <v>44</v>
      </c>
      <c r="N361" s="51">
        <v>88</v>
      </c>
      <c r="O361" s="51">
        <v>44</v>
      </c>
      <c r="P361" s="51">
        <v>44</v>
      </c>
      <c r="Q361" s="51"/>
      <c r="R361" s="511"/>
      <c r="S361" s="51"/>
      <c r="T361" s="51"/>
      <c r="U361" s="51"/>
      <c r="V361" s="51"/>
      <c r="W361" s="51"/>
      <c r="X361" s="131">
        <f>IF(NFI_Expiration=1,IF($A361&lt;VLOOKUP(I$5,NFI,5,0),1,0)*Data_NFI_t[[#This Row],[Hygiene Kit]],0)</f>
        <v>0</v>
      </c>
      <c r="Y361" s="131">
        <f>IF(NFI_Expiration=1,IF($A361&lt;VLOOKUP(J$5,NFI,5,0),1,0)*Data_NFI_t[[#This Row],[NFI Core Kit]],0)</f>
        <v>0</v>
      </c>
      <c r="Z361" s="112">
        <f>IF(NFI_Expiration=1,IF($A361&lt;VLOOKUP(K$5,NFI,5,0),1,0)*Data_NFI_t[[#This Row],[Sanitary Kit]],0)</f>
        <v>0</v>
      </c>
      <c r="AA361" s="112">
        <f>IF(NFI_Expiration=1,IF($A361&lt;VLOOKUP(L$5,NFI,5,0),1,0)*Data_NFI_t[[#This Row],[Mosquito net]],0)</f>
        <v>0</v>
      </c>
      <c r="AB361" s="112">
        <f>IF(NFI_Expiration=1,IF($A361&lt;VLOOKUP(M$5,NFI,5,0),1,0)*Data_NFI_t[[#This Row],[Tarpaulin]],0)</f>
        <v>0</v>
      </c>
      <c r="AC361" s="112">
        <f>IF(NFI_Expiration=1,IF($A361&lt;VLOOKUP(N$5,NFI,5,0),1,0)*Data_NFI_t[[#This Row],[Blanket]],0)</f>
        <v>0</v>
      </c>
      <c r="AD361" s="112">
        <f>IF(NFI_Expiration=1,IF($A361&lt;VLOOKUP(O$5,NFI,5,0),1,0)*Data_NFI_t[[#This Row],[Kitchen Set]],0)</f>
        <v>0</v>
      </c>
      <c r="AE361" s="112">
        <f>IF(NFI_Expiration=1,IF($A361&lt;VLOOKUP(P$5,NFI,5,0),1,0)*Data_NFI_t[[#This Row],[Complementary Kit]],0)</f>
        <v>0</v>
      </c>
      <c r="AF361" s="112">
        <f>IF(NFI_Expiration=1,IF($A361&lt;VLOOKUP(Q$5,NFI,5,0),1,0)*Data_NFI_t[[#This Row],[Plastic Bucket]],0)</f>
        <v>0</v>
      </c>
      <c r="AG361" s="112">
        <f>IF(NFI_Expiration=1,IF($A361&lt;VLOOKUP(R$5,NFI,5,0),1,0)*Data_NFI_t[[#This Row],[Jerry Can]],0)</f>
        <v>0</v>
      </c>
      <c r="AH361" s="131">
        <f>IF(NFI_Expiration=1,IF($A361&lt;VLOOKUP(S$5,NFI,5,0),1,0)*Data_NFI_t[[#This Row],[Plastic Mat]],0)*IF(Data_NFI_t[[#This Row],[Distribution Date]]&gt;"01-06-2015",1,2.5)</f>
        <v>0</v>
      </c>
      <c r="AI361" s="901">
        <f>IF(NFI_Expiration=1,IF($A361&lt;VLOOKUP(T$5,NFI,5,0),1,0)*Data_NFI_t[[#This Row],[Adult Clothes]],0)</f>
        <v>0</v>
      </c>
      <c r="AJ361" s="131">
        <f>IF(NFI_Expiration=1,IF($A361&lt;VLOOKUP(U$5,NFI,5,0),1,0)*Data_NFI_t[[#This Row],[Children Clothes]],0)</f>
        <v>0</v>
      </c>
      <c r="AK361" s="131">
        <f>IF(NFI_Expiration=1,IF($A361&lt;VLOOKUP(V$5,NFI,5,0),1,0)*Data_NFI_t[[#This Row],[Sewing Kit]],0)</f>
        <v>0</v>
      </c>
      <c r="AL361" s="901">
        <f>IF(NFI_Expiration=1,IF($A361&lt;VLOOKUP(V$5,NFI,5,0),1,0)*Data_NFI_t[[#This Row],[Solar Lantern]],0)</f>
        <v>0</v>
      </c>
      <c r="AM361" s="131" t="str">
        <f ca="1">IFERROR(OFFSET(Camp_List[P_Code],MATCH(Data_NFI_t[[#This Row],[Camp Name]],Camp_List[Camp Name],0)-1,0,1,1),"")</f>
        <v>MMR012CMP013</v>
      </c>
      <c r="AN361" s="513" t="str">
        <f ca="1">IFERROR(OFFSET(Camp_List[Status],MATCH(Data_NFI_t[[#This Row],[Camp Name]],Camp_List[Camp Name],0)-1,0,1,1),"")</f>
        <v>Relocated</v>
      </c>
      <c r="AO361" s="131"/>
    </row>
    <row r="362" spans="1:41" s="90" customFormat="1" ht="19.5" customHeight="1" x14ac:dyDescent="0.25">
      <c r="A362" s="242">
        <f t="shared" si="7"/>
        <v>53.766666666666666</v>
      </c>
      <c r="B362" s="242">
        <f>YEAR(Data_NFI_t[[#This Row],[Distribution Date]])</f>
        <v>2012</v>
      </c>
      <c r="C362" s="913">
        <v>41243</v>
      </c>
      <c r="D362" s="489" t="s">
        <v>285</v>
      </c>
      <c r="E362" s="488"/>
      <c r="F362" s="489" t="s">
        <v>7</v>
      </c>
      <c r="G362" s="790" t="s">
        <v>19</v>
      </c>
      <c r="H362" s="790" t="s">
        <v>72</v>
      </c>
      <c r="I362" s="790"/>
      <c r="J362" s="51"/>
      <c r="K362" s="51"/>
      <c r="L362" s="51"/>
      <c r="M362" s="51">
        <v>822</v>
      </c>
      <c r="N362" s="51"/>
      <c r="O362" s="51"/>
      <c r="P362" s="51"/>
      <c r="Q362" s="51"/>
      <c r="R362" s="511"/>
      <c r="S362" s="51"/>
      <c r="T362" s="51"/>
      <c r="U362" s="51"/>
      <c r="V362" s="51"/>
      <c r="W362" s="51"/>
      <c r="X362" s="131">
        <f>IF(NFI_Expiration=1,IF($A362&lt;VLOOKUP(I$5,NFI,5,0),1,0)*Data_NFI_t[[#This Row],[Hygiene Kit]],0)</f>
        <v>0</v>
      </c>
      <c r="Y362" s="131">
        <f>IF(NFI_Expiration=1,IF($A362&lt;VLOOKUP(J$5,NFI,5,0),1,0)*Data_NFI_t[[#This Row],[NFI Core Kit]],0)</f>
        <v>0</v>
      </c>
      <c r="Z362" s="112">
        <f>IF(NFI_Expiration=1,IF($A362&lt;VLOOKUP(K$5,NFI,5,0),1,0)*Data_NFI_t[[#This Row],[Sanitary Kit]],0)</f>
        <v>0</v>
      </c>
      <c r="AA362" s="112">
        <f>IF(NFI_Expiration=1,IF($A362&lt;VLOOKUP(L$5,NFI,5,0),1,0)*Data_NFI_t[[#This Row],[Mosquito net]],0)</f>
        <v>0</v>
      </c>
      <c r="AB362" s="112">
        <f>IF(NFI_Expiration=1,IF($A362&lt;VLOOKUP(M$5,NFI,5,0),1,0)*Data_NFI_t[[#This Row],[Tarpaulin]],0)</f>
        <v>0</v>
      </c>
      <c r="AC362" s="112">
        <f>IF(NFI_Expiration=1,IF($A362&lt;VLOOKUP(N$5,NFI,5,0),1,0)*Data_NFI_t[[#This Row],[Blanket]],0)</f>
        <v>0</v>
      </c>
      <c r="AD362" s="112">
        <f>IF(NFI_Expiration=1,IF($A362&lt;VLOOKUP(O$5,NFI,5,0),1,0)*Data_NFI_t[[#This Row],[Kitchen Set]],0)</f>
        <v>0</v>
      </c>
      <c r="AE362" s="112">
        <f>IF(NFI_Expiration=1,IF($A362&lt;VLOOKUP(P$5,NFI,5,0),1,0)*Data_NFI_t[[#This Row],[Complementary Kit]],0)</f>
        <v>0</v>
      </c>
      <c r="AF362" s="112">
        <f>IF(NFI_Expiration=1,IF($A362&lt;VLOOKUP(Q$5,NFI,5,0),1,0)*Data_NFI_t[[#This Row],[Plastic Bucket]],0)</f>
        <v>0</v>
      </c>
      <c r="AG362" s="112">
        <f>IF(NFI_Expiration=1,IF($A362&lt;VLOOKUP(R$5,NFI,5,0),1,0)*Data_NFI_t[[#This Row],[Jerry Can]],0)</f>
        <v>0</v>
      </c>
      <c r="AH362" s="131">
        <f>IF(NFI_Expiration=1,IF($A362&lt;VLOOKUP(S$5,NFI,5,0),1,0)*Data_NFI_t[[#This Row],[Plastic Mat]],0)*IF(Data_NFI_t[[#This Row],[Distribution Date]]&gt;"01-06-2015",1,2.5)</f>
        <v>0</v>
      </c>
      <c r="AI362" s="901">
        <f>IF(NFI_Expiration=1,IF($A362&lt;VLOOKUP(T$5,NFI,5,0),1,0)*Data_NFI_t[[#This Row],[Adult Clothes]],0)</f>
        <v>0</v>
      </c>
      <c r="AJ362" s="131">
        <f>IF(NFI_Expiration=1,IF($A362&lt;VLOOKUP(U$5,NFI,5,0),1,0)*Data_NFI_t[[#This Row],[Children Clothes]],0)</f>
        <v>0</v>
      </c>
      <c r="AK362" s="131">
        <f>IF(NFI_Expiration=1,IF($A362&lt;VLOOKUP(V$5,NFI,5,0),1,0)*Data_NFI_t[[#This Row],[Sewing Kit]],0)</f>
        <v>0</v>
      </c>
      <c r="AL362" s="901">
        <f>IF(NFI_Expiration=1,IF($A362&lt;VLOOKUP(V$5,NFI,5,0),1,0)*Data_NFI_t[[#This Row],[Solar Lantern]],0)</f>
        <v>0</v>
      </c>
      <c r="AM362" s="131" t="str">
        <f ca="1">IFERROR(OFFSET(Camp_List[P_Code],MATCH(Data_NFI_t[[#This Row],[Camp Name]],Camp_List[Camp Name],0)-1,0,1,1),"")</f>
        <v>MMR012CMP050</v>
      </c>
      <c r="AN362" s="513" t="str">
        <f ca="1">IFERROR(OFFSET(Camp_List[Status],MATCH(Data_NFI_t[[#This Row],[Camp Name]],Camp_List[Camp Name],0)-1,0,1,1),"")</f>
        <v>Close</v>
      </c>
      <c r="AO362" s="131"/>
    </row>
    <row r="363" spans="1:41" s="90" customFormat="1" ht="19.5" customHeight="1" x14ac:dyDescent="0.25">
      <c r="A363" s="242">
        <f t="shared" si="7"/>
        <v>53.766666666666666</v>
      </c>
      <c r="B363" s="242">
        <f>YEAR(Data_NFI_t[[#This Row],[Distribution Date]])</f>
        <v>2012</v>
      </c>
      <c r="C363" s="913">
        <v>41243</v>
      </c>
      <c r="D363" s="489" t="s">
        <v>285</v>
      </c>
      <c r="E363" s="488"/>
      <c r="F363" s="489" t="s">
        <v>7</v>
      </c>
      <c r="G363" s="790" t="s">
        <v>866</v>
      </c>
      <c r="H363" s="790" t="s">
        <v>38</v>
      </c>
      <c r="I363" s="790"/>
      <c r="J363" s="51"/>
      <c r="K363" s="51"/>
      <c r="L363" s="51"/>
      <c r="M363" s="51"/>
      <c r="N363" s="51"/>
      <c r="O363" s="51"/>
      <c r="P363" s="51">
        <v>705</v>
      </c>
      <c r="Q363" s="51"/>
      <c r="R363" s="511"/>
      <c r="S363" s="51"/>
      <c r="T363" s="51"/>
      <c r="U363" s="51"/>
      <c r="V363" s="51"/>
      <c r="W363" s="51"/>
      <c r="X363" s="131">
        <f>IF(NFI_Expiration=1,IF($A363&lt;VLOOKUP(I$5,NFI,5,0),1,0)*Data_NFI_t[[#This Row],[Hygiene Kit]],0)</f>
        <v>0</v>
      </c>
      <c r="Y363" s="131">
        <f>IF(NFI_Expiration=1,IF($A363&lt;VLOOKUP(J$5,NFI,5,0),1,0)*Data_NFI_t[[#This Row],[NFI Core Kit]],0)</f>
        <v>0</v>
      </c>
      <c r="Z363" s="112">
        <f>IF(NFI_Expiration=1,IF($A363&lt;VLOOKUP(K$5,NFI,5,0),1,0)*Data_NFI_t[[#This Row],[Sanitary Kit]],0)</f>
        <v>0</v>
      </c>
      <c r="AA363" s="112">
        <f>IF(NFI_Expiration=1,IF($A363&lt;VLOOKUP(L$5,NFI,5,0),1,0)*Data_NFI_t[[#This Row],[Mosquito net]],0)</f>
        <v>0</v>
      </c>
      <c r="AB363" s="112">
        <f>IF(NFI_Expiration=1,IF($A363&lt;VLOOKUP(M$5,NFI,5,0),1,0)*Data_NFI_t[[#This Row],[Tarpaulin]],0)</f>
        <v>0</v>
      </c>
      <c r="AC363" s="112">
        <f>IF(NFI_Expiration=1,IF($A363&lt;VLOOKUP(N$5,NFI,5,0),1,0)*Data_NFI_t[[#This Row],[Blanket]],0)</f>
        <v>0</v>
      </c>
      <c r="AD363" s="112">
        <f>IF(NFI_Expiration=1,IF($A363&lt;VLOOKUP(O$5,NFI,5,0),1,0)*Data_NFI_t[[#This Row],[Kitchen Set]],0)</f>
        <v>0</v>
      </c>
      <c r="AE363" s="112">
        <f>IF(NFI_Expiration=1,IF($A363&lt;VLOOKUP(P$5,NFI,5,0),1,0)*Data_NFI_t[[#This Row],[Complementary Kit]],0)</f>
        <v>0</v>
      </c>
      <c r="AF363" s="112">
        <f>IF(NFI_Expiration=1,IF($A363&lt;VLOOKUP(Q$5,NFI,5,0),1,0)*Data_NFI_t[[#This Row],[Plastic Bucket]],0)</f>
        <v>0</v>
      </c>
      <c r="AG363" s="112">
        <f>IF(NFI_Expiration=1,IF($A363&lt;VLOOKUP(R$5,NFI,5,0),1,0)*Data_NFI_t[[#This Row],[Jerry Can]],0)</f>
        <v>0</v>
      </c>
      <c r="AH363" s="131">
        <f>IF(NFI_Expiration=1,IF($A363&lt;VLOOKUP(S$5,NFI,5,0),1,0)*Data_NFI_t[[#This Row],[Plastic Mat]],0)*IF(Data_NFI_t[[#This Row],[Distribution Date]]&gt;"01-06-2015",1,2.5)</f>
        <v>0</v>
      </c>
      <c r="AI363" s="901">
        <f>IF(NFI_Expiration=1,IF($A363&lt;VLOOKUP(T$5,NFI,5,0),1,0)*Data_NFI_t[[#This Row],[Adult Clothes]],0)</f>
        <v>0</v>
      </c>
      <c r="AJ363" s="131">
        <f>IF(NFI_Expiration=1,IF($A363&lt;VLOOKUP(U$5,NFI,5,0),1,0)*Data_NFI_t[[#This Row],[Children Clothes]],0)</f>
        <v>0</v>
      </c>
      <c r="AK363" s="131">
        <f>IF(NFI_Expiration=1,IF($A363&lt;VLOOKUP(V$5,NFI,5,0),1,0)*Data_NFI_t[[#This Row],[Sewing Kit]],0)</f>
        <v>0</v>
      </c>
      <c r="AL363" s="901">
        <f>IF(NFI_Expiration=1,IF($A363&lt;VLOOKUP(V$5,NFI,5,0),1,0)*Data_NFI_t[[#This Row],[Solar Lantern]],0)</f>
        <v>0</v>
      </c>
      <c r="AM363" s="131" t="str">
        <f ca="1">IFERROR(OFFSET(Camp_List[P_Code],MATCH(Data_NFI_t[[#This Row],[Camp Name]],Camp_List[Camp Name],0)-1,0,1,1),"")</f>
        <v>MMR012CMP014</v>
      </c>
      <c r="AN363" s="513" t="str">
        <f ca="1">IFERROR(OFFSET(Camp_List[Status],MATCH(Data_NFI_t[[#This Row],[Camp Name]],Camp_List[Camp Name],0)-1,0,1,1),"")</f>
        <v>Open</v>
      </c>
      <c r="AO363" s="131"/>
    </row>
    <row r="364" spans="1:41" s="90" customFormat="1" ht="19.5" customHeight="1" x14ac:dyDescent="0.25">
      <c r="A364" s="242">
        <f t="shared" si="7"/>
        <v>53.766666666666666</v>
      </c>
      <c r="B364" s="242">
        <f>YEAR(Data_NFI_t[[#This Row],[Distribution Date]])</f>
        <v>2012</v>
      </c>
      <c r="C364" s="913">
        <v>41243</v>
      </c>
      <c r="D364" s="489" t="s">
        <v>289</v>
      </c>
      <c r="E364" s="488" t="s">
        <v>285</v>
      </c>
      <c r="F364" s="489" t="s">
        <v>7</v>
      </c>
      <c r="G364" s="790" t="s">
        <v>19</v>
      </c>
      <c r="H364" s="790" t="s">
        <v>70</v>
      </c>
      <c r="I364" s="790"/>
      <c r="J364" s="51"/>
      <c r="K364" s="51"/>
      <c r="L364" s="51"/>
      <c r="M364" s="51"/>
      <c r="N364" s="51">
        <v>100</v>
      </c>
      <c r="O364" s="51"/>
      <c r="P364" s="51"/>
      <c r="Q364" s="51"/>
      <c r="R364" s="511"/>
      <c r="S364" s="51"/>
      <c r="T364" s="51"/>
      <c r="U364" s="51"/>
      <c r="V364" s="51"/>
      <c r="W364" s="51"/>
      <c r="X364" s="131">
        <f>IF(NFI_Expiration=1,IF($A364&lt;VLOOKUP(I$5,NFI,5,0),1,0)*Data_NFI_t[[#This Row],[Hygiene Kit]],0)</f>
        <v>0</v>
      </c>
      <c r="Y364" s="131">
        <f>IF(NFI_Expiration=1,IF($A364&lt;VLOOKUP(J$5,NFI,5,0),1,0)*Data_NFI_t[[#This Row],[NFI Core Kit]],0)</f>
        <v>0</v>
      </c>
      <c r="Z364" s="112">
        <f>IF(NFI_Expiration=1,IF($A364&lt;VLOOKUP(K$5,NFI,5,0),1,0)*Data_NFI_t[[#This Row],[Sanitary Kit]],0)</f>
        <v>0</v>
      </c>
      <c r="AA364" s="112">
        <f>IF(NFI_Expiration=1,IF($A364&lt;VLOOKUP(L$5,NFI,5,0),1,0)*Data_NFI_t[[#This Row],[Mosquito net]],0)</f>
        <v>0</v>
      </c>
      <c r="AB364" s="112">
        <f>IF(NFI_Expiration=1,IF($A364&lt;VLOOKUP(M$5,NFI,5,0),1,0)*Data_NFI_t[[#This Row],[Tarpaulin]],0)</f>
        <v>0</v>
      </c>
      <c r="AC364" s="112">
        <f>IF(NFI_Expiration=1,IF($A364&lt;VLOOKUP(N$5,NFI,5,0),1,0)*Data_NFI_t[[#This Row],[Blanket]],0)</f>
        <v>0</v>
      </c>
      <c r="AD364" s="112">
        <f>IF(NFI_Expiration=1,IF($A364&lt;VLOOKUP(O$5,NFI,5,0),1,0)*Data_NFI_t[[#This Row],[Kitchen Set]],0)</f>
        <v>0</v>
      </c>
      <c r="AE364" s="112">
        <f>IF(NFI_Expiration=1,IF($A364&lt;VLOOKUP(P$5,NFI,5,0),1,0)*Data_NFI_t[[#This Row],[Complementary Kit]],0)</f>
        <v>0</v>
      </c>
      <c r="AF364" s="112">
        <f>IF(NFI_Expiration=1,IF($A364&lt;VLOOKUP(Q$5,NFI,5,0),1,0)*Data_NFI_t[[#This Row],[Plastic Bucket]],0)</f>
        <v>0</v>
      </c>
      <c r="AG364" s="112">
        <f>IF(NFI_Expiration=1,IF($A364&lt;VLOOKUP(R$5,NFI,5,0),1,0)*Data_NFI_t[[#This Row],[Jerry Can]],0)</f>
        <v>0</v>
      </c>
      <c r="AH364" s="131">
        <f>IF(NFI_Expiration=1,IF($A364&lt;VLOOKUP(S$5,NFI,5,0),1,0)*Data_NFI_t[[#This Row],[Plastic Mat]],0)*IF(Data_NFI_t[[#This Row],[Distribution Date]]&gt;"01-06-2015",1,2.5)</f>
        <v>0</v>
      </c>
      <c r="AI364" s="901">
        <f>IF(NFI_Expiration=1,IF($A364&lt;VLOOKUP(T$5,NFI,5,0),1,0)*Data_NFI_t[[#This Row],[Adult Clothes]],0)</f>
        <v>0</v>
      </c>
      <c r="AJ364" s="131">
        <f>IF(NFI_Expiration=1,IF($A364&lt;VLOOKUP(U$5,NFI,5,0),1,0)*Data_NFI_t[[#This Row],[Children Clothes]],0)</f>
        <v>0</v>
      </c>
      <c r="AK364" s="131">
        <f>IF(NFI_Expiration=1,IF($A364&lt;VLOOKUP(V$5,NFI,5,0),1,0)*Data_NFI_t[[#This Row],[Sewing Kit]],0)</f>
        <v>0</v>
      </c>
      <c r="AL364" s="901">
        <f>IF(NFI_Expiration=1,IF($A364&lt;VLOOKUP(V$5,NFI,5,0),1,0)*Data_NFI_t[[#This Row],[Solar Lantern]],0)</f>
        <v>0</v>
      </c>
      <c r="AM364" s="131" t="str">
        <f ca="1">IFERROR(OFFSET(Camp_List[P_Code],MATCH(Data_NFI_t[[#This Row],[Camp Name]],Camp_List[Camp Name],0)-1,0,1,1),"")</f>
        <v>MMR012CMP048</v>
      </c>
      <c r="AN364" s="513" t="str">
        <f ca="1">IFERROR(OFFSET(Camp_List[Status],MATCH(Data_NFI_t[[#This Row],[Camp Name]],Camp_List[Camp Name],0)-1,0,1,1),"")</f>
        <v>Open</v>
      </c>
      <c r="AO364" s="131"/>
    </row>
    <row r="365" spans="1:41" s="90" customFormat="1" ht="19.5" customHeight="1" x14ac:dyDescent="0.25">
      <c r="A365" s="242">
        <f t="shared" si="7"/>
        <v>54.06666666666667</v>
      </c>
      <c r="B365" s="242">
        <f>YEAR(Data_NFI_t[[#This Row],[Distribution Date]])</f>
        <v>2012</v>
      </c>
      <c r="C365" s="913">
        <v>41234</v>
      </c>
      <c r="D365" s="489" t="s">
        <v>285</v>
      </c>
      <c r="E365" s="488"/>
      <c r="F365" s="489" t="s">
        <v>7</v>
      </c>
      <c r="G365" s="790" t="s">
        <v>11</v>
      </c>
      <c r="H365" s="790" t="s">
        <v>28</v>
      </c>
      <c r="I365" s="790"/>
      <c r="J365" s="51"/>
      <c r="K365" s="51"/>
      <c r="L365" s="51"/>
      <c r="M365" s="51">
        <v>129</v>
      </c>
      <c r="N365" s="51"/>
      <c r="O365" s="51"/>
      <c r="P365" s="51"/>
      <c r="Q365" s="51"/>
      <c r="R365" s="511"/>
      <c r="S365" s="51"/>
      <c r="T365" s="51"/>
      <c r="U365" s="51"/>
      <c r="V365" s="51"/>
      <c r="W365" s="51"/>
      <c r="X365" s="131">
        <f>IF(NFI_Expiration=1,IF($A365&lt;VLOOKUP(I$5,NFI,5,0),1,0)*Data_NFI_t[[#This Row],[Hygiene Kit]],0)</f>
        <v>0</v>
      </c>
      <c r="Y365" s="131">
        <f>IF(NFI_Expiration=1,IF($A365&lt;VLOOKUP(J$5,NFI,5,0),1,0)*Data_NFI_t[[#This Row],[NFI Core Kit]],0)</f>
        <v>0</v>
      </c>
      <c r="Z365" s="112">
        <f>IF(NFI_Expiration=1,IF($A365&lt;VLOOKUP(K$5,NFI,5,0),1,0)*Data_NFI_t[[#This Row],[Sanitary Kit]],0)</f>
        <v>0</v>
      </c>
      <c r="AA365" s="112">
        <f>IF(NFI_Expiration=1,IF($A365&lt;VLOOKUP(L$5,NFI,5,0),1,0)*Data_NFI_t[[#This Row],[Mosquito net]],0)</f>
        <v>0</v>
      </c>
      <c r="AB365" s="112">
        <f>IF(NFI_Expiration=1,IF($A365&lt;VLOOKUP(M$5,NFI,5,0),1,0)*Data_NFI_t[[#This Row],[Tarpaulin]],0)</f>
        <v>0</v>
      </c>
      <c r="AC365" s="112">
        <f>IF(NFI_Expiration=1,IF($A365&lt;VLOOKUP(N$5,NFI,5,0),1,0)*Data_NFI_t[[#This Row],[Blanket]],0)</f>
        <v>0</v>
      </c>
      <c r="AD365" s="112">
        <f>IF(NFI_Expiration=1,IF($A365&lt;VLOOKUP(O$5,NFI,5,0),1,0)*Data_NFI_t[[#This Row],[Kitchen Set]],0)</f>
        <v>0</v>
      </c>
      <c r="AE365" s="112">
        <f>IF(NFI_Expiration=1,IF($A365&lt;VLOOKUP(P$5,NFI,5,0),1,0)*Data_NFI_t[[#This Row],[Complementary Kit]],0)</f>
        <v>0</v>
      </c>
      <c r="AF365" s="112">
        <f>IF(NFI_Expiration=1,IF($A365&lt;VLOOKUP(Q$5,NFI,5,0),1,0)*Data_NFI_t[[#This Row],[Plastic Bucket]],0)</f>
        <v>0</v>
      </c>
      <c r="AG365" s="112">
        <f>IF(NFI_Expiration=1,IF($A365&lt;VLOOKUP(R$5,NFI,5,0),1,0)*Data_NFI_t[[#This Row],[Jerry Can]],0)</f>
        <v>0</v>
      </c>
      <c r="AH365" s="131">
        <f>IF(NFI_Expiration=1,IF($A365&lt;VLOOKUP(S$5,NFI,5,0),1,0)*Data_NFI_t[[#This Row],[Plastic Mat]],0)*IF(Data_NFI_t[[#This Row],[Distribution Date]]&gt;"01-06-2015",1,2.5)</f>
        <v>0</v>
      </c>
      <c r="AI365" s="901">
        <f>IF(NFI_Expiration=1,IF($A365&lt;VLOOKUP(T$5,NFI,5,0),1,0)*Data_NFI_t[[#This Row],[Adult Clothes]],0)</f>
        <v>0</v>
      </c>
      <c r="AJ365" s="131">
        <f>IF(NFI_Expiration=1,IF($A365&lt;VLOOKUP(U$5,NFI,5,0),1,0)*Data_NFI_t[[#This Row],[Children Clothes]],0)</f>
        <v>0</v>
      </c>
      <c r="AK365" s="131">
        <f>IF(NFI_Expiration=1,IF($A365&lt;VLOOKUP(V$5,NFI,5,0),1,0)*Data_NFI_t[[#This Row],[Sewing Kit]],0)</f>
        <v>0</v>
      </c>
      <c r="AL365" s="901">
        <f>IF(NFI_Expiration=1,IF($A365&lt;VLOOKUP(V$5,NFI,5,0),1,0)*Data_NFI_t[[#This Row],[Solar Lantern]],0)</f>
        <v>0</v>
      </c>
      <c r="AM365" s="131" t="str">
        <f ca="1">IFERROR(OFFSET(Camp_List[P_Code],MATCH(Data_NFI_t[[#This Row],[Camp Name]],Camp_List[Camp Name],0)-1,0,1,1),"")</f>
        <v>MMR012CMP004</v>
      </c>
      <c r="AN365" s="513" t="str">
        <f ca="1">IFERROR(OFFSET(Camp_List[Status],MATCH(Data_NFI_t[[#This Row],[Camp Name]],Camp_List[Camp Name],0)-1,0,1,1),"")</f>
        <v>Close</v>
      </c>
      <c r="AO365" s="131"/>
    </row>
    <row r="366" spans="1:41" s="90" customFormat="1" ht="19.5" customHeight="1" x14ac:dyDescent="0.25">
      <c r="A366" s="242">
        <f t="shared" si="7"/>
        <v>54.06666666666667</v>
      </c>
      <c r="B366" s="242">
        <f>YEAR(Data_NFI_t[[#This Row],[Distribution Date]])</f>
        <v>2012</v>
      </c>
      <c r="C366" s="913">
        <v>41234</v>
      </c>
      <c r="D366" s="489" t="s">
        <v>285</v>
      </c>
      <c r="E366" s="488"/>
      <c r="F366" s="489" t="s">
        <v>7</v>
      </c>
      <c r="G366" s="790" t="s">
        <v>1002</v>
      </c>
      <c r="H366" s="790" t="s">
        <v>33</v>
      </c>
      <c r="I366" s="790"/>
      <c r="J366" s="51"/>
      <c r="K366" s="51"/>
      <c r="L366" s="51"/>
      <c r="M366" s="51">
        <v>140</v>
      </c>
      <c r="N366" s="51"/>
      <c r="O366" s="51"/>
      <c r="P366" s="51"/>
      <c r="Q366" s="51"/>
      <c r="R366" s="511"/>
      <c r="S366" s="51"/>
      <c r="T366" s="51"/>
      <c r="U366" s="51"/>
      <c r="V366" s="51"/>
      <c r="W366" s="51"/>
      <c r="X366" s="131">
        <f>IF(NFI_Expiration=1,IF($A366&lt;VLOOKUP(I$5,NFI,5,0),1,0)*Data_NFI_t[[#This Row],[Hygiene Kit]],0)</f>
        <v>0</v>
      </c>
      <c r="Y366" s="131">
        <f>IF(NFI_Expiration=1,IF($A366&lt;VLOOKUP(J$5,NFI,5,0),1,0)*Data_NFI_t[[#This Row],[NFI Core Kit]],0)</f>
        <v>0</v>
      </c>
      <c r="Z366" s="112">
        <f>IF(NFI_Expiration=1,IF($A366&lt;VLOOKUP(K$5,NFI,5,0),1,0)*Data_NFI_t[[#This Row],[Sanitary Kit]],0)</f>
        <v>0</v>
      </c>
      <c r="AA366" s="112">
        <f>IF(NFI_Expiration=1,IF($A366&lt;VLOOKUP(L$5,NFI,5,0),1,0)*Data_NFI_t[[#This Row],[Mosquito net]],0)</f>
        <v>0</v>
      </c>
      <c r="AB366" s="112">
        <f>IF(NFI_Expiration=1,IF($A366&lt;VLOOKUP(M$5,NFI,5,0),1,0)*Data_NFI_t[[#This Row],[Tarpaulin]],0)</f>
        <v>0</v>
      </c>
      <c r="AC366" s="112">
        <f>IF(NFI_Expiration=1,IF($A366&lt;VLOOKUP(N$5,NFI,5,0),1,0)*Data_NFI_t[[#This Row],[Blanket]],0)</f>
        <v>0</v>
      </c>
      <c r="AD366" s="112">
        <f>IF(NFI_Expiration=1,IF($A366&lt;VLOOKUP(O$5,NFI,5,0),1,0)*Data_NFI_t[[#This Row],[Kitchen Set]],0)</f>
        <v>0</v>
      </c>
      <c r="AE366" s="112">
        <f>IF(NFI_Expiration=1,IF($A366&lt;VLOOKUP(P$5,NFI,5,0),1,0)*Data_NFI_t[[#This Row],[Complementary Kit]],0)</f>
        <v>0</v>
      </c>
      <c r="AF366" s="112">
        <f>IF(NFI_Expiration=1,IF($A366&lt;VLOOKUP(Q$5,NFI,5,0),1,0)*Data_NFI_t[[#This Row],[Plastic Bucket]],0)</f>
        <v>0</v>
      </c>
      <c r="AG366" s="112">
        <f>IF(NFI_Expiration=1,IF($A366&lt;VLOOKUP(R$5,NFI,5,0),1,0)*Data_NFI_t[[#This Row],[Jerry Can]],0)</f>
        <v>0</v>
      </c>
      <c r="AH366" s="131">
        <f>IF(NFI_Expiration=1,IF($A366&lt;VLOOKUP(S$5,NFI,5,0),1,0)*Data_NFI_t[[#This Row],[Plastic Mat]],0)*IF(Data_NFI_t[[#This Row],[Distribution Date]]&gt;"01-06-2015",1,2.5)</f>
        <v>0</v>
      </c>
      <c r="AI366" s="901">
        <f>IF(NFI_Expiration=1,IF($A366&lt;VLOOKUP(T$5,NFI,5,0),1,0)*Data_NFI_t[[#This Row],[Adult Clothes]],0)</f>
        <v>0</v>
      </c>
      <c r="AJ366" s="131">
        <f>IF(NFI_Expiration=1,IF($A366&lt;VLOOKUP(U$5,NFI,5,0),1,0)*Data_NFI_t[[#This Row],[Children Clothes]],0)</f>
        <v>0</v>
      </c>
      <c r="AK366" s="131">
        <f>IF(NFI_Expiration=1,IF($A366&lt;VLOOKUP(V$5,NFI,5,0),1,0)*Data_NFI_t[[#This Row],[Sewing Kit]],0)</f>
        <v>0</v>
      </c>
      <c r="AL366" s="901">
        <f>IF(NFI_Expiration=1,IF($A366&lt;VLOOKUP(V$5,NFI,5,0),1,0)*Data_NFI_t[[#This Row],[Solar Lantern]],0)</f>
        <v>0</v>
      </c>
      <c r="AM366" s="131" t="str">
        <f ca="1">IFERROR(OFFSET(Camp_List[P_Code],MATCH(Data_NFI_t[[#This Row],[Camp Name]],Camp_List[Camp Name],0)-1,0,1,1),"")</f>
        <v>MMR012CMP009</v>
      </c>
      <c r="AN366" s="513" t="str">
        <f ca="1">IFERROR(OFFSET(Camp_List[Status],MATCH(Data_NFI_t[[#This Row],[Camp Name]],Camp_List[Camp Name],0)-1,0,1,1),"")</f>
        <v>Returned</v>
      </c>
      <c r="AO366" s="131"/>
    </row>
    <row r="367" spans="1:41" s="90" customFormat="1" ht="19.5" customHeight="1" x14ac:dyDescent="0.25">
      <c r="A367" s="242">
        <f t="shared" si="7"/>
        <v>54.06666666666667</v>
      </c>
      <c r="B367" s="242">
        <f>YEAR(Data_NFI_t[[#This Row],[Distribution Date]])</f>
        <v>2012</v>
      </c>
      <c r="C367" s="913">
        <v>41234</v>
      </c>
      <c r="D367" s="489" t="s">
        <v>285</v>
      </c>
      <c r="E367" s="488"/>
      <c r="F367" s="489" t="s">
        <v>7</v>
      </c>
      <c r="G367" s="790" t="s">
        <v>11</v>
      </c>
      <c r="H367" s="790" t="s">
        <v>32</v>
      </c>
      <c r="I367" s="790"/>
      <c r="J367" s="51"/>
      <c r="K367" s="51"/>
      <c r="L367" s="51">
        <v>27</v>
      </c>
      <c r="M367" s="51">
        <v>2</v>
      </c>
      <c r="N367" s="51"/>
      <c r="O367" s="51"/>
      <c r="P367" s="51"/>
      <c r="Q367" s="51"/>
      <c r="R367" s="511"/>
      <c r="S367" s="51"/>
      <c r="T367" s="51"/>
      <c r="U367" s="51"/>
      <c r="V367" s="51"/>
      <c r="W367" s="51"/>
      <c r="X367" s="131">
        <f>IF(NFI_Expiration=1,IF($A367&lt;VLOOKUP(I$5,NFI,5,0),1,0)*Data_NFI_t[[#This Row],[Hygiene Kit]],0)</f>
        <v>0</v>
      </c>
      <c r="Y367" s="131">
        <f>IF(NFI_Expiration=1,IF($A367&lt;VLOOKUP(J$5,NFI,5,0),1,0)*Data_NFI_t[[#This Row],[NFI Core Kit]],0)</f>
        <v>0</v>
      </c>
      <c r="Z367" s="112">
        <f>IF(NFI_Expiration=1,IF($A367&lt;VLOOKUP(K$5,NFI,5,0),1,0)*Data_NFI_t[[#This Row],[Sanitary Kit]],0)</f>
        <v>0</v>
      </c>
      <c r="AA367" s="112">
        <f>IF(NFI_Expiration=1,IF($A367&lt;VLOOKUP(L$5,NFI,5,0),1,0)*Data_NFI_t[[#This Row],[Mosquito net]],0)</f>
        <v>0</v>
      </c>
      <c r="AB367" s="112">
        <f>IF(NFI_Expiration=1,IF($A367&lt;VLOOKUP(M$5,NFI,5,0),1,0)*Data_NFI_t[[#This Row],[Tarpaulin]],0)</f>
        <v>0</v>
      </c>
      <c r="AC367" s="112">
        <f>IF(NFI_Expiration=1,IF($A367&lt;VLOOKUP(N$5,NFI,5,0),1,0)*Data_NFI_t[[#This Row],[Blanket]],0)</f>
        <v>0</v>
      </c>
      <c r="AD367" s="112">
        <f>IF(NFI_Expiration=1,IF($A367&lt;VLOOKUP(O$5,NFI,5,0),1,0)*Data_NFI_t[[#This Row],[Kitchen Set]],0)</f>
        <v>0</v>
      </c>
      <c r="AE367" s="112">
        <f>IF(NFI_Expiration=1,IF($A367&lt;VLOOKUP(P$5,NFI,5,0),1,0)*Data_NFI_t[[#This Row],[Complementary Kit]],0)</f>
        <v>0</v>
      </c>
      <c r="AF367" s="112">
        <f>IF(NFI_Expiration=1,IF($A367&lt;VLOOKUP(Q$5,NFI,5,0),1,0)*Data_NFI_t[[#This Row],[Plastic Bucket]],0)</f>
        <v>0</v>
      </c>
      <c r="AG367" s="112">
        <f>IF(NFI_Expiration=1,IF($A367&lt;VLOOKUP(R$5,NFI,5,0),1,0)*Data_NFI_t[[#This Row],[Jerry Can]],0)</f>
        <v>0</v>
      </c>
      <c r="AH367" s="131">
        <f>IF(NFI_Expiration=1,IF($A367&lt;VLOOKUP(S$5,NFI,5,0),1,0)*Data_NFI_t[[#This Row],[Plastic Mat]],0)*IF(Data_NFI_t[[#This Row],[Distribution Date]]&gt;"01-06-2015",1,2.5)</f>
        <v>0</v>
      </c>
      <c r="AI367" s="901">
        <f>IF(NFI_Expiration=1,IF($A367&lt;VLOOKUP(T$5,NFI,5,0),1,0)*Data_NFI_t[[#This Row],[Adult Clothes]],0)</f>
        <v>0</v>
      </c>
      <c r="AJ367" s="131">
        <f>IF(NFI_Expiration=1,IF($A367&lt;VLOOKUP(U$5,NFI,5,0),1,0)*Data_NFI_t[[#This Row],[Children Clothes]],0)</f>
        <v>0</v>
      </c>
      <c r="AK367" s="131">
        <f>IF(NFI_Expiration=1,IF($A367&lt;VLOOKUP(V$5,NFI,5,0),1,0)*Data_NFI_t[[#This Row],[Sewing Kit]],0)</f>
        <v>0</v>
      </c>
      <c r="AL367" s="901">
        <f>IF(NFI_Expiration=1,IF($A367&lt;VLOOKUP(V$5,NFI,5,0),1,0)*Data_NFI_t[[#This Row],[Solar Lantern]],0)</f>
        <v>0</v>
      </c>
      <c r="AM367" s="131" t="str">
        <f ca="1">IFERROR(OFFSET(Camp_List[P_Code],MATCH(Data_NFI_t[[#This Row],[Camp Name]],Camp_List[Camp Name],0)-1,0,1,1),"")</f>
        <v>MMR012CMP008</v>
      </c>
      <c r="AN367" s="513" t="str">
        <f ca="1">IFERROR(OFFSET(Camp_List[Status],MATCH(Data_NFI_t[[#This Row],[Camp Name]],Camp_List[Camp Name],0)-1,0,1,1),"")</f>
        <v>Returned</v>
      </c>
      <c r="AO367" s="131"/>
    </row>
    <row r="368" spans="1:41" s="90" customFormat="1" ht="19.5" customHeight="1" x14ac:dyDescent="0.25">
      <c r="A368" s="242">
        <f t="shared" si="7"/>
        <v>54.06666666666667</v>
      </c>
      <c r="B368" s="242">
        <f>YEAR(Data_NFI_t[[#This Row],[Distribution Date]])</f>
        <v>2012</v>
      </c>
      <c r="C368" s="913">
        <v>41234</v>
      </c>
      <c r="D368" s="489" t="s">
        <v>285</v>
      </c>
      <c r="E368" s="488"/>
      <c r="F368" s="489" t="s">
        <v>7</v>
      </c>
      <c r="G368" s="790" t="s">
        <v>11</v>
      </c>
      <c r="H368" s="790" t="s">
        <v>27</v>
      </c>
      <c r="I368" s="790"/>
      <c r="J368" s="51"/>
      <c r="K368" s="51"/>
      <c r="L368" s="51">
        <v>172</v>
      </c>
      <c r="M368" s="51">
        <v>10</v>
      </c>
      <c r="N368" s="51">
        <v>172</v>
      </c>
      <c r="O368" s="51"/>
      <c r="P368" s="51"/>
      <c r="Q368" s="51"/>
      <c r="R368" s="511"/>
      <c r="S368" s="51"/>
      <c r="T368" s="51"/>
      <c r="U368" s="51"/>
      <c r="V368" s="51"/>
      <c r="W368" s="51"/>
      <c r="X368" s="131">
        <f>IF(NFI_Expiration=1,IF($A368&lt;VLOOKUP(I$5,NFI,5,0),1,0)*Data_NFI_t[[#This Row],[Hygiene Kit]],0)</f>
        <v>0</v>
      </c>
      <c r="Y368" s="131">
        <f>IF(NFI_Expiration=1,IF($A368&lt;VLOOKUP(J$5,NFI,5,0),1,0)*Data_NFI_t[[#This Row],[NFI Core Kit]],0)</f>
        <v>0</v>
      </c>
      <c r="Z368" s="112">
        <f>IF(NFI_Expiration=1,IF($A368&lt;VLOOKUP(K$5,NFI,5,0),1,0)*Data_NFI_t[[#This Row],[Sanitary Kit]],0)</f>
        <v>0</v>
      </c>
      <c r="AA368" s="112">
        <f>IF(NFI_Expiration=1,IF($A368&lt;VLOOKUP(L$5,NFI,5,0),1,0)*Data_NFI_t[[#This Row],[Mosquito net]],0)</f>
        <v>0</v>
      </c>
      <c r="AB368" s="112">
        <f>IF(NFI_Expiration=1,IF($A368&lt;VLOOKUP(M$5,NFI,5,0),1,0)*Data_NFI_t[[#This Row],[Tarpaulin]],0)</f>
        <v>0</v>
      </c>
      <c r="AC368" s="112">
        <f>IF(NFI_Expiration=1,IF($A368&lt;VLOOKUP(N$5,NFI,5,0),1,0)*Data_NFI_t[[#This Row],[Blanket]],0)</f>
        <v>0</v>
      </c>
      <c r="AD368" s="112">
        <f>IF(NFI_Expiration=1,IF($A368&lt;VLOOKUP(O$5,NFI,5,0),1,0)*Data_NFI_t[[#This Row],[Kitchen Set]],0)</f>
        <v>0</v>
      </c>
      <c r="AE368" s="112">
        <f>IF(NFI_Expiration=1,IF($A368&lt;VLOOKUP(P$5,NFI,5,0),1,0)*Data_NFI_t[[#This Row],[Complementary Kit]],0)</f>
        <v>0</v>
      </c>
      <c r="AF368" s="112">
        <f>IF(NFI_Expiration=1,IF($A368&lt;VLOOKUP(Q$5,NFI,5,0),1,0)*Data_NFI_t[[#This Row],[Plastic Bucket]],0)</f>
        <v>0</v>
      </c>
      <c r="AG368" s="112">
        <f>IF(NFI_Expiration=1,IF($A368&lt;VLOOKUP(R$5,NFI,5,0),1,0)*Data_NFI_t[[#This Row],[Jerry Can]],0)</f>
        <v>0</v>
      </c>
      <c r="AH368" s="131">
        <f>IF(NFI_Expiration=1,IF($A368&lt;VLOOKUP(S$5,NFI,5,0),1,0)*Data_NFI_t[[#This Row],[Plastic Mat]],0)*IF(Data_NFI_t[[#This Row],[Distribution Date]]&gt;"01-06-2015",1,2.5)</f>
        <v>0</v>
      </c>
      <c r="AI368" s="901">
        <f>IF(NFI_Expiration=1,IF($A368&lt;VLOOKUP(T$5,NFI,5,0),1,0)*Data_NFI_t[[#This Row],[Adult Clothes]],0)</f>
        <v>0</v>
      </c>
      <c r="AJ368" s="131">
        <f>IF(NFI_Expiration=1,IF($A368&lt;VLOOKUP(U$5,NFI,5,0),1,0)*Data_NFI_t[[#This Row],[Children Clothes]],0)</f>
        <v>0</v>
      </c>
      <c r="AK368" s="131">
        <f>IF(NFI_Expiration=1,IF($A368&lt;VLOOKUP(V$5,NFI,5,0),1,0)*Data_NFI_t[[#This Row],[Sewing Kit]],0)</f>
        <v>0</v>
      </c>
      <c r="AL368" s="901">
        <f>IF(NFI_Expiration=1,IF($A368&lt;VLOOKUP(V$5,NFI,5,0),1,0)*Data_NFI_t[[#This Row],[Solar Lantern]],0)</f>
        <v>0</v>
      </c>
      <c r="AM368" s="131" t="str">
        <f ca="1">IFERROR(OFFSET(Camp_List[P_Code],MATCH(Data_NFI_t[[#This Row],[Camp Name]],Camp_List[Camp Name],0)-1,0,1,1),"")</f>
        <v>MMR012CMP003</v>
      </c>
      <c r="AN368" s="513" t="str">
        <f ca="1">IFERROR(OFFSET(Camp_List[Status],MATCH(Data_NFI_t[[#This Row],[Camp Name]],Camp_List[Camp Name],0)-1,0,1,1),"")</f>
        <v>Returned</v>
      </c>
      <c r="AO368" s="131"/>
    </row>
    <row r="369" spans="1:41" s="90" customFormat="1" ht="19.5" customHeight="1" x14ac:dyDescent="0.25">
      <c r="A369" s="242">
        <f t="shared" si="7"/>
        <v>54.06666666666667</v>
      </c>
      <c r="B369" s="242">
        <f>YEAR(Data_NFI_t[[#This Row],[Distribution Date]])</f>
        <v>2012</v>
      </c>
      <c r="C369" s="913">
        <v>41234</v>
      </c>
      <c r="D369" s="489" t="s">
        <v>285</v>
      </c>
      <c r="E369" s="488"/>
      <c r="F369" s="489" t="s">
        <v>7</v>
      </c>
      <c r="G369" s="790" t="s">
        <v>11</v>
      </c>
      <c r="H369" s="790" t="s">
        <v>26</v>
      </c>
      <c r="I369" s="790"/>
      <c r="J369" s="51"/>
      <c r="K369" s="51"/>
      <c r="L369" s="51"/>
      <c r="M369" s="51">
        <v>145</v>
      </c>
      <c r="N369" s="51"/>
      <c r="O369" s="51"/>
      <c r="P369" s="51"/>
      <c r="Q369" s="51"/>
      <c r="R369" s="511"/>
      <c r="S369" s="51"/>
      <c r="T369" s="51"/>
      <c r="U369" s="51"/>
      <c r="V369" s="51"/>
      <c r="W369" s="51"/>
      <c r="X369" s="131">
        <f>IF(NFI_Expiration=1,IF($A369&lt;VLOOKUP(I$5,NFI,5,0),1,0)*Data_NFI_t[[#This Row],[Hygiene Kit]],0)</f>
        <v>0</v>
      </c>
      <c r="Y369" s="131">
        <f>IF(NFI_Expiration=1,IF($A369&lt;VLOOKUP(J$5,NFI,5,0),1,0)*Data_NFI_t[[#This Row],[NFI Core Kit]],0)</f>
        <v>0</v>
      </c>
      <c r="Z369" s="112">
        <f>IF(NFI_Expiration=1,IF($A369&lt;VLOOKUP(K$5,NFI,5,0),1,0)*Data_NFI_t[[#This Row],[Sanitary Kit]],0)</f>
        <v>0</v>
      </c>
      <c r="AA369" s="112">
        <f>IF(NFI_Expiration=1,IF($A369&lt;VLOOKUP(L$5,NFI,5,0),1,0)*Data_NFI_t[[#This Row],[Mosquito net]],0)</f>
        <v>0</v>
      </c>
      <c r="AB369" s="112">
        <f>IF(NFI_Expiration=1,IF($A369&lt;VLOOKUP(M$5,NFI,5,0),1,0)*Data_NFI_t[[#This Row],[Tarpaulin]],0)</f>
        <v>0</v>
      </c>
      <c r="AC369" s="112">
        <f>IF(NFI_Expiration=1,IF($A369&lt;VLOOKUP(N$5,NFI,5,0),1,0)*Data_NFI_t[[#This Row],[Blanket]],0)</f>
        <v>0</v>
      </c>
      <c r="AD369" s="112">
        <f>IF(NFI_Expiration=1,IF($A369&lt;VLOOKUP(O$5,NFI,5,0),1,0)*Data_NFI_t[[#This Row],[Kitchen Set]],0)</f>
        <v>0</v>
      </c>
      <c r="AE369" s="112">
        <f>IF(NFI_Expiration=1,IF($A369&lt;VLOOKUP(P$5,NFI,5,0),1,0)*Data_NFI_t[[#This Row],[Complementary Kit]],0)</f>
        <v>0</v>
      </c>
      <c r="AF369" s="112">
        <f>IF(NFI_Expiration=1,IF($A369&lt;VLOOKUP(Q$5,NFI,5,0),1,0)*Data_NFI_t[[#This Row],[Plastic Bucket]],0)</f>
        <v>0</v>
      </c>
      <c r="AG369" s="112">
        <f>IF(NFI_Expiration=1,IF($A369&lt;VLOOKUP(R$5,NFI,5,0),1,0)*Data_NFI_t[[#This Row],[Jerry Can]],0)</f>
        <v>0</v>
      </c>
      <c r="AH369" s="131">
        <f>IF(NFI_Expiration=1,IF($A369&lt;VLOOKUP(S$5,NFI,5,0),1,0)*Data_NFI_t[[#This Row],[Plastic Mat]],0)*IF(Data_NFI_t[[#This Row],[Distribution Date]]&gt;"01-06-2015",1,2.5)</f>
        <v>0</v>
      </c>
      <c r="AI369" s="901">
        <f>IF(NFI_Expiration=1,IF($A369&lt;VLOOKUP(T$5,NFI,5,0),1,0)*Data_NFI_t[[#This Row],[Adult Clothes]],0)</f>
        <v>0</v>
      </c>
      <c r="AJ369" s="131">
        <f>IF(NFI_Expiration=1,IF($A369&lt;VLOOKUP(U$5,NFI,5,0),1,0)*Data_NFI_t[[#This Row],[Children Clothes]],0)</f>
        <v>0</v>
      </c>
      <c r="AK369" s="131">
        <f>IF(NFI_Expiration=1,IF($A369&lt;VLOOKUP(V$5,NFI,5,0),1,0)*Data_NFI_t[[#This Row],[Sewing Kit]],0)</f>
        <v>0</v>
      </c>
      <c r="AL369" s="901">
        <f>IF(NFI_Expiration=1,IF($A369&lt;VLOOKUP(V$5,NFI,5,0),1,0)*Data_NFI_t[[#This Row],[Solar Lantern]],0)</f>
        <v>0</v>
      </c>
      <c r="AM369" s="131" t="str">
        <f ca="1">IFERROR(OFFSET(Camp_List[P_Code],MATCH(Data_NFI_t[[#This Row],[Camp Name]],Camp_List[Camp Name],0)-1,0,1,1),"")</f>
        <v>MMR012CMP002</v>
      </c>
      <c r="AN369" s="513" t="str">
        <f ca="1">IFERROR(OFFSET(Camp_List[Status],MATCH(Data_NFI_t[[#This Row],[Camp Name]],Camp_List[Camp Name],0)-1,0,1,1),"")</f>
        <v>Returned</v>
      </c>
      <c r="AO369" s="131"/>
    </row>
    <row r="370" spans="1:41" s="90" customFormat="1" ht="19.5" customHeight="1" x14ac:dyDescent="0.25">
      <c r="A370" s="242">
        <f t="shared" si="7"/>
        <v>54.06666666666667</v>
      </c>
      <c r="B370" s="242">
        <f>YEAR(Data_NFI_t[[#This Row],[Distribution Date]])</f>
        <v>2012</v>
      </c>
      <c r="C370" s="913">
        <v>41234</v>
      </c>
      <c r="D370" s="489" t="s">
        <v>285</v>
      </c>
      <c r="E370" s="488"/>
      <c r="F370" s="489" t="s">
        <v>7</v>
      </c>
      <c r="G370" s="790" t="s">
        <v>1002</v>
      </c>
      <c r="H370" s="790" t="s">
        <v>34</v>
      </c>
      <c r="I370" s="790"/>
      <c r="J370" s="51"/>
      <c r="K370" s="51"/>
      <c r="L370" s="51"/>
      <c r="M370" s="51">
        <v>83</v>
      </c>
      <c r="N370" s="51"/>
      <c r="O370" s="51"/>
      <c r="P370" s="51"/>
      <c r="Q370" s="51"/>
      <c r="R370" s="511"/>
      <c r="S370" s="51"/>
      <c r="T370" s="51"/>
      <c r="U370" s="51"/>
      <c r="V370" s="51"/>
      <c r="W370" s="51"/>
      <c r="X370" s="131">
        <f>IF(NFI_Expiration=1,IF($A370&lt;VLOOKUP(I$5,NFI,5,0),1,0)*Data_NFI_t[[#This Row],[Hygiene Kit]],0)</f>
        <v>0</v>
      </c>
      <c r="Y370" s="131">
        <f>IF(NFI_Expiration=1,IF($A370&lt;VLOOKUP(J$5,NFI,5,0),1,0)*Data_NFI_t[[#This Row],[NFI Core Kit]],0)</f>
        <v>0</v>
      </c>
      <c r="Z370" s="112">
        <f>IF(NFI_Expiration=1,IF($A370&lt;VLOOKUP(K$5,NFI,5,0),1,0)*Data_NFI_t[[#This Row],[Sanitary Kit]],0)</f>
        <v>0</v>
      </c>
      <c r="AA370" s="112">
        <f>IF(NFI_Expiration=1,IF($A370&lt;VLOOKUP(L$5,NFI,5,0),1,0)*Data_NFI_t[[#This Row],[Mosquito net]],0)</f>
        <v>0</v>
      </c>
      <c r="AB370" s="112">
        <f>IF(NFI_Expiration=1,IF($A370&lt;VLOOKUP(M$5,NFI,5,0),1,0)*Data_NFI_t[[#This Row],[Tarpaulin]],0)</f>
        <v>0</v>
      </c>
      <c r="AC370" s="112">
        <f>IF(NFI_Expiration=1,IF($A370&lt;VLOOKUP(N$5,NFI,5,0),1,0)*Data_NFI_t[[#This Row],[Blanket]],0)</f>
        <v>0</v>
      </c>
      <c r="AD370" s="112">
        <f>IF(NFI_Expiration=1,IF($A370&lt;VLOOKUP(O$5,NFI,5,0),1,0)*Data_NFI_t[[#This Row],[Kitchen Set]],0)</f>
        <v>0</v>
      </c>
      <c r="AE370" s="112">
        <f>IF(NFI_Expiration=1,IF($A370&lt;VLOOKUP(P$5,NFI,5,0),1,0)*Data_NFI_t[[#This Row],[Complementary Kit]],0)</f>
        <v>0</v>
      </c>
      <c r="AF370" s="112">
        <f>IF(NFI_Expiration=1,IF($A370&lt;VLOOKUP(Q$5,NFI,5,0),1,0)*Data_NFI_t[[#This Row],[Plastic Bucket]],0)</f>
        <v>0</v>
      </c>
      <c r="AG370" s="112">
        <f>IF(NFI_Expiration=1,IF($A370&lt;VLOOKUP(R$5,NFI,5,0),1,0)*Data_NFI_t[[#This Row],[Jerry Can]],0)</f>
        <v>0</v>
      </c>
      <c r="AH370" s="131">
        <f>IF(NFI_Expiration=1,IF($A370&lt;VLOOKUP(S$5,NFI,5,0),1,0)*Data_NFI_t[[#This Row],[Plastic Mat]],0)*IF(Data_NFI_t[[#This Row],[Distribution Date]]&gt;"01-06-2015",1,2.5)</f>
        <v>0</v>
      </c>
      <c r="AI370" s="901">
        <f>IF(NFI_Expiration=1,IF($A370&lt;VLOOKUP(T$5,NFI,5,0),1,0)*Data_NFI_t[[#This Row],[Adult Clothes]],0)</f>
        <v>0</v>
      </c>
      <c r="AJ370" s="131">
        <f>IF(NFI_Expiration=1,IF($A370&lt;VLOOKUP(U$5,NFI,5,0),1,0)*Data_NFI_t[[#This Row],[Children Clothes]],0)</f>
        <v>0</v>
      </c>
      <c r="AK370" s="131">
        <f>IF(NFI_Expiration=1,IF($A370&lt;VLOOKUP(V$5,NFI,5,0),1,0)*Data_NFI_t[[#This Row],[Sewing Kit]],0)</f>
        <v>0</v>
      </c>
      <c r="AL370" s="901">
        <f>IF(NFI_Expiration=1,IF($A370&lt;VLOOKUP(V$5,NFI,5,0),1,0)*Data_NFI_t[[#This Row],[Solar Lantern]],0)</f>
        <v>0</v>
      </c>
      <c r="AM370" s="131" t="str">
        <f ca="1">IFERROR(OFFSET(Camp_List[P_Code],MATCH(Data_NFI_t[[#This Row],[Camp Name]],Camp_List[Camp Name],0)-1,0,1,1),"")</f>
        <v>MMR012CMP010</v>
      </c>
      <c r="AN370" s="513" t="str">
        <f ca="1">IFERROR(OFFSET(Camp_List[Status],MATCH(Data_NFI_t[[#This Row],[Camp Name]],Camp_List[Camp Name],0)-1,0,1,1),"")</f>
        <v>Returned</v>
      </c>
      <c r="AO370" s="131"/>
    </row>
    <row r="371" spans="1:41" s="90" customFormat="1" ht="19.5" customHeight="1" x14ac:dyDescent="0.25">
      <c r="A371" s="242">
        <f t="shared" si="7"/>
        <v>54.133333333333333</v>
      </c>
      <c r="B371" s="242">
        <f>YEAR(Data_NFI_t[[#This Row],[Distribution Date]])</f>
        <v>2012</v>
      </c>
      <c r="C371" s="913">
        <v>41232</v>
      </c>
      <c r="D371" s="489" t="s">
        <v>285</v>
      </c>
      <c r="E371" s="488"/>
      <c r="F371" s="489" t="s">
        <v>7</v>
      </c>
      <c r="G371" s="790" t="s">
        <v>14</v>
      </c>
      <c r="H371" s="790" t="s">
        <v>40</v>
      </c>
      <c r="I371" s="790"/>
      <c r="J371" s="51"/>
      <c r="K371" s="51"/>
      <c r="L371" s="51"/>
      <c r="M371" s="51">
        <v>458</v>
      </c>
      <c r="N371" s="51">
        <v>148</v>
      </c>
      <c r="O371" s="51"/>
      <c r="P371" s="51"/>
      <c r="Q371" s="51"/>
      <c r="R371" s="511"/>
      <c r="S371" s="51"/>
      <c r="T371" s="51"/>
      <c r="U371" s="51"/>
      <c r="V371" s="51"/>
      <c r="W371" s="51"/>
      <c r="X371" s="131">
        <f>IF(NFI_Expiration=1,IF($A371&lt;VLOOKUP(I$5,NFI,5,0),1,0)*Data_NFI_t[[#This Row],[Hygiene Kit]],0)</f>
        <v>0</v>
      </c>
      <c r="Y371" s="131">
        <f>IF(NFI_Expiration=1,IF($A371&lt;VLOOKUP(J$5,NFI,5,0),1,0)*Data_NFI_t[[#This Row],[NFI Core Kit]],0)</f>
        <v>0</v>
      </c>
      <c r="Z371" s="112">
        <f>IF(NFI_Expiration=1,IF($A371&lt;VLOOKUP(K$5,NFI,5,0),1,0)*Data_NFI_t[[#This Row],[Sanitary Kit]],0)</f>
        <v>0</v>
      </c>
      <c r="AA371" s="112">
        <f>IF(NFI_Expiration=1,IF($A371&lt;VLOOKUP(L$5,NFI,5,0),1,0)*Data_NFI_t[[#This Row],[Mosquito net]],0)</f>
        <v>0</v>
      </c>
      <c r="AB371" s="112">
        <f>IF(NFI_Expiration=1,IF($A371&lt;VLOOKUP(M$5,NFI,5,0),1,0)*Data_NFI_t[[#This Row],[Tarpaulin]],0)</f>
        <v>0</v>
      </c>
      <c r="AC371" s="112">
        <f>IF(NFI_Expiration=1,IF($A371&lt;VLOOKUP(N$5,NFI,5,0),1,0)*Data_NFI_t[[#This Row],[Blanket]],0)</f>
        <v>0</v>
      </c>
      <c r="AD371" s="112">
        <f>IF(NFI_Expiration=1,IF($A371&lt;VLOOKUP(O$5,NFI,5,0),1,0)*Data_NFI_t[[#This Row],[Kitchen Set]],0)</f>
        <v>0</v>
      </c>
      <c r="AE371" s="112">
        <f>IF(NFI_Expiration=1,IF($A371&lt;VLOOKUP(P$5,NFI,5,0),1,0)*Data_NFI_t[[#This Row],[Complementary Kit]],0)</f>
        <v>0</v>
      </c>
      <c r="AF371" s="112">
        <f>IF(NFI_Expiration=1,IF($A371&lt;VLOOKUP(Q$5,NFI,5,0),1,0)*Data_NFI_t[[#This Row],[Plastic Bucket]],0)</f>
        <v>0</v>
      </c>
      <c r="AG371" s="112">
        <f>IF(NFI_Expiration=1,IF($A371&lt;VLOOKUP(R$5,NFI,5,0),1,0)*Data_NFI_t[[#This Row],[Jerry Can]],0)</f>
        <v>0</v>
      </c>
      <c r="AH371" s="131">
        <f>IF(NFI_Expiration=1,IF($A371&lt;VLOOKUP(S$5,NFI,5,0),1,0)*Data_NFI_t[[#This Row],[Plastic Mat]],0)*IF(Data_NFI_t[[#This Row],[Distribution Date]]&gt;"01-06-2015",1,2.5)</f>
        <v>0</v>
      </c>
      <c r="AI371" s="901">
        <f>IF(NFI_Expiration=1,IF($A371&lt;VLOOKUP(T$5,NFI,5,0),1,0)*Data_NFI_t[[#This Row],[Adult Clothes]],0)</f>
        <v>0</v>
      </c>
      <c r="AJ371" s="131">
        <f>IF(NFI_Expiration=1,IF($A371&lt;VLOOKUP(U$5,NFI,5,0),1,0)*Data_NFI_t[[#This Row],[Children Clothes]],0)</f>
        <v>0</v>
      </c>
      <c r="AK371" s="131">
        <f>IF(NFI_Expiration=1,IF($A371&lt;VLOOKUP(V$5,NFI,5,0),1,0)*Data_NFI_t[[#This Row],[Sewing Kit]],0)</f>
        <v>0</v>
      </c>
      <c r="AL371" s="901">
        <f>IF(NFI_Expiration=1,IF($A371&lt;VLOOKUP(V$5,NFI,5,0),1,0)*Data_NFI_t[[#This Row],[Solar Lantern]],0)</f>
        <v>0</v>
      </c>
      <c r="AM371" s="131" t="str">
        <f ca="1">IFERROR(OFFSET(Camp_List[P_Code],MATCH(Data_NFI_t[[#This Row],[Camp Name]],Camp_List[Camp Name],0)-1,0,1,1),"")</f>
        <v>MMR012CMP016</v>
      </c>
      <c r="AN371" s="513" t="str">
        <f ca="1">IFERROR(OFFSET(Camp_List[Status],MATCH(Data_NFI_t[[#This Row],[Camp Name]],Camp_List[Camp Name],0)-1,0,1,1),"")</f>
        <v>Open</v>
      </c>
      <c r="AO371" s="131"/>
    </row>
    <row r="372" spans="1:41" s="90" customFormat="1" ht="19.5" customHeight="1" x14ac:dyDescent="0.25">
      <c r="A372" s="242">
        <f t="shared" si="7"/>
        <v>54.133333333333333</v>
      </c>
      <c r="B372" s="242">
        <f>YEAR(Data_NFI_t[[#This Row],[Distribution Date]])</f>
        <v>2012</v>
      </c>
      <c r="C372" s="913">
        <v>41232</v>
      </c>
      <c r="D372" s="489" t="s">
        <v>285</v>
      </c>
      <c r="E372" s="488"/>
      <c r="F372" s="489" t="s">
        <v>7</v>
      </c>
      <c r="G372" s="790" t="s">
        <v>14</v>
      </c>
      <c r="H372" s="790" t="s">
        <v>42</v>
      </c>
      <c r="I372" s="790"/>
      <c r="J372" s="51"/>
      <c r="K372" s="51"/>
      <c r="L372" s="51">
        <v>769</v>
      </c>
      <c r="M372" s="51">
        <v>369</v>
      </c>
      <c r="N372" s="51">
        <v>1538</v>
      </c>
      <c r="O372" s="51">
        <v>769</v>
      </c>
      <c r="P372" s="51"/>
      <c r="Q372" s="51"/>
      <c r="R372" s="511"/>
      <c r="S372" s="51"/>
      <c r="T372" s="51"/>
      <c r="U372" s="51"/>
      <c r="V372" s="51"/>
      <c r="W372" s="51"/>
      <c r="X372" s="131">
        <f>IF(NFI_Expiration=1,IF($A372&lt;VLOOKUP(I$5,NFI,5,0),1,0)*Data_NFI_t[[#This Row],[Hygiene Kit]],0)</f>
        <v>0</v>
      </c>
      <c r="Y372" s="131">
        <f>IF(NFI_Expiration=1,IF($A372&lt;VLOOKUP(J$5,NFI,5,0),1,0)*Data_NFI_t[[#This Row],[NFI Core Kit]],0)</f>
        <v>0</v>
      </c>
      <c r="Z372" s="112">
        <f>IF(NFI_Expiration=1,IF($A372&lt;VLOOKUP(K$5,NFI,5,0),1,0)*Data_NFI_t[[#This Row],[Sanitary Kit]],0)</f>
        <v>0</v>
      </c>
      <c r="AA372" s="112">
        <f>IF(NFI_Expiration=1,IF($A372&lt;VLOOKUP(L$5,NFI,5,0),1,0)*Data_NFI_t[[#This Row],[Mosquito net]],0)</f>
        <v>0</v>
      </c>
      <c r="AB372" s="112">
        <f>IF(NFI_Expiration=1,IF($A372&lt;VLOOKUP(M$5,NFI,5,0),1,0)*Data_NFI_t[[#This Row],[Tarpaulin]],0)</f>
        <v>0</v>
      </c>
      <c r="AC372" s="112">
        <f>IF(NFI_Expiration=1,IF($A372&lt;VLOOKUP(N$5,NFI,5,0),1,0)*Data_NFI_t[[#This Row],[Blanket]],0)</f>
        <v>0</v>
      </c>
      <c r="AD372" s="112">
        <f>IF(NFI_Expiration=1,IF($A372&lt;VLOOKUP(O$5,NFI,5,0),1,0)*Data_NFI_t[[#This Row],[Kitchen Set]],0)</f>
        <v>0</v>
      </c>
      <c r="AE372" s="112">
        <f>IF(NFI_Expiration=1,IF($A372&lt;VLOOKUP(P$5,NFI,5,0),1,0)*Data_NFI_t[[#This Row],[Complementary Kit]],0)</f>
        <v>0</v>
      </c>
      <c r="AF372" s="112">
        <f>IF(NFI_Expiration=1,IF($A372&lt;VLOOKUP(Q$5,NFI,5,0),1,0)*Data_NFI_t[[#This Row],[Plastic Bucket]],0)</f>
        <v>0</v>
      </c>
      <c r="AG372" s="112">
        <f>IF(NFI_Expiration=1,IF($A372&lt;VLOOKUP(R$5,NFI,5,0),1,0)*Data_NFI_t[[#This Row],[Jerry Can]],0)</f>
        <v>0</v>
      </c>
      <c r="AH372" s="131">
        <f>IF(NFI_Expiration=1,IF($A372&lt;VLOOKUP(S$5,NFI,5,0),1,0)*Data_NFI_t[[#This Row],[Plastic Mat]],0)*IF(Data_NFI_t[[#This Row],[Distribution Date]]&gt;"01-06-2015",1,2.5)</f>
        <v>0</v>
      </c>
      <c r="AI372" s="901">
        <f>IF(NFI_Expiration=1,IF($A372&lt;VLOOKUP(T$5,NFI,5,0),1,0)*Data_NFI_t[[#This Row],[Adult Clothes]],0)</f>
        <v>0</v>
      </c>
      <c r="AJ372" s="131">
        <f>IF(NFI_Expiration=1,IF($A372&lt;VLOOKUP(U$5,NFI,5,0),1,0)*Data_NFI_t[[#This Row],[Children Clothes]],0)</f>
        <v>0</v>
      </c>
      <c r="AK372" s="131">
        <f>IF(NFI_Expiration=1,IF($A372&lt;VLOOKUP(V$5,NFI,5,0),1,0)*Data_NFI_t[[#This Row],[Sewing Kit]],0)</f>
        <v>0</v>
      </c>
      <c r="AL372" s="901">
        <f>IF(NFI_Expiration=1,IF($A372&lt;VLOOKUP(V$5,NFI,5,0),1,0)*Data_NFI_t[[#This Row],[Solar Lantern]],0)</f>
        <v>0</v>
      </c>
      <c r="AM372" s="131" t="str">
        <f ca="1">IFERROR(OFFSET(Camp_List[P_Code],MATCH(Data_NFI_t[[#This Row],[Camp Name]],Camp_List[Camp Name],0)-1,0,1,1),"")</f>
        <v>MMR012CMP018</v>
      </c>
      <c r="AN372" s="513" t="str">
        <f ca="1">IFERROR(OFFSET(Camp_List[Status],MATCH(Data_NFI_t[[#This Row],[Camp Name]],Camp_List[Camp Name],0)-1,0,1,1),"")</f>
        <v>Open</v>
      </c>
      <c r="AO372" s="131"/>
    </row>
    <row r="373" spans="1:41" s="90" customFormat="1" ht="19.5" customHeight="1" x14ac:dyDescent="0.25">
      <c r="A373" s="242">
        <f t="shared" si="7"/>
        <v>54.133333333333333</v>
      </c>
      <c r="B373" s="242">
        <f>YEAR(Data_NFI_t[[#This Row],[Distribution Date]])</f>
        <v>2012</v>
      </c>
      <c r="C373" s="913">
        <v>41232</v>
      </c>
      <c r="D373" s="489" t="s">
        <v>285</v>
      </c>
      <c r="E373" s="488"/>
      <c r="F373" s="489" t="s">
        <v>7</v>
      </c>
      <c r="G373" s="790" t="s">
        <v>14</v>
      </c>
      <c r="H373" s="790" t="s">
        <v>41</v>
      </c>
      <c r="I373" s="790"/>
      <c r="J373" s="51"/>
      <c r="K373" s="51"/>
      <c r="L373" s="51">
        <v>1306</v>
      </c>
      <c r="M373" s="51">
        <v>506</v>
      </c>
      <c r="N373" s="51">
        <v>1306</v>
      </c>
      <c r="O373" s="51">
        <v>1306</v>
      </c>
      <c r="P373" s="51"/>
      <c r="Q373" s="51"/>
      <c r="R373" s="511"/>
      <c r="S373" s="51"/>
      <c r="T373" s="51"/>
      <c r="U373" s="51"/>
      <c r="V373" s="51"/>
      <c r="W373" s="51"/>
      <c r="X373" s="131">
        <f>IF(NFI_Expiration=1,IF($A373&lt;VLOOKUP(I$5,NFI,5,0),1,0)*Data_NFI_t[[#This Row],[Hygiene Kit]],0)</f>
        <v>0</v>
      </c>
      <c r="Y373" s="131">
        <f>IF(NFI_Expiration=1,IF($A373&lt;VLOOKUP(J$5,NFI,5,0),1,0)*Data_NFI_t[[#This Row],[NFI Core Kit]],0)</f>
        <v>0</v>
      </c>
      <c r="Z373" s="112">
        <f>IF(NFI_Expiration=1,IF($A373&lt;VLOOKUP(K$5,NFI,5,0),1,0)*Data_NFI_t[[#This Row],[Sanitary Kit]],0)</f>
        <v>0</v>
      </c>
      <c r="AA373" s="112">
        <f>IF(NFI_Expiration=1,IF($A373&lt;VLOOKUP(L$5,NFI,5,0),1,0)*Data_NFI_t[[#This Row],[Mosquito net]],0)</f>
        <v>0</v>
      </c>
      <c r="AB373" s="112">
        <f>IF(NFI_Expiration=1,IF($A373&lt;VLOOKUP(M$5,NFI,5,0),1,0)*Data_NFI_t[[#This Row],[Tarpaulin]],0)</f>
        <v>0</v>
      </c>
      <c r="AC373" s="112">
        <f>IF(NFI_Expiration=1,IF($A373&lt;VLOOKUP(N$5,NFI,5,0),1,0)*Data_NFI_t[[#This Row],[Blanket]],0)</f>
        <v>0</v>
      </c>
      <c r="AD373" s="112">
        <f>IF(NFI_Expiration=1,IF($A373&lt;VLOOKUP(O$5,NFI,5,0),1,0)*Data_NFI_t[[#This Row],[Kitchen Set]],0)</f>
        <v>0</v>
      </c>
      <c r="AE373" s="112">
        <f>IF(NFI_Expiration=1,IF($A373&lt;VLOOKUP(P$5,NFI,5,0),1,0)*Data_NFI_t[[#This Row],[Complementary Kit]],0)</f>
        <v>0</v>
      </c>
      <c r="AF373" s="112">
        <f>IF(NFI_Expiration=1,IF($A373&lt;VLOOKUP(Q$5,NFI,5,0),1,0)*Data_NFI_t[[#This Row],[Plastic Bucket]],0)</f>
        <v>0</v>
      </c>
      <c r="AG373" s="112">
        <f>IF(NFI_Expiration=1,IF($A373&lt;VLOOKUP(R$5,NFI,5,0),1,0)*Data_NFI_t[[#This Row],[Jerry Can]],0)</f>
        <v>0</v>
      </c>
      <c r="AH373" s="131">
        <f>IF(NFI_Expiration=1,IF($A373&lt;VLOOKUP(S$5,NFI,5,0),1,0)*Data_NFI_t[[#This Row],[Plastic Mat]],0)*IF(Data_NFI_t[[#This Row],[Distribution Date]]&gt;"01-06-2015",1,2.5)</f>
        <v>0</v>
      </c>
      <c r="AI373" s="901">
        <f>IF(NFI_Expiration=1,IF($A373&lt;VLOOKUP(T$5,NFI,5,0),1,0)*Data_NFI_t[[#This Row],[Adult Clothes]],0)</f>
        <v>0</v>
      </c>
      <c r="AJ373" s="131">
        <f>IF(NFI_Expiration=1,IF($A373&lt;VLOOKUP(U$5,NFI,5,0),1,0)*Data_NFI_t[[#This Row],[Children Clothes]],0)</f>
        <v>0</v>
      </c>
      <c r="AK373" s="131">
        <f>IF(NFI_Expiration=1,IF($A373&lt;VLOOKUP(V$5,NFI,5,0),1,0)*Data_NFI_t[[#This Row],[Sewing Kit]],0)</f>
        <v>0</v>
      </c>
      <c r="AL373" s="901">
        <f>IF(NFI_Expiration=1,IF($A373&lt;VLOOKUP(V$5,NFI,5,0),1,0)*Data_NFI_t[[#This Row],[Solar Lantern]],0)</f>
        <v>0</v>
      </c>
      <c r="AM373" s="131" t="str">
        <f ca="1">IFERROR(OFFSET(Camp_List[P_Code],MATCH(Data_NFI_t[[#This Row],[Camp Name]],Camp_List[Camp Name],0)-1,0,1,1),"")</f>
        <v/>
      </c>
      <c r="AN373" s="513" t="str">
        <f ca="1">IFERROR(OFFSET(Camp_List[Status],MATCH(Data_NFI_t[[#This Row],[Camp Name]],Camp_List[Camp Name],0)-1,0,1,1),"")</f>
        <v/>
      </c>
      <c r="AO373" s="131"/>
    </row>
    <row r="374" spans="1:41" s="90" customFormat="1" ht="19.5" customHeight="1" x14ac:dyDescent="0.25">
      <c r="A374" s="242">
        <f t="shared" si="7"/>
        <v>54.133333333333333</v>
      </c>
      <c r="B374" s="242">
        <f>YEAR(Data_NFI_t[[#This Row],[Distribution Date]])</f>
        <v>2012</v>
      </c>
      <c r="C374" s="913">
        <v>41232</v>
      </c>
      <c r="D374" s="489" t="s">
        <v>285</v>
      </c>
      <c r="E374" s="488"/>
      <c r="F374" s="489" t="s">
        <v>7</v>
      </c>
      <c r="G374" s="790" t="s">
        <v>18</v>
      </c>
      <c r="H374" s="790" t="s">
        <v>60</v>
      </c>
      <c r="I374" s="790"/>
      <c r="J374" s="51"/>
      <c r="K374" s="51"/>
      <c r="L374" s="51">
        <v>26</v>
      </c>
      <c r="M374" s="51">
        <v>13</v>
      </c>
      <c r="N374" s="51">
        <v>26</v>
      </c>
      <c r="O374" s="51">
        <v>13</v>
      </c>
      <c r="P374" s="51"/>
      <c r="Q374" s="51"/>
      <c r="R374" s="511"/>
      <c r="S374" s="51"/>
      <c r="T374" s="51"/>
      <c r="U374" s="51"/>
      <c r="V374" s="51"/>
      <c r="W374" s="51"/>
      <c r="X374" s="131">
        <f>IF(NFI_Expiration=1,IF($A374&lt;VLOOKUP(I$5,NFI,5,0),1,0)*Data_NFI_t[[#This Row],[Hygiene Kit]],0)</f>
        <v>0</v>
      </c>
      <c r="Y374" s="131">
        <f>IF(NFI_Expiration=1,IF($A374&lt;VLOOKUP(J$5,NFI,5,0),1,0)*Data_NFI_t[[#This Row],[NFI Core Kit]],0)</f>
        <v>0</v>
      </c>
      <c r="Z374" s="112">
        <f>IF(NFI_Expiration=1,IF($A374&lt;VLOOKUP(K$5,NFI,5,0),1,0)*Data_NFI_t[[#This Row],[Sanitary Kit]],0)</f>
        <v>0</v>
      </c>
      <c r="AA374" s="112">
        <f>IF(NFI_Expiration=1,IF($A374&lt;VLOOKUP(L$5,NFI,5,0),1,0)*Data_NFI_t[[#This Row],[Mosquito net]],0)</f>
        <v>0</v>
      </c>
      <c r="AB374" s="112">
        <f>IF(NFI_Expiration=1,IF($A374&lt;VLOOKUP(M$5,NFI,5,0),1,0)*Data_NFI_t[[#This Row],[Tarpaulin]],0)</f>
        <v>0</v>
      </c>
      <c r="AC374" s="112">
        <f>IF(NFI_Expiration=1,IF($A374&lt;VLOOKUP(N$5,NFI,5,0),1,0)*Data_NFI_t[[#This Row],[Blanket]],0)</f>
        <v>0</v>
      </c>
      <c r="AD374" s="112">
        <f>IF(NFI_Expiration=1,IF($A374&lt;VLOOKUP(O$5,NFI,5,0),1,0)*Data_NFI_t[[#This Row],[Kitchen Set]],0)</f>
        <v>0</v>
      </c>
      <c r="AE374" s="112">
        <f>IF(NFI_Expiration=1,IF($A374&lt;VLOOKUP(P$5,NFI,5,0),1,0)*Data_NFI_t[[#This Row],[Complementary Kit]],0)</f>
        <v>0</v>
      </c>
      <c r="AF374" s="112">
        <f>IF(NFI_Expiration=1,IF($A374&lt;VLOOKUP(Q$5,NFI,5,0),1,0)*Data_NFI_t[[#This Row],[Plastic Bucket]],0)</f>
        <v>0</v>
      </c>
      <c r="AG374" s="112">
        <f>IF(NFI_Expiration=1,IF($A374&lt;VLOOKUP(R$5,NFI,5,0),1,0)*Data_NFI_t[[#This Row],[Jerry Can]],0)</f>
        <v>0</v>
      </c>
      <c r="AH374" s="131">
        <f>IF(NFI_Expiration=1,IF($A374&lt;VLOOKUP(S$5,NFI,5,0),1,0)*Data_NFI_t[[#This Row],[Plastic Mat]],0)*IF(Data_NFI_t[[#This Row],[Distribution Date]]&gt;"01-06-2015",1,2.5)</f>
        <v>0</v>
      </c>
      <c r="AI374" s="901">
        <f>IF(NFI_Expiration=1,IF($A374&lt;VLOOKUP(T$5,NFI,5,0),1,0)*Data_NFI_t[[#This Row],[Adult Clothes]],0)</f>
        <v>0</v>
      </c>
      <c r="AJ374" s="131">
        <f>IF(NFI_Expiration=1,IF($A374&lt;VLOOKUP(U$5,NFI,5,0),1,0)*Data_NFI_t[[#This Row],[Children Clothes]],0)</f>
        <v>0</v>
      </c>
      <c r="AK374" s="131">
        <f>IF(NFI_Expiration=1,IF($A374&lt;VLOOKUP(V$5,NFI,5,0),1,0)*Data_NFI_t[[#This Row],[Sewing Kit]],0)</f>
        <v>0</v>
      </c>
      <c r="AL374" s="901">
        <f>IF(NFI_Expiration=1,IF($A374&lt;VLOOKUP(V$5,NFI,5,0),1,0)*Data_NFI_t[[#This Row],[Solar Lantern]],0)</f>
        <v>0</v>
      </c>
      <c r="AM374" s="131" t="str">
        <f ca="1">IFERROR(OFFSET(Camp_List[P_Code],MATCH(Data_NFI_t[[#This Row],[Camp Name]],Camp_List[Camp Name],0)-1,0,1,1),"")</f>
        <v>MMR012CMP038</v>
      </c>
      <c r="AN374" s="513" t="str">
        <f ca="1">IFERROR(OFFSET(Camp_List[Status],MATCH(Data_NFI_t[[#This Row],[Camp Name]],Camp_List[Camp Name],0)-1,0,1,1),"")</f>
        <v>Open</v>
      </c>
      <c r="AO374" s="131"/>
    </row>
    <row r="375" spans="1:41" s="90" customFormat="1" ht="19.5" customHeight="1" x14ac:dyDescent="0.25">
      <c r="A375" s="242">
        <f t="shared" si="7"/>
        <v>54.133333333333333</v>
      </c>
      <c r="B375" s="242">
        <f>YEAR(Data_NFI_t[[#This Row],[Distribution Date]])</f>
        <v>2012</v>
      </c>
      <c r="C375" s="913">
        <v>41232</v>
      </c>
      <c r="D375" s="489" t="s">
        <v>285</v>
      </c>
      <c r="E375" s="488"/>
      <c r="F375" s="489" t="s">
        <v>7</v>
      </c>
      <c r="G375" s="790" t="s">
        <v>18</v>
      </c>
      <c r="H375" s="790" t="s">
        <v>59</v>
      </c>
      <c r="I375" s="790"/>
      <c r="J375" s="51"/>
      <c r="K375" s="51"/>
      <c r="L375" s="51">
        <v>194</v>
      </c>
      <c r="M375" s="51">
        <v>97</v>
      </c>
      <c r="N375" s="51">
        <v>194</v>
      </c>
      <c r="O375" s="51">
        <v>97</v>
      </c>
      <c r="P375" s="51"/>
      <c r="Q375" s="51"/>
      <c r="R375" s="511"/>
      <c r="S375" s="51"/>
      <c r="T375" s="51"/>
      <c r="U375" s="51"/>
      <c r="V375" s="51"/>
      <c r="W375" s="51"/>
      <c r="X375" s="131">
        <f>IF(NFI_Expiration=1,IF($A375&lt;VLOOKUP(I$5,NFI,5,0),1,0)*Data_NFI_t[[#This Row],[Hygiene Kit]],0)</f>
        <v>0</v>
      </c>
      <c r="Y375" s="131">
        <f>IF(NFI_Expiration=1,IF($A375&lt;VLOOKUP(J$5,NFI,5,0),1,0)*Data_NFI_t[[#This Row],[NFI Core Kit]],0)</f>
        <v>0</v>
      </c>
      <c r="Z375" s="112">
        <f>IF(NFI_Expiration=1,IF($A375&lt;VLOOKUP(K$5,NFI,5,0),1,0)*Data_NFI_t[[#This Row],[Sanitary Kit]],0)</f>
        <v>0</v>
      </c>
      <c r="AA375" s="112">
        <f>IF(NFI_Expiration=1,IF($A375&lt;VLOOKUP(L$5,NFI,5,0),1,0)*Data_NFI_t[[#This Row],[Mosquito net]],0)</f>
        <v>0</v>
      </c>
      <c r="AB375" s="112">
        <f>IF(NFI_Expiration=1,IF($A375&lt;VLOOKUP(M$5,NFI,5,0),1,0)*Data_NFI_t[[#This Row],[Tarpaulin]],0)</f>
        <v>0</v>
      </c>
      <c r="AC375" s="112">
        <f>IF(NFI_Expiration=1,IF($A375&lt;VLOOKUP(N$5,NFI,5,0),1,0)*Data_NFI_t[[#This Row],[Blanket]],0)</f>
        <v>0</v>
      </c>
      <c r="AD375" s="112">
        <f>IF(NFI_Expiration=1,IF($A375&lt;VLOOKUP(O$5,NFI,5,0),1,0)*Data_NFI_t[[#This Row],[Kitchen Set]],0)</f>
        <v>0</v>
      </c>
      <c r="AE375" s="112">
        <f>IF(NFI_Expiration=1,IF($A375&lt;VLOOKUP(P$5,NFI,5,0),1,0)*Data_NFI_t[[#This Row],[Complementary Kit]],0)</f>
        <v>0</v>
      </c>
      <c r="AF375" s="112">
        <f>IF(NFI_Expiration=1,IF($A375&lt;VLOOKUP(Q$5,NFI,5,0),1,0)*Data_NFI_t[[#This Row],[Plastic Bucket]],0)</f>
        <v>0</v>
      </c>
      <c r="AG375" s="112">
        <f>IF(NFI_Expiration=1,IF($A375&lt;VLOOKUP(R$5,NFI,5,0),1,0)*Data_NFI_t[[#This Row],[Jerry Can]],0)</f>
        <v>0</v>
      </c>
      <c r="AH375" s="131">
        <f>IF(NFI_Expiration=1,IF($A375&lt;VLOOKUP(S$5,NFI,5,0),1,0)*Data_NFI_t[[#This Row],[Plastic Mat]],0)*IF(Data_NFI_t[[#This Row],[Distribution Date]]&gt;"01-06-2015",1,2.5)</f>
        <v>0</v>
      </c>
      <c r="AI375" s="901">
        <f>IF(NFI_Expiration=1,IF($A375&lt;VLOOKUP(T$5,NFI,5,0),1,0)*Data_NFI_t[[#This Row],[Adult Clothes]],0)</f>
        <v>0</v>
      </c>
      <c r="AJ375" s="131">
        <f>IF(NFI_Expiration=1,IF($A375&lt;VLOOKUP(U$5,NFI,5,0),1,0)*Data_NFI_t[[#This Row],[Children Clothes]],0)</f>
        <v>0</v>
      </c>
      <c r="AK375" s="131">
        <f>IF(NFI_Expiration=1,IF($A375&lt;VLOOKUP(V$5,NFI,5,0),1,0)*Data_NFI_t[[#This Row],[Sewing Kit]],0)</f>
        <v>0</v>
      </c>
      <c r="AL375" s="901">
        <f>IF(NFI_Expiration=1,IF($A375&lt;VLOOKUP(V$5,NFI,5,0),1,0)*Data_NFI_t[[#This Row],[Solar Lantern]],0)</f>
        <v>0</v>
      </c>
      <c r="AM375" s="131" t="str">
        <f ca="1">IFERROR(OFFSET(Camp_List[P_Code],MATCH(Data_NFI_t[[#This Row],[Camp Name]],Camp_List[Camp Name],0)-1,0,1,1),"")</f>
        <v>MMR012CMP037</v>
      </c>
      <c r="AN375" s="513" t="str">
        <f ca="1">IFERROR(OFFSET(Camp_List[Status],MATCH(Data_NFI_t[[#This Row],[Camp Name]],Camp_List[Camp Name],0)-1,0,1,1),"")</f>
        <v>Open</v>
      </c>
      <c r="AO375" s="131"/>
    </row>
    <row r="376" spans="1:41" s="90" customFormat="1" ht="19.5" customHeight="1" x14ac:dyDescent="0.25">
      <c r="A376" s="242">
        <f t="shared" si="7"/>
        <v>54.133333333333333</v>
      </c>
      <c r="B376" s="242">
        <f>YEAR(Data_NFI_t[[#This Row],[Distribution Date]])</f>
        <v>2012</v>
      </c>
      <c r="C376" s="913">
        <v>41232</v>
      </c>
      <c r="D376" s="489" t="s">
        <v>285</v>
      </c>
      <c r="E376" s="488"/>
      <c r="F376" s="489" t="s">
        <v>7</v>
      </c>
      <c r="G376" s="790" t="s">
        <v>14</v>
      </c>
      <c r="H376" s="790" t="s">
        <v>43</v>
      </c>
      <c r="I376" s="790"/>
      <c r="J376" s="51"/>
      <c r="K376" s="51"/>
      <c r="L376" s="51"/>
      <c r="M376" s="51">
        <v>362</v>
      </c>
      <c r="N376" s="51"/>
      <c r="O376" s="51"/>
      <c r="P376" s="51"/>
      <c r="Q376" s="51"/>
      <c r="R376" s="511"/>
      <c r="S376" s="51"/>
      <c r="T376" s="51"/>
      <c r="U376" s="51"/>
      <c r="V376" s="51"/>
      <c r="W376" s="51"/>
      <c r="X376" s="131">
        <f>IF(NFI_Expiration=1,IF($A376&lt;VLOOKUP(I$5,NFI,5,0),1,0)*Data_NFI_t[[#This Row],[Hygiene Kit]],0)</f>
        <v>0</v>
      </c>
      <c r="Y376" s="131">
        <f>IF(NFI_Expiration=1,IF($A376&lt;VLOOKUP(J$5,NFI,5,0),1,0)*Data_NFI_t[[#This Row],[NFI Core Kit]],0)</f>
        <v>0</v>
      </c>
      <c r="Z376" s="112">
        <f>IF(NFI_Expiration=1,IF($A376&lt;VLOOKUP(K$5,NFI,5,0),1,0)*Data_NFI_t[[#This Row],[Sanitary Kit]],0)</f>
        <v>0</v>
      </c>
      <c r="AA376" s="112">
        <f>IF(NFI_Expiration=1,IF($A376&lt;VLOOKUP(L$5,NFI,5,0),1,0)*Data_NFI_t[[#This Row],[Mosquito net]],0)</f>
        <v>0</v>
      </c>
      <c r="AB376" s="112">
        <f>IF(NFI_Expiration=1,IF($A376&lt;VLOOKUP(M$5,NFI,5,0),1,0)*Data_NFI_t[[#This Row],[Tarpaulin]],0)</f>
        <v>0</v>
      </c>
      <c r="AC376" s="112">
        <f>IF(NFI_Expiration=1,IF($A376&lt;VLOOKUP(N$5,NFI,5,0),1,0)*Data_NFI_t[[#This Row],[Blanket]],0)</f>
        <v>0</v>
      </c>
      <c r="AD376" s="112">
        <f>IF(NFI_Expiration=1,IF($A376&lt;VLOOKUP(O$5,NFI,5,0),1,0)*Data_NFI_t[[#This Row],[Kitchen Set]],0)</f>
        <v>0</v>
      </c>
      <c r="AE376" s="112">
        <f>IF(NFI_Expiration=1,IF($A376&lt;VLOOKUP(P$5,NFI,5,0),1,0)*Data_NFI_t[[#This Row],[Complementary Kit]],0)</f>
        <v>0</v>
      </c>
      <c r="AF376" s="112">
        <f>IF(NFI_Expiration=1,IF($A376&lt;VLOOKUP(Q$5,NFI,5,0),1,0)*Data_NFI_t[[#This Row],[Plastic Bucket]],0)</f>
        <v>0</v>
      </c>
      <c r="AG376" s="112">
        <f>IF(NFI_Expiration=1,IF($A376&lt;VLOOKUP(R$5,NFI,5,0),1,0)*Data_NFI_t[[#This Row],[Jerry Can]],0)</f>
        <v>0</v>
      </c>
      <c r="AH376" s="131">
        <f>IF(NFI_Expiration=1,IF($A376&lt;VLOOKUP(S$5,NFI,5,0),1,0)*Data_NFI_t[[#This Row],[Plastic Mat]],0)*IF(Data_NFI_t[[#This Row],[Distribution Date]]&gt;"01-06-2015",1,2.5)</f>
        <v>0</v>
      </c>
      <c r="AI376" s="901">
        <f>IF(NFI_Expiration=1,IF($A376&lt;VLOOKUP(T$5,NFI,5,0),1,0)*Data_NFI_t[[#This Row],[Adult Clothes]],0)</f>
        <v>0</v>
      </c>
      <c r="AJ376" s="131">
        <f>IF(NFI_Expiration=1,IF($A376&lt;VLOOKUP(U$5,NFI,5,0),1,0)*Data_NFI_t[[#This Row],[Children Clothes]],0)</f>
        <v>0</v>
      </c>
      <c r="AK376" s="131">
        <f>IF(NFI_Expiration=1,IF($A376&lt;VLOOKUP(V$5,NFI,5,0),1,0)*Data_NFI_t[[#This Row],[Sewing Kit]],0)</f>
        <v>0</v>
      </c>
      <c r="AL376" s="901">
        <f>IF(NFI_Expiration=1,IF($A376&lt;VLOOKUP(V$5,NFI,5,0),1,0)*Data_NFI_t[[#This Row],[Solar Lantern]],0)</f>
        <v>0</v>
      </c>
      <c r="AM376" s="131" t="str">
        <f ca="1">IFERROR(OFFSET(Camp_List[P_Code],MATCH(Data_NFI_t[[#This Row],[Camp Name]],Camp_List[Camp Name],0)-1,0,1,1),"")</f>
        <v>MMR012CMP019</v>
      </c>
      <c r="AN376" s="513" t="str">
        <f ca="1">IFERROR(OFFSET(Camp_List[Status],MATCH(Data_NFI_t[[#This Row],[Camp Name]],Camp_List[Camp Name],0)-1,0,1,1),"")</f>
        <v>Open</v>
      </c>
      <c r="AO376" s="131"/>
    </row>
    <row r="377" spans="1:41" s="90" customFormat="1" ht="19.5" customHeight="1" x14ac:dyDescent="0.25">
      <c r="A377" s="242">
        <f t="shared" si="7"/>
        <v>54.666666666666664</v>
      </c>
      <c r="B377" s="242">
        <f>YEAR(Data_NFI_t[[#This Row],[Distribution Date]])</f>
        <v>2012</v>
      </c>
      <c r="C377" s="913">
        <v>41216</v>
      </c>
      <c r="D377" s="489" t="s">
        <v>285</v>
      </c>
      <c r="E377" s="488"/>
      <c r="F377" s="489" t="s">
        <v>7</v>
      </c>
      <c r="G377" s="790" t="s">
        <v>14</v>
      </c>
      <c r="H377" s="790" t="s">
        <v>43</v>
      </c>
      <c r="I377" s="790"/>
      <c r="J377" s="51"/>
      <c r="K377" s="51"/>
      <c r="L377" s="51">
        <v>862</v>
      </c>
      <c r="M377" s="51">
        <v>500</v>
      </c>
      <c r="N377" s="51">
        <v>862</v>
      </c>
      <c r="O377" s="51">
        <v>862</v>
      </c>
      <c r="P377" s="51"/>
      <c r="Q377" s="51"/>
      <c r="R377" s="511"/>
      <c r="S377" s="51"/>
      <c r="T377" s="51"/>
      <c r="U377" s="51"/>
      <c r="V377" s="51"/>
      <c r="W377" s="51"/>
      <c r="X377" s="131">
        <f>IF(NFI_Expiration=1,IF($A377&lt;VLOOKUP(I$5,NFI,5,0),1,0)*Data_NFI_t[[#This Row],[Hygiene Kit]],0)</f>
        <v>0</v>
      </c>
      <c r="Y377" s="131">
        <f>IF(NFI_Expiration=1,IF($A377&lt;VLOOKUP(J$5,NFI,5,0),1,0)*Data_NFI_t[[#This Row],[NFI Core Kit]],0)</f>
        <v>0</v>
      </c>
      <c r="Z377" s="112">
        <f>IF(NFI_Expiration=1,IF($A377&lt;VLOOKUP(K$5,NFI,5,0),1,0)*Data_NFI_t[[#This Row],[Sanitary Kit]],0)</f>
        <v>0</v>
      </c>
      <c r="AA377" s="112">
        <f>IF(NFI_Expiration=1,IF($A377&lt;VLOOKUP(L$5,NFI,5,0),1,0)*Data_NFI_t[[#This Row],[Mosquito net]],0)</f>
        <v>0</v>
      </c>
      <c r="AB377" s="112">
        <f>IF(NFI_Expiration=1,IF($A377&lt;VLOOKUP(M$5,NFI,5,0),1,0)*Data_NFI_t[[#This Row],[Tarpaulin]],0)</f>
        <v>0</v>
      </c>
      <c r="AC377" s="112">
        <f>IF(NFI_Expiration=1,IF($A377&lt;VLOOKUP(N$5,NFI,5,0),1,0)*Data_NFI_t[[#This Row],[Blanket]],0)</f>
        <v>0</v>
      </c>
      <c r="AD377" s="112">
        <f>IF(NFI_Expiration=1,IF($A377&lt;VLOOKUP(O$5,NFI,5,0),1,0)*Data_NFI_t[[#This Row],[Kitchen Set]],0)</f>
        <v>0</v>
      </c>
      <c r="AE377" s="112">
        <f>IF(NFI_Expiration=1,IF($A377&lt;VLOOKUP(P$5,NFI,5,0),1,0)*Data_NFI_t[[#This Row],[Complementary Kit]],0)</f>
        <v>0</v>
      </c>
      <c r="AF377" s="112">
        <f>IF(NFI_Expiration=1,IF($A377&lt;VLOOKUP(Q$5,NFI,5,0),1,0)*Data_NFI_t[[#This Row],[Plastic Bucket]],0)</f>
        <v>0</v>
      </c>
      <c r="AG377" s="112">
        <f>IF(NFI_Expiration=1,IF($A377&lt;VLOOKUP(R$5,NFI,5,0),1,0)*Data_NFI_t[[#This Row],[Jerry Can]],0)</f>
        <v>0</v>
      </c>
      <c r="AH377" s="131">
        <f>IF(NFI_Expiration=1,IF($A377&lt;VLOOKUP(S$5,NFI,5,0),1,0)*Data_NFI_t[[#This Row],[Plastic Mat]],0)*IF(Data_NFI_t[[#This Row],[Distribution Date]]&gt;"01-06-2015",1,2.5)</f>
        <v>0</v>
      </c>
      <c r="AI377" s="901">
        <f>IF(NFI_Expiration=1,IF($A377&lt;VLOOKUP(T$5,NFI,5,0),1,0)*Data_NFI_t[[#This Row],[Adult Clothes]],0)</f>
        <v>0</v>
      </c>
      <c r="AJ377" s="131">
        <f>IF(NFI_Expiration=1,IF($A377&lt;VLOOKUP(U$5,NFI,5,0),1,0)*Data_NFI_t[[#This Row],[Children Clothes]],0)</f>
        <v>0</v>
      </c>
      <c r="AK377" s="131">
        <f>IF(NFI_Expiration=1,IF($A377&lt;VLOOKUP(V$5,NFI,5,0),1,0)*Data_NFI_t[[#This Row],[Sewing Kit]],0)</f>
        <v>0</v>
      </c>
      <c r="AL377" s="901">
        <f>IF(NFI_Expiration=1,IF($A377&lt;VLOOKUP(V$5,NFI,5,0),1,0)*Data_NFI_t[[#This Row],[Solar Lantern]],0)</f>
        <v>0</v>
      </c>
      <c r="AM377" s="131" t="str">
        <f ca="1">IFERROR(OFFSET(Camp_List[P_Code],MATCH(Data_NFI_t[[#This Row],[Camp Name]],Camp_List[Camp Name],0)-1,0,1,1),"")</f>
        <v>MMR012CMP019</v>
      </c>
      <c r="AN377" s="513" t="str">
        <f ca="1">IFERROR(OFFSET(Camp_List[Status],MATCH(Data_NFI_t[[#This Row],[Camp Name]],Camp_List[Camp Name],0)-1,0,1,1),"")</f>
        <v>Open</v>
      </c>
      <c r="AO377" s="131"/>
    </row>
    <row r="378" spans="1:41" s="90" customFormat="1" ht="19.5" customHeight="1" x14ac:dyDescent="0.25">
      <c r="A378" s="242">
        <f t="shared" si="7"/>
        <v>54.7</v>
      </c>
      <c r="B378" s="242">
        <f>YEAR(Data_NFI_t[[#This Row],[Distribution Date]])</f>
        <v>2012</v>
      </c>
      <c r="C378" s="913">
        <v>41215</v>
      </c>
      <c r="D378" s="489" t="s">
        <v>285</v>
      </c>
      <c r="E378" s="488"/>
      <c r="F378" s="489" t="s">
        <v>7</v>
      </c>
      <c r="G378" s="790" t="s">
        <v>15</v>
      </c>
      <c r="H378" s="790" t="s">
        <v>49</v>
      </c>
      <c r="I378" s="790"/>
      <c r="J378" s="51"/>
      <c r="K378" s="51"/>
      <c r="L378" s="51"/>
      <c r="M378" s="51">
        <v>85</v>
      </c>
      <c r="N378" s="51"/>
      <c r="O378" s="51"/>
      <c r="P378" s="51"/>
      <c r="Q378" s="51"/>
      <c r="R378" s="511"/>
      <c r="S378" s="51"/>
      <c r="T378" s="51"/>
      <c r="U378" s="51"/>
      <c r="V378" s="51"/>
      <c r="W378" s="51"/>
      <c r="X378" s="131">
        <f>IF(NFI_Expiration=1,IF($A378&lt;VLOOKUP(I$5,NFI,5,0),1,0)*Data_NFI_t[[#This Row],[Hygiene Kit]],0)</f>
        <v>0</v>
      </c>
      <c r="Y378" s="131">
        <f>IF(NFI_Expiration=1,IF($A378&lt;VLOOKUP(J$5,NFI,5,0),1,0)*Data_NFI_t[[#This Row],[NFI Core Kit]],0)</f>
        <v>0</v>
      </c>
      <c r="Z378" s="112">
        <f>IF(NFI_Expiration=1,IF($A378&lt;VLOOKUP(K$5,NFI,5,0),1,0)*Data_NFI_t[[#This Row],[Sanitary Kit]],0)</f>
        <v>0</v>
      </c>
      <c r="AA378" s="112">
        <f>IF(NFI_Expiration=1,IF($A378&lt;VLOOKUP(L$5,NFI,5,0),1,0)*Data_NFI_t[[#This Row],[Mosquito net]],0)</f>
        <v>0</v>
      </c>
      <c r="AB378" s="112">
        <f>IF(NFI_Expiration=1,IF($A378&lt;VLOOKUP(M$5,NFI,5,0),1,0)*Data_NFI_t[[#This Row],[Tarpaulin]],0)</f>
        <v>0</v>
      </c>
      <c r="AC378" s="112">
        <f>IF(NFI_Expiration=1,IF($A378&lt;VLOOKUP(N$5,NFI,5,0),1,0)*Data_NFI_t[[#This Row],[Blanket]],0)</f>
        <v>0</v>
      </c>
      <c r="AD378" s="112">
        <f>IF(NFI_Expiration=1,IF($A378&lt;VLOOKUP(O$5,NFI,5,0),1,0)*Data_NFI_t[[#This Row],[Kitchen Set]],0)</f>
        <v>0</v>
      </c>
      <c r="AE378" s="112">
        <f>IF(NFI_Expiration=1,IF($A378&lt;VLOOKUP(P$5,NFI,5,0),1,0)*Data_NFI_t[[#This Row],[Complementary Kit]],0)</f>
        <v>0</v>
      </c>
      <c r="AF378" s="112">
        <f>IF(NFI_Expiration=1,IF($A378&lt;VLOOKUP(Q$5,NFI,5,0),1,0)*Data_NFI_t[[#This Row],[Plastic Bucket]],0)</f>
        <v>0</v>
      </c>
      <c r="AG378" s="112">
        <f>IF(NFI_Expiration=1,IF($A378&lt;VLOOKUP(R$5,NFI,5,0),1,0)*Data_NFI_t[[#This Row],[Jerry Can]],0)</f>
        <v>0</v>
      </c>
      <c r="AH378" s="131">
        <f>IF(NFI_Expiration=1,IF($A378&lt;VLOOKUP(S$5,NFI,5,0),1,0)*Data_NFI_t[[#This Row],[Plastic Mat]],0)*IF(Data_NFI_t[[#This Row],[Distribution Date]]&gt;"01-06-2015",1,2.5)</f>
        <v>0</v>
      </c>
      <c r="AI378" s="901">
        <f>IF(NFI_Expiration=1,IF($A378&lt;VLOOKUP(T$5,NFI,5,0),1,0)*Data_NFI_t[[#This Row],[Adult Clothes]],0)</f>
        <v>0</v>
      </c>
      <c r="AJ378" s="131">
        <f>IF(NFI_Expiration=1,IF($A378&lt;VLOOKUP(U$5,NFI,5,0),1,0)*Data_NFI_t[[#This Row],[Children Clothes]],0)</f>
        <v>0</v>
      </c>
      <c r="AK378" s="131">
        <f>IF(NFI_Expiration=1,IF($A378&lt;VLOOKUP(V$5,NFI,5,0),1,0)*Data_NFI_t[[#This Row],[Sewing Kit]],0)</f>
        <v>0</v>
      </c>
      <c r="AL378" s="901">
        <f>IF(NFI_Expiration=1,IF($A378&lt;VLOOKUP(V$5,NFI,5,0),1,0)*Data_NFI_t[[#This Row],[Solar Lantern]],0)</f>
        <v>0</v>
      </c>
      <c r="AM378" s="131" t="str">
        <f ca="1">IFERROR(OFFSET(Camp_List[P_Code],MATCH(Data_NFI_t[[#This Row],[Camp Name]],Camp_List[Camp Name],0)-1,0,1,1),"")</f>
        <v>MMR012CMP025</v>
      </c>
      <c r="AN378" s="513" t="str">
        <f ca="1">IFERROR(OFFSET(Camp_List[Status],MATCH(Data_NFI_t[[#This Row],[Camp Name]],Camp_List[Camp Name],0)-1,0,1,1),"")</f>
        <v>Returned</v>
      </c>
      <c r="AO378" s="131"/>
    </row>
    <row r="379" spans="1:41" s="90" customFormat="1" ht="19.5" customHeight="1" x14ac:dyDescent="0.25">
      <c r="A379" s="242">
        <f t="shared" si="7"/>
        <v>54.733333333333334</v>
      </c>
      <c r="B379" s="242">
        <f>YEAR(Data_NFI_t[[#This Row],[Distribution Date]])</f>
        <v>2012</v>
      </c>
      <c r="C379" s="913">
        <v>41214</v>
      </c>
      <c r="D379" s="489" t="s">
        <v>285</v>
      </c>
      <c r="E379" s="488"/>
      <c r="F379" s="489" t="s">
        <v>7</v>
      </c>
      <c r="G379" s="790" t="s">
        <v>866</v>
      </c>
      <c r="H379" s="790" t="s">
        <v>38</v>
      </c>
      <c r="I379" s="790"/>
      <c r="J379" s="51"/>
      <c r="K379" s="51"/>
      <c r="L379" s="51"/>
      <c r="M379" s="51">
        <v>146</v>
      </c>
      <c r="N379" s="51"/>
      <c r="O379" s="51">
        <v>146</v>
      </c>
      <c r="P379" s="51"/>
      <c r="Q379" s="51"/>
      <c r="R379" s="511"/>
      <c r="S379" s="51"/>
      <c r="T379" s="51"/>
      <c r="U379" s="51"/>
      <c r="V379" s="51"/>
      <c r="W379" s="51"/>
      <c r="X379" s="131">
        <f>IF(NFI_Expiration=1,IF($A379&lt;VLOOKUP(I$5,NFI,5,0),1,0)*Data_NFI_t[[#This Row],[Hygiene Kit]],0)</f>
        <v>0</v>
      </c>
      <c r="Y379" s="131">
        <f>IF(NFI_Expiration=1,IF($A379&lt;VLOOKUP(J$5,NFI,5,0),1,0)*Data_NFI_t[[#This Row],[NFI Core Kit]],0)</f>
        <v>0</v>
      </c>
      <c r="Z379" s="112">
        <f>IF(NFI_Expiration=1,IF($A379&lt;VLOOKUP(K$5,NFI,5,0),1,0)*Data_NFI_t[[#This Row],[Sanitary Kit]],0)</f>
        <v>0</v>
      </c>
      <c r="AA379" s="112">
        <f>IF(NFI_Expiration=1,IF($A379&lt;VLOOKUP(L$5,NFI,5,0),1,0)*Data_NFI_t[[#This Row],[Mosquito net]],0)</f>
        <v>0</v>
      </c>
      <c r="AB379" s="112">
        <f>IF(NFI_Expiration=1,IF($A379&lt;VLOOKUP(M$5,NFI,5,0),1,0)*Data_NFI_t[[#This Row],[Tarpaulin]],0)</f>
        <v>0</v>
      </c>
      <c r="AC379" s="112">
        <f>IF(NFI_Expiration=1,IF($A379&lt;VLOOKUP(N$5,NFI,5,0),1,0)*Data_NFI_t[[#This Row],[Blanket]],0)</f>
        <v>0</v>
      </c>
      <c r="AD379" s="112">
        <f>IF(NFI_Expiration=1,IF($A379&lt;VLOOKUP(O$5,NFI,5,0),1,0)*Data_NFI_t[[#This Row],[Kitchen Set]],0)</f>
        <v>0</v>
      </c>
      <c r="AE379" s="112">
        <f>IF(NFI_Expiration=1,IF($A379&lt;VLOOKUP(P$5,NFI,5,0),1,0)*Data_NFI_t[[#This Row],[Complementary Kit]],0)</f>
        <v>0</v>
      </c>
      <c r="AF379" s="112">
        <f>IF(NFI_Expiration=1,IF($A379&lt;VLOOKUP(Q$5,NFI,5,0),1,0)*Data_NFI_t[[#This Row],[Plastic Bucket]],0)</f>
        <v>0</v>
      </c>
      <c r="AG379" s="112">
        <f>IF(NFI_Expiration=1,IF($A379&lt;VLOOKUP(R$5,NFI,5,0),1,0)*Data_NFI_t[[#This Row],[Jerry Can]],0)</f>
        <v>0</v>
      </c>
      <c r="AH379" s="131">
        <f>IF(NFI_Expiration=1,IF($A379&lt;VLOOKUP(S$5,NFI,5,0),1,0)*Data_NFI_t[[#This Row],[Plastic Mat]],0)*IF(Data_NFI_t[[#This Row],[Distribution Date]]&gt;"01-06-2015",1,2.5)</f>
        <v>0</v>
      </c>
      <c r="AI379" s="901">
        <f>IF(NFI_Expiration=1,IF($A379&lt;VLOOKUP(T$5,NFI,5,0),1,0)*Data_NFI_t[[#This Row],[Adult Clothes]],0)</f>
        <v>0</v>
      </c>
      <c r="AJ379" s="131">
        <f>IF(NFI_Expiration=1,IF($A379&lt;VLOOKUP(U$5,NFI,5,0),1,0)*Data_NFI_t[[#This Row],[Children Clothes]],0)</f>
        <v>0</v>
      </c>
      <c r="AK379" s="131">
        <f>IF(NFI_Expiration=1,IF($A379&lt;VLOOKUP(V$5,NFI,5,0),1,0)*Data_NFI_t[[#This Row],[Sewing Kit]],0)</f>
        <v>0</v>
      </c>
      <c r="AL379" s="901">
        <f>IF(NFI_Expiration=1,IF($A379&lt;VLOOKUP(V$5,NFI,5,0),1,0)*Data_NFI_t[[#This Row],[Solar Lantern]],0)</f>
        <v>0</v>
      </c>
      <c r="AM379" s="131" t="str">
        <f ca="1">IFERROR(OFFSET(Camp_List[P_Code],MATCH(Data_NFI_t[[#This Row],[Camp Name]],Camp_List[Camp Name],0)-1,0,1,1),"")</f>
        <v>MMR012CMP014</v>
      </c>
      <c r="AN379" s="513" t="str">
        <f ca="1">IFERROR(OFFSET(Camp_List[Status],MATCH(Data_NFI_t[[#This Row],[Camp Name]],Camp_List[Camp Name],0)-1,0,1,1),"")</f>
        <v>Open</v>
      </c>
      <c r="AO379" s="131"/>
    </row>
    <row r="380" spans="1:41" s="90" customFormat="1" ht="19.5" customHeight="1" x14ac:dyDescent="0.25">
      <c r="A380" s="242">
        <f t="shared" si="7"/>
        <v>54.766666666666666</v>
      </c>
      <c r="B380" s="242">
        <f>YEAR(Data_NFI_t[[#This Row],[Distribution Date]])</f>
        <v>2012</v>
      </c>
      <c r="C380" s="913">
        <v>41213</v>
      </c>
      <c r="D380" s="489" t="s">
        <v>285</v>
      </c>
      <c r="E380" s="488"/>
      <c r="F380" s="489" t="s">
        <v>7</v>
      </c>
      <c r="G380" s="790" t="s">
        <v>11</v>
      </c>
      <c r="H380" s="790" t="s">
        <v>30</v>
      </c>
      <c r="I380" s="790"/>
      <c r="J380" s="51"/>
      <c r="K380" s="51"/>
      <c r="L380" s="51"/>
      <c r="M380" s="51">
        <v>40</v>
      </c>
      <c r="N380" s="51"/>
      <c r="O380" s="51"/>
      <c r="P380" s="51"/>
      <c r="Q380" s="51"/>
      <c r="R380" s="511"/>
      <c r="S380" s="51"/>
      <c r="T380" s="51"/>
      <c r="U380" s="51"/>
      <c r="V380" s="51"/>
      <c r="W380" s="51"/>
      <c r="X380" s="131">
        <f>IF(NFI_Expiration=1,IF($A380&lt;VLOOKUP(I$5,NFI,5,0),1,0)*Data_NFI_t[[#This Row],[Hygiene Kit]],0)</f>
        <v>0</v>
      </c>
      <c r="Y380" s="131">
        <f>IF(NFI_Expiration=1,IF($A380&lt;VLOOKUP(J$5,NFI,5,0),1,0)*Data_NFI_t[[#This Row],[NFI Core Kit]],0)</f>
        <v>0</v>
      </c>
      <c r="Z380" s="112">
        <f>IF(NFI_Expiration=1,IF($A380&lt;VLOOKUP(K$5,NFI,5,0),1,0)*Data_NFI_t[[#This Row],[Sanitary Kit]],0)</f>
        <v>0</v>
      </c>
      <c r="AA380" s="112">
        <f>IF(NFI_Expiration=1,IF($A380&lt;VLOOKUP(L$5,NFI,5,0),1,0)*Data_NFI_t[[#This Row],[Mosquito net]],0)</f>
        <v>0</v>
      </c>
      <c r="AB380" s="112">
        <f>IF(NFI_Expiration=1,IF($A380&lt;VLOOKUP(M$5,NFI,5,0),1,0)*Data_NFI_t[[#This Row],[Tarpaulin]],0)</f>
        <v>0</v>
      </c>
      <c r="AC380" s="112">
        <f>IF(NFI_Expiration=1,IF($A380&lt;VLOOKUP(N$5,NFI,5,0),1,0)*Data_NFI_t[[#This Row],[Blanket]],0)</f>
        <v>0</v>
      </c>
      <c r="AD380" s="112">
        <f>IF(NFI_Expiration=1,IF($A380&lt;VLOOKUP(O$5,NFI,5,0),1,0)*Data_NFI_t[[#This Row],[Kitchen Set]],0)</f>
        <v>0</v>
      </c>
      <c r="AE380" s="112">
        <f>IF(NFI_Expiration=1,IF($A380&lt;VLOOKUP(P$5,NFI,5,0),1,0)*Data_NFI_t[[#This Row],[Complementary Kit]],0)</f>
        <v>0</v>
      </c>
      <c r="AF380" s="112">
        <f>IF(NFI_Expiration=1,IF($A380&lt;VLOOKUP(Q$5,NFI,5,0),1,0)*Data_NFI_t[[#This Row],[Plastic Bucket]],0)</f>
        <v>0</v>
      </c>
      <c r="AG380" s="112">
        <f>IF(NFI_Expiration=1,IF($A380&lt;VLOOKUP(R$5,NFI,5,0),1,0)*Data_NFI_t[[#This Row],[Jerry Can]],0)</f>
        <v>0</v>
      </c>
      <c r="AH380" s="131">
        <f>IF(NFI_Expiration=1,IF($A380&lt;VLOOKUP(S$5,NFI,5,0),1,0)*Data_NFI_t[[#This Row],[Plastic Mat]],0)*IF(Data_NFI_t[[#This Row],[Distribution Date]]&gt;"01-06-2015",1,2.5)</f>
        <v>0</v>
      </c>
      <c r="AI380" s="901">
        <f>IF(NFI_Expiration=1,IF($A380&lt;VLOOKUP(T$5,NFI,5,0),1,0)*Data_NFI_t[[#This Row],[Adult Clothes]],0)</f>
        <v>0</v>
      </c>
      <c r="AJ380" s="131">
        <f>IF(NFI_Expiration=1,IF($A380&lt;VLOOKUP(U$5,NFI,5,0),1,0)*Data_NFI_t[[#This Row],[Children Clothes]],0)</f>
        <v>0</v>
      </c>
      <c r="AK380" s="131">
        <f>IF(NFI_Expiration=1,IF($A380&lt;VLOOKUP(V$5,NFI,5,0),1,0)*Data_NFI_t[[#This Row],[Sewing Kit]],0)</f>
        <v>0</v>
      </c>
      <c r="AL380" s="901">
        <f>IF(NFI_Expiration=1,IF($A380&lt;VLOOKUP(V$5,NFI,5,0),1,0)*Data_NFI_t[[#This Row],[Solar Lantern]],0)</f>
        <v>0</v>
      </c>
      <c r="AM380" s="131" t="str">
        <f ca="1">IFERROR(OFFSET(Camp_List[P_Code],MATCH(Data_NFI_t[[#This Row],[Camp Name]],Camp_List[Camp Name],0)-1,0,1,1),"")</f>
        <v>MMR012CMP006</v>
      </c>
      <c r="AN380" s="513" t="str">
        <f ca="1">IFERROR(OFFSET(Camp_List[Status],MATCH(Data_NFI_t[[#This Row],[Camp Name]],Camp_List[Camp Name],0)-1,0,1,1),"")</f>
        <v>Returned</v>
      </c>
      <c r="AO380" s="131"/>
    </row>
    <row r="381" spans="1:41" s="90" customFormat="1" ht="19.5" customHeight="1" x14ac:dyDescent="0.25">
      <c r="A381" s="242">
        <f t="shared" si="7"/>
        <v>54.766666666666666</v>
      </c>
      <c r="B381" s="242">
        <f>YEAR(Data_NFI_t[[#This Row],[Distribution Date]])</f>
        <v>2012</v>
      </c>
      <c r="C381" s="913">
        <v>41213</v>
      </c>
      <c r="D381" s="489" t="s">
        <v>285</v>
      </c>
      <c r="E381" s="488"/>
      <c r="F381" s="489" t="s">
        <v>7</v>
      </c>
      <c r="G381" s="790" t="s">
        <v>11</v>
      </c>
      <c r="H381" s="790" t="s">
        <v>28</v>
      </c>
      <c r="I381" s="790"/>
      <c r="J381" s="51"/>
      <c r="K381" s="51"/>
      <c r="L381" s="51"/>
      <c r="M381" s="51">
        <v>100</v>
      </c>
      <c r="N381" s="51"/>
      <c r="O381" s="51"/>
      <c r="P381" s="51"/>
      <c r="Q381" s="51"/>
      <c r="R381" s="511"/>
      <c r="S381" s="51"/>
      <c r="T381" s="51"/>
      <c r="U381" s="51"/>
      <c r="V381" s="51"/>
      <c r="W381" s="51"/>
      <c r="X381" s="131">
        <f>IF(NFI_Expiration=1,IF($A381&lt;VLOOKUP(I$5,NFI,5,0),1,0)*Data_NFI_t[[#This Row],[Hygiene Kit]],0)</f>
        <v>0</v>
      </c>
      <c r="Y381" s="131">
        <f>IF(NFI_Expiration=1,IF($A381&lt;VLOOKUP(J$5,NFI,5,0),1,0)*Data_NFI_t[[#This Row],[NFI Core Kit]],0)</f>
        <v>0</v>
      </c>
      <c r="Z381" s="112">
        <f>IF(NFI_Expiration=1,IF($A381&lt;VLOOKUP(K$5,NFI,5,0),1,0)*Data_NFI_t[[#This Row],[Sanitary Kit]],0)</f>
        <v>0</v>
      </c>
      <c r="AA381" s="112">
        <f>IF(NFI_Expiration=1,IF($A381&lt;VLOOKUP(L$5,NFI,5,0),1,0)*Data_NFI_t[[#This Row],[Mosquito net]],0)</f>
        <v>0</v>
      </c>
      <c r="AB381" s="112">
        <f>IF(NFI_Expiration=1,IF($A381&lt;VLOOKUP(M$5,NFI,5,0),1,0)*Data_NFI_t[[#This Row],[Tarpaulin]],0)</f>
        <v>0</v>
      </c>
      <c r="AC381" s="112">
        <f>IF(NFI_Expiration=1,IF($A381&lt;VLOOKUP(N$5,NFI,5,0),1,0)*Data_NFI_t[[#This Row],[Blanket]],0)</f>
        <v>0</v>
      </c>
      <c r="AD381" s="112">
        <f>IF(NFI_Expiration=1,IF($A381&lt;VLOOKUP(O$5,NFI,5,0),1,0)*Data_NFI_t[[#This Row],[Kitchen Set]],0)</f>
        <v>0</v>
      </c>
      <c r="AE381" s="112">
        <f>IF(NFI_Expiration=1,IF($A381&lt;VLOOKUP(P$5,NFI,5,0),1,0)*Data_NFI_t[[#This Row],[Complementary Kit]],0)</f>
        <v>0</v>
      </c>
      <c r="AF381" s="112">
        <f>IF(NFI_Expiration=1,IF($A381&lt;VLOOKUP(Q$5,NFI,5,0),1,0)*Data_NFI_t[[#This Row],[Plastic Bucket]],0)</f>
        <v>0</v>
      </c>
      <c r="AG381" s="112">
        <f>IF(NFI_Expiration=1,IF($A381&lt;VLOOKUP(R$5,NFI,5,0),1,0)*Data_NFI_t[[#This Row],[Jerry Can]],0)</f>
        <v>0</v>
      </c>
      <c r="AH381" s="131">
        <f>IF(NFI_Expiration=1,IF($A381&lt;VLOOKUP(S$5,NFI,5,0),1,0)*Data_NFI_t[[#This Row],[Plastic Mat]],0)*IF(Data_NFI_t[[#This Row],[Distribution Date]]&gt;"01-06-2015",1,2.5)</f>
        <v>0</v>
      </c>
      <c r="AI381" s="901">
        <f>IF(NFI_Expiration=1,IF($A381&lt;VLOOKUP(T$5,NFI,5,0),1,0)*Data_NFI_t[[#This Row],[Adult Clothes]],0)</f>
        <v>0</v>
      </c>
      <c r="AJ381" s="131">
        <f>IF(NFI_Expiration=1,IF($A381&lt;VLOOKUP(U$5,NFI,5,0),1,0)*Data_NFI_t[[#This Row],[Children Clothes]],0)</f>
        <v>0</v>
      </c>
      <c r="AK381" s="131">
        <f>IF(NFI_Expiration=1,IF($A381&lt;VLOOKUP(V$5,NFI,5,0),1,0)*Data_NFI_t[[#This Row],[Sewing Kit]],0)</f>
        <v>0</v>
      </c>
      <c r="AL381" s="901">
        <f>IF(NFI_Expiration=1,IF($A381&lt;VLOOKUP(V$5,NFI,5,0),1,0)*Data_NFI_t[[#This Row],[Solar Lantern]],0)</f>
        <v>0</v>
      </c>
      <c r="AM381" s="131" t="str">
        <f ca="1">IFERROR(OFFSET(Camp_List[P_Code],MATCH(Data_NFI_t[[#This Row],[Camp Name]],Camp_List[Camp Name],0)-1,0,1,1),"")</f>
        <v>MMR012CMP004</v>
      </c>
      <c r="AN381" s="513" t="str">
        <f ca="1">IFERROR(OFFSET(Camp_List[Status],MATCH(Data_NFI_t[[#This Row],[Camp Name]],Camp_List[Camp Name],0)-1,0,1,1),"")</f>
        <v>Close</v>
      </c>
      <c r="AO381" s="131"/>
    </row>
    <row r="382" spans="1:41" s="90" customFormat="1" ht="19.5" customHeight="1" x14ac:dyDescent="0.25">
      <c r="A382" s="242">
        <f t="shared" si="7"/>
        <v>54.766666666666666</v>
      </c>
      <c r="B382" s="242">
        <f>YEAR(Data_NFI_t[[#This Row],[Distribution Date]])</f>
        <v>2012</v>
      </c>
      <c r="C382" s="913">
        <v>41213</v>
      </c>
      <c r="D382" s="489" t="s">
        <v>285</v>
      </c>
      <c r="E382" s="488"/>
      <c r="F382" s="489" t="s">
        <v>7</v>
      </c>
      <c r="G382" s="790" t="s">
        <v>1002</v>
      </c>
      <c r="H382" s="790" t="s">
        <v>33</v>
      </c>
      <c r="I382" s="790"/>
      <c r="J382" s="51"/>
      <c r="K382" s="51"/>
      <c r="L382" s="51"/>
      <c r="M382" s="51">
        <v>100</v>
      </c>
      <c r="N382" s="51"/>
      <c r="O382" s="51"/>
      <c r="P382" s="51"/>
      <c r="Q382" s="51"/>
      <c r="R382" s="511"/>
      <c r="S382" s="51"/>
      <c r="T382" s="51"/>
      <c r="U382" s="51"/>
      <c r="V382" s="51"/>
      <c r="W382" s="51"/>
      <c r="X382" s="131">
        <f>IF(NFI_Expiration=1,IF($A382&lt;VLOOKUP(I$5,NFI,5,0),1,0)*Data_NFI_t[[#This Row],[Hygiene Kit]],0)</f>
        <v>0</v>
      </c>
      <c r="Y382" s="131">
        <f>IF(NFI_Expiration=1,IF($A382&lt;VLOOKUP(J$5,NFI,5,0),1,0)*Data_NFI_t[[#This Row],[NFI Core Kit]],0)</f>
        <v>0</v>
      </c>
      <c r="Z382" s="112">
        <f>IF(NFI_Expiration=1,IF($A382&lt;VLOOKUP(K$5,NFI,5,0),1,0)*Data_NFI_t[[#This Row],[Sanitary Kit]],0)</f>
        <v>0</v>
      </c>
      <c r="AA382" s="112">
        <f>IF(NFI_Expiration=1,IF($A382&lt;VLOOKUP(L$5,NFI,5,0),1,0)*Data_NFI_t[[#This Row],[Mosquito net]],0)</f>
        <v>0</v>
      </c>
      <c r="AB382" s="112">
        <f>IF(NFI_Expiration=1,IF($A382&lt;VLOOKUP(M$5,NFI,5,0),1,0)*Data_NFI_t[[#This Row],[Tarpaulin]],0)</f>
        <v>0</v>
      </c>
      <c r="AC382" s="112">
        <f>IF(NFI_Expiration=1,IF($A382&lt;VLOOKUP(N$5,NFI,5,0),1,0)*Data_NFI_t[[#This Row],[Blanket]],0)</f>
        <v>0</v>
      </c>
      <c r="AD382" s="112">
        <f>IF(NFI_Expiration=1,IF($A382&lt;VLOOKUP(O$5,NFI,5,0),1,0)*Data_NFI_t[[#This Row],[Kitchen Set]],0)</f>
        <v>0</v>
      </c>
      <c r="AE382" s="112">
        <f>IF(NFI_Expiration=1,IF($A382&lt;VLOOKUP(P$5,NFI,5,0),1,0)*Data_NFI_t[[#This Row],[Complementary Kit]],0)</f>
        <v>0</v>
      </c>
      <c r="AF382" s="112">
        <f>IF(NFI_Expiration=1,IF($A382&lt;VLOOKUP(Q$5,NFI,5,0),1,0)*Data_NFI_t[[#This Row],[Plastic Bucket]],0)</f>
        <v>0</v>
      </c>
      <c r="AG382" s="112">
        <f>IF(NFI_Expiration=1,IF($A382&lt;VLOOKUP(R$5,NFI,5,0),1,0)*Data_NFI_t[[#This Row],[Jerry Can]],0)</f>
        <v>0</v>
      </c>
      <c r="AH382" s="131">
        <f>IF(NFI_Expiration=1,IF($A382&lt;VLOOKUP(S$5,NFI,5,0),1,0)*Data_NFI_t[[#This Row],[Plastic Mat]],0)*IF(Data_NFI_t[[#This Row],[Distribution Date]]&gt;"01-06-2015",1,2.5)</f>
        <v>0</v>
      </c>
      <c r="AI382" s="901">
        <f>IF(NFI_Expiration=1,IF($A382&lt;VLOOKUP(T$5,NFI,5,0),1,0)*Data_NFI_t[[#This Row],[Adult Clothes]],0)</f>
        <v>0</v>
      </c>
      <c r="AJ382" s="131">
        <f>IF(NFI_Expiration=1,IF($A382&lt;VLOOKUP(U$5,NFI,5,0),1,0)*Data_NFI_t[[#This Row],[Children Clothes]],0)</f>
        <v>0</v>
      </c>
      <c r="AK382" s="131">
        <f>IF(NFI_Expiration=1,IF($A382&lt;VLOOKUP(V$5,NFI,5,0),1,0)*Data_NFI_t[[#This Row],[Sewing Kit]],0)</f>
        <v>0</v>
      </c>
      <c r="AL382" s="901">
        <f>IF(NFI_Expiration=1,IF($A382&lt;VLOOKUP(V$5,NFI,5,0),1,0)*Data_NFI_t[[#This Row],[Solar Lantern]],0)</f>
        <v>0</v>
      </c>
      <c r="AM382" s="131" t="str">
        <f ca="1">IFERROR(OFFSET(Camp_List[P_Code],MATCH(Data_NFI_t[[#This Row],[Camp Name]],Camp_List[Camp Name],0)-1,0,1,1),"")</f>
        <v>MMR012CMP009</v>
      </c>
      <c r="AN382" s="513" t="str">
        <f ca="1">IFERROR(OFFSET(Camp_List[Status],MATCH(Data_NFI_t[[#This Row],[Camp Name]],Camp_List[Camp Name],0)-1,0,1,1),"")</f>
        <v>Returned</v>
      </c>
      <c r="AO382" s="131"/>
    </row>
    <row r="383" spans="1:41" s="90" customFormat="1" ht="19.5" customHeight="1" x14ac:dyDescent="0.25">
      <c r="A383" s="242">
        <f t="shared" si="7"/>
        <v>55.56666666666667</v>
      </c>
      <c r="B383" s="242">
        <f>YEAR(Data_NFI_t[[#This Row],[Distribution Date]])</f>
        <v>2012</v>
      </c>
      <c r="C383" s="913">
        <v>41189</v>
      </c>
      <c r="D383" s="489" t="s">
        <v>285</v>
      </c>
      <c r="E383" s="488"/>
      <c r="F383" s="489" t="s">
        <v>7</v>
      </c>
      <c r="G383" s="790" t="s">
        <v>15</v>
      </c>
      <c r="H383" s="790" t="s">
        <v>48</v>
      </c>
      <c r="I383" s="790"/>
      <c r="J383" s="51"/>
      <c r="K383" s="51"/>
      <c r="L383" s="51"/>
      <c r="M383" s="51">
        <v>90</v>
      </c>
      <c r="N383" s="51"/>
      <c r="O383" s="51"/>
      <c r="P383" s="51"/>
      <c r="Q383" s="51"/>
      <c r="R383" s="511"/>
      <c r="S383" s="51"/>
      <c r="T383" s="51"/>
      <c r="U383" s="51"/>
      <c r="V383" s="51"/>
      <c r="W383" s="51"/>
      <c r="X383" s="131">
        <f>IF(NFI_Expiration=1,IF($A383&lt;VLOOKUP(I$5,NFI,5,0),1,0)*Data_NFI_t[[#This Row],[Hygiene Kit]],0)</f>
        <v>0</v>
      </c>
      <c r="Y383" s="131">
        <f>IF(NFI_Expiration=1,IF($A383&lt;VLOOKUP(J$5,NFI,5,0),1,0)*Data_NFI_t[[#This Row],[NFI Core Kit]],0)</f>
        <v>0</v>
      </c>
      <c r="Z383" s="112">
        <f>IF(NFI_Expiration=1,IF($A383&lt;VLOOKUP(K$5,NFI,5,0),1,0)*Data_NFI_t[[#This Row],[Sanitary Kit]],0)</f>
        <v>0</v>
      </c>
      <c r="AA383" s="112">
        <f>IF(NFI_Expiration=1,IF($A383&lt;VLOOKUP(L$5,NFI,5,0),1,0)*Data_NFI_t[[#This Row],[Mosquito net]],0)</f>
        <v>0</v>
      </c>
      <c r="AB383" s="112">
        <f>IF(NFI_Expiration=1,IF($A383&lt;VLOOKUP(M$5,NFI,5,0),1,0)*Data_NFI_t[[#This Row],[Tarpaulin]],0)</f>
        <v>0</v>
      </c>
      <c r="AC383" s="112">
        <f>IF(NFI_Expiration=1,IF($A383&lt;VLOOKUP(N$5,NFI,5,0),1,0)*Data_NFI_t[[#This Row],[Blanket]],0)</f>
        <v>0</v>
      </c>
      <c r="AD383" s="112">
        <f>IF(NFI_Expiration=1,IF($A383&lt;VLOOKUP(O$5,NFI,5,0),1,0)*Data_NFI_t[[#This Row],[Kitchen Set]],0)</f>
        <v>0</v>
      </c>
      <c r="AE383" s="112">
        <f>IF(NFI_Expiration=1,IF($A383&lt;VLOOKUP(P$5,NFI,5,0),1,0)*Data_NFI_t[[#This Row],[Complementary Kit]],0)</f>
        <v>0</v>
      </c>
      <c r="AF383" s="112">
        <f>IF(NFI_Expiration=1,IF($A383&lt;VLOOKUP(Q$5,NFI,5,0),1,0)*Data_NFI_t[[#This Row],[Plastic Bucket]],0)</f>
        <v>0</v>
      </c>
      <c r="AG383" s="112">
        <f>IF(NFI_Expiration=1,IF($A383&lt;VLOOKUP(R$5,NFI,5,0),1,0)*Data_NFI_t[[#This Row],[Jerry Can]],0)</f>
        <v>0</v>
      </c>
      <c r="AH383" s="131">
        <f>IF(NFI_Expiration=1,IF($A383&lt;VLOOKUP(S$5,NFI,5,0),1,0)*Data_NFI_t[[#This Row],[Plastic Mat]],0)*IF(Data_NFI_t[[#This Row],[Distribution Date]]&gt;"01-06-2015",1,2.5)</f>
        <v>0</v>
      </c>
      <c r="AI383" s="901">
        <f>IF(NFI_Expiration=1,IF($A383&lt;VLOOKUP(T$5,NFI,5,0),1,0)*Data_NFI_t[[#This Row],[Adult Clothes]],0)</f>
        <v>0</v>
      </c>
      <c r="AJ383" s="131">
        <f>IF(NFI_Expiration=1,IF($A383&lt;VLOOKUP(U$5,NFI,5,0),1,0)*Data_NFI_t[[#This Row],[Children Clothes]],0)</f>
        <v>0</v>
      </c>
      <c r="AK383" s="131">
        <f>IF(NFI_Expiration=1,IF($A383&lt;VLOOKUP(V$5,NFI,5,0),1,0)*Data_NFI_t[[#This Row],[Sewing Kit]],0)</f>
        <v>0</v>
      </c>
      <c r="AL383" s="901">
        <f>IF(NFI_Expiration=1,IF($A383&lt;VLOOKUP(V$5,NFI,5,0),1,0)*Data_NFI_t[[#This Row],[Solar Lantern]],0)</f>
        <v>0</v>
      </c>
      <c r="AM383" s="131" t="str">
        <f ca="1">IFERROR(OFFSET(Camp_List[P_Code],MATCH(Data_NFI_t[[#This Row],[Camp Name]],Camp_List[Camp Name],0)-1,0,1,1),"")</f>
        <v>MMR012CMP024</v>
      </c>
      <c r="AN383" s="513" t="str">
        <f ca="1">IFERROR(OFFSET(Camp_List[Status],MATCH(Data_NFI_t[[#This Row],[Camp Name]],Camp_List[Camp Name],0)-1,0,1,1),"")</f>
        <v>Returned</v>
      </c>
      <c r="AO383" s="131"/>
    </row>
    <row r="384" spans="1:41" s="90" customFormat="1" ht="19.5" customHeight="1" x14ac:dyDescent="0.25">
      <c r="A384" s="242">
        <f t="shared" si="7"/>
        <v>55.56666666666667</v>
      </c>
      <c r="B384" s="242">
        <f>YEAR(Data_NFI_t[[#This Row],[Distribution Date]])</f>
        <v>2012</v>
      </c>
      <c r="C384" s="913">
        <v>41189</v>
      </c>
      <c r="D384" s="489" t="s">
        <v>285</v>
      </c>
      <c r="E384" s="488"/>
      <c r="F384" s="489" t="s">
        <v>7</v>
      </c>
      <c r="G384" s="790" t="s">
        <v>15</v>
      </c>
      <c r="H384" s="790" t="s">
        <v>291</v>
      </c>
      <c r="I384" s="790"/>
      <c r="J384" s="51"/>
      <c r="K384" s="51"/>
      <c r="L384" s="51"/>
      <c r="M384" s="51">
        <v>97</v>
      </c>
      <c r="N384" s="51"/>
      <c r="O384" s="51"/>
      <c r="P384" s="51"/>
      <c r="Q384" s="51"/>
      <c r="R384" s="511"/>
      <c r="S384" s="51"/>
      <c r="T384" s="51"/>
      <c r="U384" s="51"/>
      <c r="V384" s="51"/>
      <c r="W384" s="51"/>
      <c r="X384" s="131">
        <f>IF(NFI_Expiration=1,IF($A384&lt;VLOOKUP(I$5,NFI,5,0),1,0)*Data_NFI_t[[#This Row],[Hygiene Kit]],0)</f>
        <v>0</v>
      </c>
      <c r="Y384" s="131">
        <f>IF(NFI_Expiration=1,IF($A384&lt;VLOOKUP(J$5,NFI,5,0),1,0)*Data_NFI_t[[#This Row],[NFI Core Kit]],0)</f>
        <v>0</v>
      </c>
      <c r="Z384" s="112">
        <f>IF(NFI_Expiration=1,IF($A384&lt;VLOOKUP(K$5,NFI,5,0),1,0)*Data_NFI_t[[#This Row],[Sanitary Kit]],0)</f>
        <v>0</v>
      </c>
      <c r="AA384" s="112">
        <f>IF(NFI_Expiration=1,IF($A384&lt;VLOOKUP(L$5,NFI,5,0),1,0)*Data_NFI_t[[#This Row],[Mosquito net]],0)</f>
        <v>0</v>
      </c>
      <c r="AB384" s="112">
        <f>IF(NFI_Expiration=1,IF($A384&lt;VLOOKUP(M$5,NFI,5,0),1,0)*Data_NFI_t[[#This Row],[Tarpaulin]],0)</f>
        <v>0</v>
      </c>
      <c r="AC384" s="112">
        <f>IF(NFI_Expiration=1,IF($A384&lt;VLOOKUP(N$5,NFI,5,0),1,0)*Data_NFI_t[[#This Row],[Blanket]],0)</f>
        <v>0</v>
      </c>
      <c r="AD384" s="112">
        <f>IF(NFI_Expiration=1,IF($A384&lt;VLOOKUP(O$5,NFI,5,0),1,0)*Data_NFI_t[[#This Row],[Kitchen Set]],0)</f>
        <v>0</v>
      </c>
      <c r="AE384" s="112">
        <f>IF(NFI_Expiration=1,IF($A384&lt;VLOOKUP(P$5,NFI,5,0),1,0)*Data_NFI_t[[#This Row],[Complementary Kit]],0)</f>
        <v>0</v>
      </c>
      <c r="AF384" s="112">
        <f>IF(NFI_Expiration=1,IF($A384&lt;VLOOKUP(Q$5,NFI,5,0),1,0)*Data_NFI_t[[#This Row],[Plastic Bucket]],0)</f>
        <v>0</v>
      </c>
      <c r="AG384" s="112">
        <f>IF(NFI_Expiration=1,IF($A384&lt;VLOOKUP(R$5,NFI,5,0),1,0)*Data_NFI_t[[#This Row],[Jerry Can]],0)</f>
        <v>0</v>
      </c>
      <c r="AH384" s="131">
        <f>IF(NFI_Expiration=1,IF($A384&lt;VLOOKUP(S$5,NFI,5,0),1,0)*Data_NFI_t[[#This Row],[Plastic Mat]],0)*IF(Data_NFI_t[[#This Row],[Distribution Date]]&gt;"01-06-2015",1,2.5)</f>
        <v>0</v>
      </c>
      <c r="AI384" s="901">
        <f>IF(NFI_Expiration=1,IF($A384&lt;VLOOKUP(T$5,NFI,5,0),1,0)*Data_NFI_t[[#This Row],[Adult Clothes]],0)</f>
        <v>0</v>
      </c>
      <c r="AJ384" s="131">
        <f>IF(NFI_Expiration=1,IF($A384&lt;VLOOKUP(U$5,NFI,5,0),1,0)*Data_NFI_t[[#This Row],[Children Clothes]],0)</f>
        <v>0</v>
      </c>
      <c r="AK384" s="131">
        <f>IF(NFI_Expiration=1,IF($A384&lt;VLOOKUP(V$5,NFI,5,0),1,0)*Data_NFI_t[[#This Row],[Sewing Kit]],0)</f>
        <v>0</v>
      </c>
      <c r="AL384" s="901">
        <f>IF(NFI_Expiration=1,IF($A384&lt;VLOOKUP(V$5,NFI,5,0),1,0)*Data_NFI_t[[#This Row],[Solar Lantern]],0)</f>
        <v>0</v>
      </c>
      <c r="AM384" s="131" t="str">
        <f ca="1">IFERROR(OFFSET(Camp_List[P_Code],MATCH(Data_NFI_t[[#This Row],[Camp Name]],Camp_List[Camp Name],0)-1,0,1,1),"")</f>
        <v/>
      </c>
      <c r="AN384" s="513" t="str">
        <f ca="1">IFERROR(OFFSET(Camp_List[Status],MATCH(Data_NFI_t[[#This Row],[Camp Name]],Camp_List[Camp Name],0)-1,0,1,1),"")</f>
        <v/>
      </c>
      <c r="AO384" s="131"/>
    </row>
    <row r="385" spans="1:44" s="90" customFormat="1" ht="19.5" customHeight="1" x14ac:dyDescent="0.25">
      <c r="A385" s="242">
        <f t="shared" si="7"/>
        <v>55.6</v>
      </c>
      <c r="B385" s="242">
        <f>YEAR(Data_NFI_t[[#This Row],[Distribution Date]])</f>
        <v>2012</v>
      </c>
      <c r="C385" s="913">
        <v>41188</v>
      </c>
      <c r="D385" s="489" t="s">
        <v>285</v>
      </c>
      <c r="E385" s="488"/>
      <c r="F385" s="489" t="s">
        <v>7</v>
      </c>
      <c r="G385" s="790" t="s">
        <v>19</v>
      </c>
      <c r="H385" s="790" t="s">
        <v>274</v>
      </c>
      <c r="I385" s="790"/>
      <c r="J385" s="51"/>
      <c r="K385" s="51"/>
      <c r="L385" s="51"/>
      <c r="M385" s="51">
        <v>100</v>
      </c>
      <c r="N385" s="51"/>
      <c r="O385" s="51"/>
      <c r="P385" s="51"/>
      <c r="Q385" s="51"/>
      <c r="R385" s="511"/>
      <c r="S385" s="51"/>
      <c r="T385" s="51"/>
      <c r="U385" s="51"/>
      <c r="V385" s="51"/>
      <c r="W385" s="51"/>
      <c r="X385" s="131">
        <f>IF(NFI_Expiration=1,IF($A385&lt;VLOOKUP(I$5,NFI,5,0),1,0)*Data_NFI_t[[#This Row],[Hygiene Kit]],0)</f>
        <v>0</v>
      </c>
      <c r="Y385" s="131">
        <f>IF(NFI_Expiration=1,IF($A385&lt;VLOOKUP(J$5,NFI,5,0),1,0)*Data_NFI_t[[#This Row],[NFI Core Kit]],0)</f>
        <v>0</v>
      </c>
      <c r="Z385" s="112">
        <f>IF(NFI_Expiration=1,IF($A385&lt;VLOOKUP(K$5,NFI,5,0),1,0)*Data_NFI_t[[#This Row],[Sanitary Kit]],0)</f>
        <v>0</v>
      </c>
      <c r="AA385" s="112">
        <f>IF(NFI_Expiration=1,IF($A385&lt;VLOOKUP(L$5,NFI,5,0),1,0)*Data_NFI_t[[#This Row],[Mosquito net]],0)</f>
        <v>0</v>
      </c>
      <c r="AB385" s="112">
        <f>IF(NFI_Expiration=1,IF($A385&lt;VLOOKUP(M$5,NFI,5,0),1,0)*Data_NFI_t[[#This Row],[Tarpaulin]],0)</f>
        <v>0</v>
      </c>
      <c r="AC385" s="112">
        <f>IF(NFI_Expiration=1,IF($A385&lt;VLOOKUP(N$5,NFI,5,0),1,0)*Data_NFI_t[[#This Row],[Blanket]],0)</f>
        <v>0</v>
      </c>
      <c r="AD385" s="112">
        <f>IF(NFI_Expiration=1,IF($A385&lt;VLOOKUP(O$5,NFI,5,0),1,0)*Data_NFI_t[[#This Row],[Kitchen Set]],0)</f>
        <v>0</v>
      </c>
      <c r="AE385" s="112">
        <f>IF(NFI_Expiration=1,IF($A385&lt;VLOOKUP(P$5,NFI,5,0),1,0)*Data_NFI_t[[#This Row],[Complementary Kit]],0)</f>
        <v>0</v>
      </c>
      <c r="AF385" s="112">
        <f>IF(NFI_Expiration=1,IF($A385&lt;VLOOKUP(Q$5,NFI,5,0),1,0)*Data_NFI_t[[#This Row],[Plastic Bucket]],0)</f>
        <v>0</v>
      </c>
      <c r="AG385" s="112">
        <f>IF(NFI_Expiration=1,IF($A385&lt;VLOOKUP(R$5,NFI,5,0),1,0)*Data_NFI_t[[#This Row],[Jerry Can]],0)</f>
        <v>0</v>
      </c>
      <c r="AH385" s="131">
        <f>IF(NFI_Expiration=1,IF($A385&lt;VLOOKUP(S$5,NFI,5,0),1,0)*Data_NFI_t[[#This Row],[Plastic Mat]],0)*IF(Data_NFI_t[[#This Row],[Distribution Date]]&gt;"01-06-2015",1,2.5)</f>
        <v>0</v>
      </c>
      <c r="AI385" s="901">
        <f>IF(NFI_Expiration=1,IF($A385&lt;VLOOKUP(T$5,NFI,5,0),1,0)*Data_NFI_t[[#This Row],[Adult Clothes]],0)</f>
        <v>0</v>
      </c>
      <c r="AJ385" s="131">
        <f>IF(NFI_Expiration=1,IF($A385&lt;VLOOKUP(U$5,NFI,5,0),1,0)*Data_NFI_t[[#This Row],[Children Clothes]],0)</f>
        <v>0</v>
      </c>
      <c r="AK385" s="131">
        <f>IF(NFI_Expiration=1,IF($A385&lt;VLOOKUP(V$5,NFI,5,0),1,0)*Data_NFI_t[[#This Row],[Sewing Kit]],0)</f>
        <v>0</v>
      </c>
      <c r="AL385" s="901">
        <f>IF(NFI_Expiration=1,IF($A385&lt;VLOOKUP(V$5,NFI,5,0),1,0)*Data_NFI_t[[#This Row],[Solar Lantern]],0)</f>
        <v>0</v>
      </c>
      <c r="AM385" s="131" t="str">
        <f ca="1">IFERROR(OFFSET(Camp_List[P_Code],MATCH(Data_NFI_t[[#This Row],[Camp Name]],Camp_List[Camp Name],0)-1,0,1,1),"")</f>
        <v/>
      </c>
      <c r="AN385" s="513" t="str">
        <f ca="1">IFERROR(OFFSET(Camp_List[Status],MATCH(Data_NFI_t[[#This Row],[Camp Name]],Camp_List[Camp Name],0)-1,0,1,1),"")</f>
        <v/>
      </c>
      <c r="AO385" s="131"/>
    </row>
    <row r="386" spans="1:44" s="90" customFormat="1" ht="19.5" customHeight="1" x14ac:dyDescent="0.25">
      <c r="A386" s="242">
        <f t="shared" si="7"/>
        <v>56.56666666666667</v>
      </c>
      <c r="B386" s="242">
        <f>YEAR(Data_NFI_t[[#This Row],[Distribution Date]])</f>
        <v>2012</v>
      </c>
      <c r="C386" s="913">
        <v>41159</v>
      </c>
      <c r="D386" s="489" t="s">
        <v>285</v>
      </c>
      <c r="E386" s="488"/>
      <c r="F386" s="489" t="s">
        <v>7</v>
      </c>
      <c r="G386" s="790" t="s">
        <v>19</v>
      </c>
      <c r="H386" s="790" t="s">
        <v>62</v>
      </c>
      <c r="I386" s="790"/>
      <c r="J386" s="51"/>
      <c r="K386" s="51"/>
      <c r="L386" s="51"/>
      <c r="M386" s="51">
        <v>55</v>
      </c>
      <c r="N386" s="51"/>
      <c r="O386" s="51"/>
      <c r="P386" s="51"/>
      <c r="Q386" s="51"/>
      <c r="R386" s="511"/>
      <c r="S386" s="51"/>
      <c r="T386" s="51"/>
      <c r="U386" s="51"/>
      <c r="V386" s="51"/>
      <c r="W386" s="51"/>
      <c r="X386" s="131">
        <f>IF(NFI_Expiration=1,IF($A386&lt;VLOOKUP(I$5,NFI,5,0),1,0)*Data_NFI_t[[#This Row],[Hygiene Kit]],0)</f>
        <v>0</v>
      </c>
      <c r="Y386" s="131">
        <f>IF(NFI_Expiration=1,IF($A386&lt;VLOOKUP(J$5,NFI,5,0),1,0)*Data_NFI_t[[#This Row],[NFI Core Kit]],0)</f>
        <v>0</v>
      </c>
      <c r="Z386" s="112">
        <f>IF(NFI_Expiration=1,IF($A386&lt;VLOOKUP(K$5,NFI,5,0),1,0)*Data_NFI_t[[#This Row],[Sanitary Kit]],0)</f>
        <v>0</v>
      </c>
      <c r="AA386" s="112">
        <f>IF(NFI_Expiration=1,IF($A386&lt;VLOOKUP(L$5,NFI,5,0),1,0)*Data_NFI_t[[#This Row],[Mosquito net]],0)</f>
        <v>0</v>
      </c>
      <c r="AB386" s="112">
        <f>IF(NFI_Expiration=1,IF($A386&lt;VLOOKUP(M$5,NFI,5,0),1,0)*Data_NFI_t[[#This Row],[Tarpaulin]],0)</f>
        <v>0</v>
      </c>
      <c r="AC386" s="112">
        <f>IF(NFI_Expiration=1,IF($A386&lt;VLOOKUP(N$5,NFI,5,0),1,0)*Data_NFI_t[[#This Row],[Blanket]],0)</f>
        <v>0</v>
      </c>
      <c r="AD386" s="112">
        <f>IF(NFI_Expiration=1,IF($A386&lt;VLOOKUP(O$5,NFI,5,0),1,0)*Data_NFI_t[[#This Row],[Kitchen Set]],0)</f>
        <v>0</v>
      </c>
      <c r="AE386" s="112">
        <f>IF(NFI_Expiration=1,IF($A386&lt;VLOOKUP(P$5,NFI,5,0),1,0)*Data_NFI_t[[#This Row],[Complementary Kit]],0)</f>
        <v>0</v>
      </c>
      <c r="AF386" s="112">
        <f>IF(NFI_Expiration=1,IF($A386&lt;VLOOKUP(Q$5,NFI,5,0),1,0)*Data_NFI_t[[#This Row],[Plastic Bucket]],0)</f>
        <v>0</v>
      </c>
      <c r="AG386" s="112">
        <f>IF(NFI_Expiration=1,IF($A386&lt;VLOOKUP(R$5,NFI,5,0),1,0)*Data_NFI_t[[#This Row],[Jerry Can]],0)</f>
        <v>0</v>
      </c>
      <c r="AH386" s="131">
        <f>IF(NFI_Expiration=1,IF($A386&lt;VLOOKUP(S$5,NFI,5,0),1,0)*Data_NFI_t[[#This Row],[Plastic Mat]],0)*IF(Data_NFI_t[[#This Row],[Distribution Date]]&gt;"01-06-2015",1,2.5)</f>
        <v>0</v>
      </c>
      <c r="AI386" s="901">
        <f>IF(NFI_Expiration=1,IF($A386&lt;VLOOKUP(T$5,NFI,5,0),1,0)*Data_NFI_t[[#This Row],[Adult Clothes]],0)</f>
        <v>0</v>
      </c>
      <c r="AJ386" s="131">
        <f>IF(NFI_Expiration=1,IF($A386&lt;VLOOKUP(U$5,NFI,5,0),1,0)*Data_NFI_t[[#This Row],[Children Clothes]],0)</f>
        <v>0</v>
      </c>
      <c r="AK386" s="131">
        <f>IF(NFI_Expiration=1,IF($A386&lt;VLOOKUP(V$5,NFI,5,0),1,0)*Data_NFI_t[[#This Row],[Sewing Kit]],0)</f>
        <v>0</v>
      </c>
      <c r="AL386" s="901">
        <f>IF(NFI_Expiration=1,IF($A386&lt;VLOOKUP(V$5,NFI,5,0),1,0)*Data_NFI_t[[#This Row],[Solar Lantern]],0)</f>
        <v>0</v>
      </c>
      <c r="AM386" s="131" t="str">
        <f ca="1">IFERROR(OFFSET(Camp_List[P_Code],MATCH(Data_NFI_t[[#This Row],[Camp Name]],Camp_List[Camp Name],0)-1,0,1,1),"")</f>
        <v>MMR012CMP040</v>
      </c>
      <c r="AN386" s="513" t="str">
        <f ca="1">IFERROR(OFFSET(Camp_List[Status],MATCH(Data_NFI_t[[#This Row],[Camp Name]],Camp_List[Camp Name],0)-1,0,1,1),"")</f>
        <v>Close</v>
      </c>
      <c r="AO386" s="131"/>
    </row>
    <row r="387" spans="1:44" s="90" customFormat="1" ht="19.5" customHeight="1" x14ac:dyDescent="0.25">
      <c r="A387" s="242">
        <f t="shared" si="7"/>
        <v>56.633333333333333</v>
      </c>
      <c r="B387" s="242">
        <f>YEAR(Data_NFI_t[[#This Row],[Distribution Date]])</f>
        <v>2012</v>
      </c>
      <c r="C387" s="913">
        <v>41157</v>
      </c>
      <c r="D387" s="489" t="s">
        <v>285</v>
      </c>
      <c r="E387" s="488"/>
      <c r="F387" s="489" t="s">
        <v>7</v>
      </c>
      <c r="G387" s="790" t="s">
        <v>19</v>
      </c>
      <c r="H387" s="790" t="s">
        <v>62</v>
      </c>
      <c r="I387" s="790"/>
      <c r="J387" s="51"/>
      <c r="K387" s="51"/>
      <c r="L387" s="51"/>
      <c r="M387" s="51"/>
      <c r="N387" s="51">
        <v>65</v>
      </c>
      <c r="O387" s="51"/>
      <c r="P387" s="51"/>
      <c r="Q387" s="51"/>
      <c r="R387" s="511"/>
      <c r="S387" s="51"/>
      <c r="T387" s="51"/>
      <c r="U387" s="51"/>
      <c r="V387" s="51"/>
      <c r="W387" s="51"/>
      <c r="X387" s="131">
        <f>IF(NFI_Expiration=1,IF($A387&lt;VLOOKUP(I$5,NFI,5,0),1,0)*Data_NFI_t[[#This Row],[Hygiene Kit]],0)</f>
        <v>0</v>
      </c>
      <c r="Y387" s="131">
        <f>IF(NFI_Expiration=1,IF($A387&lt;VLOOKUP(J$5,NFI,5,0),1,0)*Data_NFI_t[[#This Row],[NFI Core Kit]],0)</f>
        <v>0</v>
      </c>
      <c r="Z387" s="112">
        <f>IF(NFI_Expiration=1,IF($A387&lt;VLOOKUP(K$5,NFI,5,0),1,0)*Data_NFI_t[[#This Row],[Sanitary Kit]],0)</f>
        <v>0</v>
      </c>
      <c r="AA387" s="112">
        <f>IF(NFI_Expiration=1,IF($A387&lt;VLOOKUP(L$5,NFI,5,0),1,0)*Data_NFI_t[[#This Row],[Mosquito net]],0)</f>
        <v>0</v>
      </c>
      <c r="AB387" s="112">
        <f>IF(NFI_Expiration=1,IF($A387&lt;VLOOKUP(M$5,NFI,5,0),1,0)*Data_NFI_t[[#This Row],[Tarpaulin]],0)</f>
        <v>0</v>
      </c>
      <c r="AC387" s="112">
        <f>IF(NFI_Expiration=1,IF($A387&lt;VLOOKUP(N$5,NFI,5,0),1,0)*Data_NFI_t[[#This Row],[Blanket]],0)</f>
        <v>0</v>
      </c>
      <c r="AD387" s="112">
        <f>IF(NFI_Expiration=1,IF($A387&lt;VLOOKUP(O$5,NFI,5,0),1,0)*Data_NFI_t[[#This Row],[Kitchen Set]],0)</f>
        <v>0</v>
      </c>
      <c r="AE387" s="112">
        <f>IF(NFI_Expiration=1,IF($A387&lt;VLOOKUP(P$5,NFI,5,0),1,0)*Data_NFI_t[[#This Row],[Complementary Kit]],0)</f>
        <v>0</v>
      </c>
      <c r="AF387" s="112">
        <f>IF(NFI_Expiration=1,IF($A387&lt;VLOOKUP(Q$5,NFI,5,0),1,0)*Data_NFI_t[[#This Row],[Plastic Bucket]],0)</f>
        <v>0</v>
      </c>
      <c r="AG387" s="112">
        <f>IF(NFI_Expiration=1,IF($A387&lt;VLOOKUP(R$5,NFI,5,0),1,0)*Data_NFI_t[[#This Row],[Jerry Can]],0)</f>
        <v>0</v>
      </c>
      <c r="AH387" s="131">
        <f>IF(NFI_Expiration=1,IF($A387&lt;VLOOKUP(S$5,NFI,5,0),1,0)*Data_NFI_t[[#This Row],[Plastic Mat]],0)*IF(Data_NFI_t[[#This Row],[Distribution Date]]&gt;"01-06-2015",1,2.5)</f>
        <v>0</v>
      </c>
      <c r="AI387" s="901">
        <f>IF(NFI_Expiration=1,IF($A387&lt;VLOOKUP(T$5,NFI,5,0),1,0)*Data_NFI_t[[#This Row],[Adult Clothes]],0)</f>
        <v>0</v>
      </c>
      <c r="AJ387" s="131">
        <f>IF(NFI_Expiration=1,IF($A387&lt;VLOOKUP(U$5,NFI,5,0),1,0)*Data_NFI_t[[#This Row],[Children Clothes]],0)</f>
        <v>0</v>
      </c>
      <c r="AK387" s="131">
        <f>IF(NFI_Expiration=1,IF($A387&lt;VLOOKUP(V$5,NFI,5,0),1,0)*Data_NFI_t[[#This Row],[Sewing Kit]],0)</f>
        <v>0</v>
      </c>
      <c r="AL387" s="901">
        <f>IF(NFI_Expiration=1,IF($A387&lt;VLOOKUP(V$5,NFI,5,0),1,0)*Data_NFI_t[[#This Row],[Solar Lantern]],0)</f>
        <v>0</v>
      </c>
      <c r="AM387" s="131" t="str">
        <f ca="1">IFERROR(OFFSET(Camp_List[P_Code],MATCH(Data_NFI_t[[#This Row],[Camp Name]],Camp_List[Camp Name],0)-1,0,1,1),"")</f>
        <v>MMR012CMP040</v>
      </c>
      <c r="AN387" s="513" t="str">
        <f ca="1">IFERROR(OFFSET(Camp_List[Status],MATCH(Data_NFI_t[[#This Row],[Camp Name]],Camp_List[Camp Name],0)-1,0,1,1),"")</f>
        <v>Close</v>
      </c>
      <c r="AO387" s="131"/>
    </row>
    <row r="388" spans="1:44" s="90" customFormat="1" ht="19.5" customHeight="1" x14ac:dyDescent="0.25">
      <c r="A388" s="242">
        <f t="shared" si="7"/>
        <v>56.766666666666666</v>
      </c>
      <c r="B388" s="242">
        <f>YEAR(Data_NFI_t[[#This Row],[Distribution Date]])</f>
        <v>2012</v>
      </c>
      <c r="C388" s="913">
        <v>41153</v>
      </c>
      <c r="D388" s="489" t="s">
        <v>289</v>
      </c>
      <c r="E388" s="488" t="s">
        <v>285</v>
      </c>
      <c r="F388" s="489" t="s">
        <v>7</v>
      </c>
      <c r="G388" s="790" t="s">
        <v>19</v>
      </c>
      <c r="H388" s="790" t="s">
        <v>65</v>
      </c>
      <c r="I388" s="790"/>
      <c r="J388" s="51"/>
      <c r="K388" s="51"/>
      <c r="L388" s="51"/>
      <c r="M388" s="51"/>
      <c r="N388" s="51">
        <v>60</v>
      </c>
      <c r="O388" s="51"/>
      <c r="P388" s="51"/>
      <c r="Q388" s="51"/>
      <c r="R388" s="511"/>
      <c r="S388" s="51"/>
      <c r="T388" s="51"/>
      <c r="U388" s="51"/>
      <c r="V388" s="51"/>
      <c r="W388" s="51"/>
      <c r="X388" s="131">
        <f>IF(NFI_Expiration=1,IF($A388&lt;VLOOKUP(I$5,NFI,5,0),1,0)*Data_NFI_t[[#This Row],[Hygiene Kit]],0)</f>
        <v>0</v>
      </c>
      <c r="Y388" s="131">
        <f>IF(NFI_Expiration=1,IF($A388&lt;VLOOKUP(J$5,NFI,5,0),1,0)*Data_NFI_t[[#This Row],[NFI Core Kit]],0)</f>
        <v>0</v>
      </c>
      <c r="Z388" s="112">
        <f>IF(NFI_Expiration=1,IF($A388&lt;VLOOKUP(K$5,NFI,5,0),1,0)*Data_NFI_t[[#This Row],[Sanitary Kit]],0)</f>
        <v>0</v>
      </c>
      <c r="AA388" s="112">
        <f>IF(NFI_Expiration=1,IF($A388&lt;VLOOKUP(L$5,NFI,5,0),1,0)*Data_NFI_t[[#This Row],[Mosquito net]],0)</f>
        <v>0</v>
      </c>
      <c r="AB388" s="112">
        <f>IF(NFI_Expiration=1,IF($A388&lt;VLOOKUP(M$5,NFI,5,0),1,0)*Data_NFI_t[[#This Row],[Tarpaulin]],0)</f>
        <v>0</v>
      </c>
      <c r="AC388" s="112">
        <f>IF(NFI_Expiration=1,IF($A388&lt;VLOOKUP(N$5,NFI,5,0),1,0)*Data_NFI_t[[#This Row],[Blanket]],0)</f>
        <v>0</v>
      </c>
      <c r="AD388" s="112">
        <f>IF(NFI_Expiration=1,IF($A388&lt;VLOOKUP(O$5,NFI,5,0),1,0)*Data_NFI_t[[#This Row],[Kitchen Set]],0)</f>
        <v>0</v>
      </c>
      <c r="AE388" s="112">
        <f>IF(NFI_Expiration=1,IF($A388&lt;VLOOKUP(P$5,NFI,5,0),1,0)*Data_NFI_t[[#This Row],[Complementary Kit]],0)</f>
        <v>0</v>
      </c>
      <c r="AF388" s="112">
        <f>IF(NFI_Expiration=1,IF($A388&lt;VLOOKUP(Q$5,NFI,5,0),1,0)*Data_NFI_t[[#This Row],[Plastic Bucket]],0)</f>
        <v>0</v>
      </c>
      <c r="AG388" s="112">
        <f>IF(NFI_Expiration=1,IF($A388&lt;VLOOKUP(R$5,NFI,5,0),1,0)*Data_NFI_t[[#This Row],[Jerry Can]],0)</f>
        <v>0</v>
      </c>
      <c r="AH388" s="131">
        <f>IF(NFI_Expiration=1,IF($A388&lt;VLOOKUP(S$5,NFI,5,0),1,0)*Data_NFI_t[[#This Row],[Plastic Mat]],0)*IF(Data_NFI_t[[#This Row],[Distribution Date]]&gt;"01-06-2015",1,2.5)</f>
        <v>0</v>
      </c>
      <c r="AI388" s="901">
        <f>IF(NFI_Expiration=1,IF($A388&lt;VLOOKUP(T$5,NFI,5,0),1,0)*Data_NFI_t[[#This Row],[Adult Clothes]],0)</f>
        <v>0</v>
      </c>
      <c r="AJ388" s="131">
        <f>IF(NFI_Expiration=1,IF($A388&lt;VLOOKUP(U$5,NFI,5,0),1,0)*Data_NFI_t[[#This Row],[Children Clothes]],0)</f>
        <v>0</v>
      </c>
      <c r="AK388" s="131">
        <f>IF(NFI_Expiration=1,IF($A388&lt;VLOOKUP(V$5,NFI,5,0),1,0)*Data_NFI_t[[#This Row],[Sewing Kit]],0)</f>
        <v>0</v>
      </c>
      <c r="AL388" s="901">
        <f>IF(NFI_Expiration=1,IF($A388&lt;VLOOKUP(V$5,NFI,5,0),1,0)*Data_NFI_t[[#This Row],[Solar Lantern]],0)</f>
        <v>0</v>
      </c>
      <c r="AM388" s="131" t="str">
        <f ca="1">IFERROR(OFFSET(Camp_List[P_Code],MATCH(Data_NFI_t[[#This Row],[Camp Name]],Camp_List[Camp Name],0)-1,0,1,1),"")</f>
        <v>MMR012CMP043</v>
      </c>
      <c r="AN388" s="513" t="str">
        <f ca="1">IFERROR(OFFSET(Camp_List[Status],MATCH(Data_NFI_t[[#This Row],[Camp Name]],Camp_List[Camp Name],0)-1,0,1,1),"")</f>
        <v>Close</v>
      </c>
      <c r="AO388" s="131"/>
    </row>
    <row r="389" spans="1:44" s="90" customFormat="1" ht="19.5" customHeight="1" x14ac:dyDescent="0.25">
      <c r="A389" s="242">
        <f t="shared" si="7"/>
        <v>57</v>
      </c>
      <c r="B389" s="242">
        <f>YEAR(Data_NFI_t[[#This Row],[Distribution Date]])</f>
        <v>2012</v>
      </c>
      <c r="C389" s="913">
        <v>41146</v>
      </c>
      <c r="D389" s="489" t="s">
        <v>285</v>
      </c>
      <c r="E389" s="488"/>
      <c r="F389" s="489" t="s">
        <v>7</v>
      </c>
      <c r="G389" s="790" t="s">
        <v>15</v>
      </c>
      <c r="H389" s="790" t="s">
        <v>51</v>
      </c>
      <c r="I389" s="790"/>
      <c r="J389" s="51"/>
      <c r="K389" s="51"/>
      <c r="L389" s="51"/>
      <c r="M389" s="51">
        <v>114</v>
      </c>
      <c r="N389" s="51"/>
      <c r="O389" s="51"/>
      <c r="P389" s="51"/>
      <c r="Q389" s="51"/>
      <c r="R389" s="511"/>
      <c r="S389" s="51"/>
      <c r="T389" s="51"/>
      <c r="U389" s="51"/>
      <c r="V389" s="51"/>
      <c r="W389" s="51"/>
      <c r="X389" s="131">
        <f>IF(NFI_Expiration=1,IF($A389&lt;VLOOKUP(I$5,NFI,5,0),1,0)*Data_NFI_t[[#This Row],[Hygiene Kit]],0)</f>
        <v>0</v>
      </c>
      <c r="Y389" s="131">
        <f>IF(NFI_Expiration=1,IF($A389&lt;VLOOKUP(J$5,NFI,5,0),1,0)*Data_NFI_t[[#This Row],[NFI Core Kit]],0)</f>
        <v>0</v>
      </c>
      <c r="Z389" s="112">
        <f>IF(NFI_Expiration=1,IF($A389&lt;VLOOKUP(K$5,NFI,5,0),1,0)*Data_NFI_t[[#This Row],[Sanitary Kit]],0)</f>
        <v>0</v>
      </c>
      <c r="AA389" s="112">
        <f>IF(NFI_Expiration=1,IF($A389&lt;VLOOKUP(L$5,NFI,5,0),1,0)*Data_NFI_t[[#This Row],[Mosquito net]],0)</f>
        <v>0</v>
      </c>
      <c r="AB389" s="112">
        <f>IF(NFI_Expiration=1,IF($A389&lt;VLOOKUP(M$5,NFI,5,0),1,0)*Data_NFI_t[[#This Row],[Tarpaulin]],0)</f>
        <v>0</v>
      </c>
      <c r="AC389" s="112">
        <f>IF(NFI_Expiration=1,IF($A389&lt;VLOOKUP(N$5,NFI,5,0),1,0)*Data_NFI_t[[#This Row],[Blanket]],0)</f>
        <v>0</v>
      </c>
      <c r="AD389" s="112">
        <f>IF(NFI_Expiration=1,IF($A389&lt;VLOOKUP(O$5,NFI,5,0),1,0)*Data_NFI_t[[#This Row],[Kitchen Set]],0)</f>
        <v>0</v>
      </c>
      <c r="AE389" s="112">
        <f>IF(NFI_Expiration=1,IF($A389&lt;VLOOKUP(P$5,NFI,5,0),1,0)*Data_NFI_t[[#This Row],[Complementary Kit]],0)</f>
        <v>0</v>
      </c>
      <c r="AF389" s="112">
        <f>IF(NFI_Expiration=1,IF($A389&lt;VLOOKUP(Q$5,NFI,5,0),1,0)*Data_NFI_t[[#This Row],[Plastic Bucket]],0)</f>
        <v>0</v>
      </c>
      <c r="AG389" s="112">
        <f>IF(NFI_Expiration=1,IF($A389&lt;VLOOKUP(R$5,NFI,5,0),1,0)*Data_NFI_t[[#This Row],[Jerry Can]],0)</f>
        <v>0</v>
      </c>
      <c r="AH389" s="131">
        <f>IF(NFI_Expiration=1,IF($A389&lt;VLOOKUP(S$5,NFI,5,0),1,0)*Data_NFI_t[[#This Row],[Plastic Mat]],0)*IF(Data_NFI_t[[#This Row],[Distribution Date]]&gt;"01-06-2015",1,2.5)</f>
        <v>0</v>
      </c>
      <c r="AI389" s="901">
        <f>IF(NFI_Expiration=1,IF($A389&lt;VLOOKUP(T$5,NFI,5,0),1,0)*Data_NFI_t[[#This Row],[Adult Clothes]],0)</f>
        <v>0</v>
      </c>
      <c r="AJ389" s="131">
        <f>IF(NFI_Expiration=1,IF($A389&lt;VLOOKUP(U$5,NFI,5,0),1,0)*Data_NFI_t[[#This Row],[Children Clothes]],0)</f>
        <v>0</v>
      </c>
      <c r="AK389" s="131">
        <f>IF(NFI_Expiration=1,IF($A389&lt;VLOOKUP(V$5,NFI,5,0),1,0)*Data_NFI_t[[#This Row],[Sewing Kit]],0)</f>
        <v>0</v>
      </c>
      <c r="AL389" s="901">
        <f>IF(NFI_Expiration=1,IF($A389&lt;VLOOKUP(V$5,NFI,5,0),1,0)*Data_NFI_t[[#This Row],[Solar Lantern]],0)</f>
        <v>0</v>
      </c>
      <c r="AM389" s="131" t="str">
        <f ca="1">IFERROR(OFFSET(Camp_List[P_Code],MATCH(Data_NFI_t[[#This Row],[Camp Name]],Camp_List[Camp Name],0)-1,0,1,1),"")</f>
        <v>MMR012CMP027</v>
      </c>
      <c r="AN389" s="513" t="str">
        <f ca="1">IFERROR(OFFSET(Camp_List[Status],MATCH(Data_NFI_t[[#This Row],[Camp Name]],Camp_List[Camp Name],0)-1,0,1,1),"")</f>
        <v>Returned</v>
      </c>
      <c r="AO389" s="131"/>
    </row>
    <row r="390" spans="1:44" s="90" customFormat="1" ht="19.5" customHeight="1" x14ac:dyDescent="0.25">
      <c r="A390" s="242">
        <f t="shared" si="7"/>
        <v>57</v>
      </c>
      <c r="B390" s="242">
        <f>YEAR(Data_NFI_t[[#This Row],[Distribution Date]])</f>
        <v>2012</v>
      </c>
      <c r="C390" s="913">
        <v>41146</v>
      </c>
      <c r="D390" s="489" t="s">
        <v>285</v>
      </c>
      <c r="E390" s="488"/>
      <c r="F390" s="489" t="s">
        <v>7</v>
      </c>
      <c r="G390" s="790" t="s">
        <v>15</v>
      </c>
      <c r="H390" s="790" t="s">
        <v>50</v>
      </c>
      <c r="I390" s="790"/>
      <c r="J390" s="51"/>
      <c r="K390" s="51"/>
      <c r="L390" s="51"/>
      <c r="M390" s="51">
        <v>230</v>
      </c>
      <c r="N390" s="51"/>
      <c r="O390" s="51"/>
      <c r="P390" s="51">
        <v>230</v>
      </c>
      <c r="Q390" s="51"/>
      <c r="R390" s="511"/>
      <c r="S390" s="51"/>
      <c r="T390" s="51"/>
      <c r="U390" s="51"/>
      <c r="V390" s="51"/>
      <c r="W390" s="51"/>
      <c r="X390" s="131">
        <f>IF(NFI_Expiration=1,IF($A390&lt;VLOOKUP(I$5,NFI,5,0),1,0)*Data_NFI_t[[#This Row],[Hygiene Kit]],0)</f>
        <v>0</v>
      </c>
      <c r="Y390" s="131">
        <f>IF(NFI_Expiration=1,IF($A390&lt;VLOOKUP(J$5,NFI,5,0),1,0)*Data_NFI_t[[#This Row],[NFI Core Kit]],0)</f>
        <v>0</v>
      </c>
      <c r="Z390" s="112">
        <f>IF(NFI_Expiration=1,IF($A390&lt;VLOOKUP(K$5,NFI,5,0),1,0)*Data_NFI_t[[#This Row],[Sanitary Kit]],0)</f>
        <v>0</v>
      </c>
      <c r="AA390" s="112">
        <f>IF(NFI_Expiration=1,IF($A390&lt;VLOOKUP(L$5,NFI,5,0),1,0)*Data_NFI_t[[#This Row],[Mosquito net]],0)</f>
        <v>0</v>
      </c>
      <c r="AB390" s="112">
        <f>IF(NFI_Expiration=1,IF($A390&lt;VLOOKUP(M$5,NFI,5,0),1,0)*Data_NFI_t[[#This Row],[Tarpaulin]],0)</f>
        <v>0</v>
      </c>
      <c r="AC390" s="112">
        <f>IF(NFI_Expiration=1,IF($A390&lt;VLOOKUP(N$5,NFI,5,0),1,0)*Data_NFI_t[[#This Row],[Blanket]],0)</f>
        <v>0</v>
      </c>
      <c r="AD390" s="112">
        <f>IF(NFI_Expiration=1,IF($A390&lt;VLOOKUP(O$5,NFI,5,0),1,0)*Data_NFI_t[[#This Row],[Kitchen Set]],0)</f>
        <v>0</v>
      </c>
      <c r="AE390" s="112">
        <f>IF(NFI_Expiration=1,IF($A390&lt;VLOOKUP(P$5,NFI,5,0),1,0)*Data_NFI_t[[#This Row],[Complementary Kit]],0)</f>
        <v>0</v>
      </c>
      <c r="AF390" s="112">
        <f>IF(NFI_Expiration=1,IF($A390&lt;VLOOKUP(Q$5,NFI,5,0),1,0)*Data_NFI_t[[#This Row],[Plastic Bucket]],0)</f>
        <v>0</v>
      </c>
      <c r="AG390" s="112">
        <f>IF(NFI_Expiration=1,IF($A390&lt;VLOOKUP(R$5,NFI,5,0),1,0)*Data_NFI_t[[#This Row],[Jerry Can]],0)</f>
        <v>0</v>
      </c>
      <c r="AH390" s="131">
        <f>IF(NFI_Expiration=1,IF($A390&lt;VLOOKUP(S$5,NFI,5,0),1,0)*Data_NFI_t[[#This Row],[Plastic Mat]],0)*IF(Data_NFI_t[[#This Row],[Distribution Date]]&gt;"01-06-2015",1,2.5)</f>
        <v>0</v>
      </c>
      <c r="AI390" s="901">
        <f>IF(NFI_Expiration=1,IF($A390&lt;VLOOKUP(T$5,NFI,5,0),1,0)*Data_NFI_t[[#This Row],[Adult Clothes]],0)</f>
        <v>0</v>
      </c>
      <c r="AJ390" s="131">
        <f>IF(NFI_Expiration=1,IF($A390&lt;VLOOKUP(U$5,NFI,5,0),1,0)*Data_NFI_t[[#This Row],[Children Clothes]],0)</f>
        <v>0</v>
      </c>
      <c r="AK390" s="131">
        <f>IF(NFI_Expiration=1,IF($A390&lt;VLOOKUP(V$5,NFI,5,0),1,0)*Data_NFI_t[[#This Row],[Sewing Kit]],0)</f>
        <v>0</v>
      </c>
      <c r="AL390" s="901">
        <f>IF(NFI_Expiration=1,IF($A390&lt;VLOOKUP(V$5,NFI,5,0),1,0)*Data_NFI_t[[#This Row],[Solar Lantern]],0)</f>
        <v>0</v>
      </c>
      <c r="AM390" s="131" t="str">
        <f ca="1">IFERROR(OFFSET(Camp_List[P_Code],MATCH(Data_NFI_t[[#This Row],[Camp Name]],Camp_List[Camp Name],0)-1,0,1,1),"")</f>
        <v>MMR012CMP026</v>
      </c>
      <c r="AN390" s="513" t="str">
        <f ca="1">IFERROR(OFFSET(Camp_List[Status],MATCH(Data_NFI_t[[#This Row],[Camp Name]],Camp_List[Camp Name],0)-1,0,1,1),"")</f>
        <v>Returned</v>
      </c>
      <c r="AO390" s="131"/>
    </row>
    <row r="391" spans="1:44" s="90" customFormat="1" ht="19.5" customHeight="1" x14ac:dyDescent="0.25">
      <c r="A391" s="242">
        <f t="shared" si="7"/>
        <v>57</v>
      </c>
      <c r="B391" s="242">
        <f>YEAR(Data_NFI_t[[#This Row],[Distribution Date]])</f>
        <v>2012</v>
      </c>
      <c r="C391" s="913">
        <v>41146</v>
      </c>
      <c r="D391" s="489" t="s">
        <v>285</v>
      </c>
      <c r="E391" s="488"/>
      <c r="F391" s="489" t="s">
        <v>7</v>
      </c>
      <c r="G391" s="790" t="s">
        <v>15</v>
      </c>
      <c r="H391" s="790" t="s">
        <v>53</v>
      </c>
      <c r="I391" s="790"/>
      <c r="J391" s="51"/>
      <c r="K391" s="51"/>
      <c r="L391" s="51"/>
      <c r="M391" s="51">
        <v>144</v>
      </c>
      <c r="N391" s="51">
        <v>290</v>
      </c>
      <c r="O391" s="51">
        <v>40</v>
      </c>
      <c r="P391" s="51"/>
      <c r="Q391" s="51"/>
      <c r="R391" s="511"/>
      <c r="S391" s="51"/>
      <c r="T391" s="51"/>
      <c r="U391" s="51"/>
      <c r="V391" s="51"/>
      <c r="W391" s="51"/>
      <c r="X391" s="131">
        <f>IF(NFI_Expiration=1,IF($A391&lt;VLOOKUP(I$5,NFI,5,0),1,0)*Data_NFI_t[[#This Row],[Hygiene Kit]],0)</f>
        <v>0</v>
      </c>
      <c r="Y391" s="131">
        <f>IF(NFI_Expiration=1,IF($A391&lt;VLOOKUP(J$5,NFI,5,0),1,0)*Data_NFI_t[[#This Row],[NFI Core Kit]],0)</f>
        <v>0</v>
      </c>
      <c r="Z391" s="112">
        <f>IF(NFI_Expiration=1,IF($A391&lt;VLOOKUP(K$5,NFI,5,0),1,0)*Data_NFI_t[[#This Row],[Sanitary Kit]],0)</f>
        <v>0</v>
      </c>
      <c r="AA391" s="112">
        <f>IF(NFI_Expiration=1,IF($A391&lt;VLOOKUP(L$5,NFI,5,0),1,0)*Data_NFI_t[[#This Row],[Mosquito net]],0)</f>
        <v>0</v>
      </c>
      <c r="AB391" s="112">
        <f>IF(NFI_Expiration=1,IF($A391&lt;VLOOKUP(M$5,NFI,5,0),1,0)*Data_NFI_t[[#This Row],[Tarpaulin]],0)</f>
        <v>0</v>
      </c>
      <c r="AC391" s="112">
        <f>IF(NFI_Expiration=1,IF($A391&lt;VLOOKUP(N$5,NFI,5,0),1,0)*Data_NFI_t[[#This Row],[Blanket]],0)</f>
        <v>0</v>
      </c>
      <c r="AD391" s="112">
        <f>IF(NFI_Expiration=1,IF($A391&lt;VLOOKUP(O$5,NFI,5,0),1,0)*Data_NFI_t[[#This Row],[Kitchen Set]],0)</f>
        <v>0</v>
      </c>
      <c r="AE391" s="112">
        <f>IF(NFI_Expiration=1,IF($A391&lt;VLOOKUP(P$5,NFI,5,0),1,0)*Data_NFI_t[[#This Row],[Complementary Kit]],0)</f>
        <v>0</v>
      </c>
      <c r="AF391" s="112">
        <f>IF(NFI_Expiration=1,IF($A391&lt;VLOOKUP(Q$5,NFI,5,0),1,0)*Data_NFI_t[[#This Row],[Plastic Bucket]],0)</f>
        <v>0</v>
      </c>
      <c r="AG391" s="112">
        <f>IF(NFI_Expiration=1,IF($A391&lt;VLOOKUP(R$5,NFI,5,0),1,0)*Data_NFI_t[[#This Row],[Jerry Can]],0)</f>
        <v>0</v>
      </c>
      <c r="AH391" s="131">
        <f>IF(NFI_Expiration=1,IF($A391&lt;VLOOKUP(S$5,NFI,5,0),1,0)*Data_NFI_t[[#This Row],[Plastic Mat]],0)*IF(Data_NFI_t[[#This Row],[Distribution Date]]&gt;"01-06-2015",1,2.5)</f>
        <v>0</v>
      </c>
      <c r="AI391" s="901">
        <f>IF(NFI_Expiration=1,IF($A391&lt;VLOOKUP(T$5,NFI,5,0),1,0)*Data_NFI_t[[#This Row],[Adult Clothes]],0)</f>
        <v>0</v>
      </c>
      <c r="AJ391" s="131">
        <f>IF(NFI_Expiration=1,IF($A391&lt;VLOOKUP(U$5,NFI,5,0),1,0)*Data_NFI_t[[#This Row],[Children Clothes]],0)</f>
        <v>0</v>
      </c>
      <c r="AK391" s="131">
        <f>IF(NFI_Expiration=1,IF($A391&lt;VLOOKUP(V$5,NFI,5,0),1,0)*Data_NFI_t[[#This Row],[Sewing Kit]],0)</f>
        <v>0</v>
      </c>
      <c r="AL391" s="901">
        <f>IF(NFI_Expiration=1,IF($A391&lt;VLOOKUP(V$5,NFI,5,0),1,0)*Data_NFI_t[[#This Row],[Solar Lantern]],0)</f>
        <v>0</v>
      </c>
      <c r="AM391" s="131" t="str">
        <f ca="1">IFERROR(OFFSET(Camp_List[P_Code],MATCH(Data_NFI_t[[#This Row],[Camp Name]],Camp_List[Camp Name],0)-1,0,1,1),"")</f>
        <v>MMR012CMP029</v>
      </c>
      <c r="AN391" s="513" t="str">
        <f ca="1">IFERROR(OFFSET(Camp_List[Status],MATCH(Data_NFI_t[[#This Row],[Camp Name]],Camp_List[Camp Name],0)-1,0,1,1),"")</f>
        <v>Returned</v>
      </c>
      <c r="AO391" s="131"/>
    </row>
    <row r="392" spans="1:44" s="90" customFormat="1" ht="19.5" customHeight="1" x14ac:dyDescent="0.25">
      <c r="A392" s="242">
        <f t="shared" si="7"/>
        <v>57</v>
      </c>
      <c r="B392" s="242">
        <f>YEAR(Data_NFI_t[[#This Row],[Distribution Date]])</f>
        <v>2012</v>
      </c>
      <c r="C392" s="913">
        <v>41146</v>
      </c>
      <c r="D392" s="489" t="s">
        <v>285</v>
      </c>
      <c r="E392" s="488"/>
      <c r="F392" s="489" t="s">
        <v>7</v>
      </c>
      <c r="G392" s="790" t="s">
        <v>15</v>
      </c>
      <c r="H392" s="790" t="s">
        <v>52</v>
      </c>
      <c r="I392" s="790"/>
      <c r="J392" s="51"/>
      <c r="K392" s="51"/>
      <c r="L392" s="51"/>
      <c r="M392" s="51">
        <v>107</v>
      </c>
      <c r="N392" s="51"/>
      <c r="O392" s="51"/>
      <c r="P392" s="51"/>
      <c r="Q392" s="51"/>
      <c r="R392" s="511"/>
      <c r="S392" s="51"/>
      <c r="T392" s="51"/>
      <c r="U392" s="51"/>
      <c r="V392" s="51"/>
      <c r="W392" s="51"/>
      <c r="X392" s="131">
        <f>IF(NFI_Expiration=1,IF($A392&lt;VLOOKUP(I$5,NFI,5,0),1,0)*Data_NFI_t[[#This Row],[Hygiene Kit]],0)</f>
        <v>0</v>
      </c>
      <c r="Y392" s="131">
        <f>IF(NFI_Expiration=1,IF($A392&lt;VLOOKUP(J$5,NFI,5,0),1,0)*Data_NFI_t[[#This Row],[NFI Core Kit]],0)</f>
        <v>0</v>
      </c>
      <c r="Z392" s="112">
        <f>IF(NFI_Expiration=1,IF($A392&lt;VLOOKUP(K$5,NFI,5,0),1,0)*Data_NFI_t[[#This Row],[Sanitary Kit]],0)</f>
        <v>0</v>
      </c>
      <c r="AA392" s="112">
        <f>IF(NFI_Expiration=1,IF($A392&lt;VLOOKUP(L$5,NFI,5,0),1,0)*Data_NFI_t[[#This Row],[Mosquito net]],0)</f>
        <v>0</v>
      </c>
      <c r="AB392" s="112">
        <f>IF(NFI_Expiration=1,IF($A392&lt;VLOOKUP(M$5,NFI,5,0),1,0)*Data_NFI_t[[#This Row],[Tarpaulin]],0)</f>
        <v>0</v>
      </c>
      <c r="AC392" s="112">
        <f>IF(NFI_Expiration=1,IF($A392&lt;VLOOKUP(N$5,NFI,5,0),1,0)*Data_NFI_t[[#This Row],[Blanket]],0)</f>
        <v>0</v>
      </c>
      <c r="AD392" s="112">
        <f>IF(NFI_Expiration=1,IF($A392&lt;VLOOKUP(O$5,NFI,5,0),1,0)*Data_NFI_t[[#This Row],[Kitchen Set]],0)</f>
        <v>0</v>
      </c>
      <c r="AE392" s="112">
        <f>IF(NFI_Expiration=1,IF($A392&lt;VLOOKUP(P$5,NFI,5,0),1,0)*Data_NFI_t[[#This Row],[Complementary Kit]],0)</f>
        <v>0</v>
      </c>
      <c r="AF392" s="112">
        <f>IF(NFI_Expiration=1,IF($A392&lt;VLOOKUP(Q$5,NFI,5,0),1,0)*Data_NFI_t[[#This Row],[Plastic Bucket]],0)</f>
        <v>0</v>
      </c>
      <c r="AG392" s="112">
        <f>IF(NFI_Expiration=1,IF($A392&lt;VLOOKUP(R$5,NFI,5,0),1,0)*Data_NFI_t[[#This Row],[Jerry Can]],0)</f>
        <v>0</v>
      </c>
      <c r="AH392" s="131">
        <f>IF(NFI_Expiration=1,IF($A392&lt;VLOOKUP(S$5,NFI,5,0),1,0)*Data_NFI_t[[#This Row],[Plastic Mat]],0)*IF(Data_NFI_t[[#This Row],[Distribution Date]]&gt;"01-06-2015",1,2.5)</f>
        <v>0</v>
      </c>
      <c r="AI392" s="901">
        <f>IF(NFI_Expiration=1,IF($A392&lt;VLOOKUP(T$5,NFI,5,0),1,0)*Data_NFI_t[[#This Row],[Adult Clothes]],0)</f>
        <v>0</v>
      </c>
      <c r="AJ392" s="131">
        <f>IF(NFI_Expiration=1,IF($A392&lt;VLOOKUP(U$5,NFI,5,0),1,0)*Data_NFI_t[[#This Row],[Children Clothes]],0)</f>
        <v>0</v>
      </c>
      <c r="AK392" s="131">
        <f>IF(NFI_Expiration=1,IF($A392&lt;VLOOKUP(V$5,NFI,5,0),1,0)*Data_NFI_t[[#This Row],[Sewing Kit]],0)</f>
        <v>0</v>
      </c>
      <c r="AL392" s="901">
        <f>IF(NFI_Expiration=1,IF($A392&lt;VLOOKUP(V$5,NFI,5,0),1,0)*Data_NFI_t[[#This Row],[Solar Lantern]],0)</f>
        <v>0</v>
      </c>
      <c r="AM392" s="131" t="str">
        <f ca="1">IFERROR(OFFSET(Camp_List[P_Code],MATCH(Data_NFI_t[[#This Row],[Camp Name]],Camp_List[Camp Name],0)-1,0,1,1),"")</f>
        <v>MMR012CMP028</v>
      </c>
      <c r="AN392" s="513" t="str">
        <f ca="1">IFERROR(OFFSET(Camp_List[Status],MATCH(Data_NFI_t[[#This Row],[Camp Name]],Camp_List[Camp Name],0)-1,0,1,1),"")</f>
        <v>Returned</v>
      </c>
      <c r="AO392" s="131"/>
    </row>
    <row r="393" spans="1:44" s="90" customFormat="1" ht="19.5" customHeight="1" x14ac:dyDescent="0.25">
      <c r="A393" s="242">
        <f t="shared" si="7"/>
        <v>57.06666666666667</v>
      </c>
      <c r="B393" s="242">
        <f>YEAR(Data_NFI_t[[#This Row],[Distribution Date]])</f>
        <v>2012</v>
      </c>
      <c r="C393" s="913">
        <v>41144</v>
      </c>
      <c r="D393" s="489" t="s">
        <v>285</v>
      </c>
      <c r="E393" s="488"/>
      <c r="F393" s="489" t="s">
        <v>7</v>
      </c>
      <c r="G393" s="790" t="s">
        <v>19</v>
      </c>
      <c r="H393" s="790" t="s">
        <v>63</v>
      </c>
      <c r="I393" s="790"/>
      <c r="J393" s="51"/>
      <c r="K393" s="51"/>
      <c r="L393" s="51"/>
      <c r="M393" s="51">
        <v>805</v>
      </c>
      <c r="N393" s="51"/>
      <c r="O393" s="51"/>
      <c r="P393" s="51"/>
      <c r="Q393" s="51"/>
      <c r="R393" s="511"/>
      <c r="S393" s="51"/>
      <c r="T393" s="51"/>
      <c r="U393" s="51"/>
      <c r="V393" s="51"/>
      <c r="W393" s="51"/>
      <c r="X393" s="131">
        <f>IF(NFI_Expiration=1,IF($A393&lt;VLOOKUP(I$5,NFI,5,0),1,0)*Data_NFI_t[[#This Row],[Hygiene Kit]],0)</f>
        <v>0</v>
      </c>
      <c r="Y393" s="131">
        <f>IF(NFI_Expiration=1,IF($A393&lt;VLOOKUP(J$5,NFI,5,0),1,0)*Data_NFI_t[[#This Row],[NFI Core Kit]],0)</f>
        <v>0</v>
      </c>
      <c r="Z393" s="112">
        <f>IF(NFI_Expiration=1,IF($A393&lt;VLOOKUP(K$5,NFI,5,0),1,0)*Data_NFI_t[[#This Row],[Sanitary Kit]],0)</f>
        <v>0</v>
      </c>
      <c r="AA393" s="112">
        <f>IF(NFI_Expiration=1,IF($A393&lt;VLOOKUP(L$5,NFI,5,0),1,0)*Data_NFI_t[[#This Row],[Mosquito net]],0)</f>
        <v>0</v>
      </c>
      <c r="AB393" s="112">
        <f>IF(NFI_Expiration=1,IF($A393&lt;VLOOKUP(M$5,NFI,5,0),1,0)*Data_NFI_t[[#This Row],[Tarpaulin]],0)</f>
        <v>0</v>
      </c>
      <c r="AC393" s="112">
        <f>IF(NFI_Expiration=1,IF($A393&lt;VLOOKUP(N$5,NFI,5,0),1,0)*Data_NFI_t[[#This Row],[Blanket]],0)</f>
        <v>0</v>
      </c>
      <c r="AD393" s="112">
        <f>IF(NFI_Expiration=1,IF($A393&lt;VLOOKUP(O$5,NFI,5,0),1,0)*Data_NFI_t[[#This Row],[Kitchen Set]],0)</f>
        <v>0</v>
      </c>
      <c r="AE393" s="112">
        <f>IF(NFI_Expiration=1,IF($A393&lt;VLOOKUP(P$5,NFI,5,0),1,0)*Data_NFI_t[[#This Row],[Complementary Kit]],0)</f>
        <v>0</v>
      </c>
      <c r="AF393" s="112">
        <f>IF(NFI_Expiration=1,IF($A393&lt;VLOOKUP(Q$5,NFI,5,0),1,0)*Data_NFI_t[[#This Row],[Plastic Bucket]],0)</f>
        <v>0</v>
      </c>
      <c r="AG393" s="112">
        <f>IF(NFI_Expiration=1,IF($A393&lt;VLOOKUP(R$5,NFI,5,0),1,0)*Data_NFI_t[[#This Row],[Jerry Can]],0)</f>
        <v>0</v>
      </c>
      <c r="AH393" s="131">
        <f>IF(NFI_Expiration=1,IF($A393&lt;VLOOKUP(S$5,NFI,5,0),1,0)*Data_NFI_t[[#This Row],[Plastic Mat]],0)*IF(Data_NFI_t[[#This Row],[Distribution Date]]&gt;"01-06-2015",1,2.5)</f>
        <v>0</v>
      </c>
      <c r="AI393" s="901">
        <f>IF(NFI_Expiration=1,IF($A393&lt;VLOOKUP(T$5,NFI,5,0),1,0)*Data_NFI_t[[#This Row],[Adult Clothes]],0)</f>
        <v>0</v>
      </c>
      <c r="AJ393" s="131">
        <f>IF(NFI_Expiration=1,IF($A393&lt;VLOOKUP(U$5,NFI,5,0),1,0)*Data_NFI_t[[#This Row],[Children Clothes]],0)</f>
        <v>0</v>
      </c>
      <c r="AK393" s="131">
        <f>IF(NFI_Expiration=1,IF($A393&lt;VLOOKUP(V$5,NFI,5,0),1,0)*Data_NFI_t[[#This Row],[Sewing Kit]],0)</f>
        <v>0</v>
      </c>
      <c r="AL393" s="901">
        <f>IF(NFI_Expiration=1,IF($A393&lt;VLOOKUP(V$5,NFI,5,0),1,0)*Data_NFI_t[[#This Row],[Solar Lantern]],0)</f>
        <v>0</v>
      </c>
      <c r="AM393" s="131" t="str">
        <f ca="1">IFERROR(OFFSET(Camp_List[P_Code],MATCH(Data_NFI_t[[#This Row],[Camp Name]],Camp_List[Camp Name],0)-1,0,1,1),"")</f>
        <v>MMR012CMP041</v>
      </c>
      <c r="AN393" s="513" t="str">
        <f ca="1">IFERROR(OFFSET(Camp_List[Status],MATCH(Data_NFI_t[[#This Row],[Camp Name]],Camp_List[Camp Name],0)-1,0,1,1),"")</f>
        <v>Open</v>
      </c>
      <c r="AO393" s="131"/>
    </row>
    <row r="394" spans="1:44" s="90" customFormat="1" ht="19.5" customHeight="1" x14ac:dyDescent="0.25">
      <c r="A394" s="242">
        <f t="shared" si="7"/>
        <v>57.666666666666664</v>
      </c>
      <c r="B394" s="242">
        <f>YEAR(Data_NFI_t[[#This Row],[Distribution Date]])</f>
        <v>2012</v>
      </c>
      <c r="C394" s="913">
        <v>41126</v>
      </c>
      <c r="D394" s="489" t="s">
        <v>285</v>
      </c>
      <c r="E394" s="488"/>
      <c r="F394" s="489" t="s">
        <v>7</v>
      </c>
      <c r="G394" s="790" t="s">
        <v>19</v>
      </c>
      <c r="H394" s="790" t="s">
        <v>70</v>
      </c>
      <c r="I394" s="790"/>
      <c r="J394" s="51"/>
      <c r="K394" s="51"/>
      <c r="L394" s="51"/>
      <c r="M394" s="51">
        <v>98</v>
      </c>
      <c r="N394" s="51"/>
      <c r="O394" s="51"/>
      <c r="P394" s="51"/>
      <c r="Q394" s="51"/>
      <c r="R394" s="511"/>
      <c r="S394" s="51"/>
      <c r="T394" s="51"/>
      <c r="U394" s="51"/>
      <c r="V394" s="51"/>
      <c r="W394" s="51"/>
      <c r="X394" s="131">
        <f>IF(NFI_Expiration=1,IF($A394&lt;VLOOKUP(I$5,NFI,5,0),1,0)*Data_NFI_t[[#This Row],[Hygiene Kit]],0)</f>
        <v>0</v>
      </c>
      <c r="Y394" s="131">
        <f>IF(NFI_Expiration=1,IF($A394&lt;VLOOKUP(J$5,NFI,5,0),1,0)*Data_NFI_t[[#This Row],[NFI Core Kit]],0)</f>
        <v>0</v>
      </c>
      <c r="Z394" s="112">
        <f>IF(NFI_Expiration=1,IF($A394&lt;VLOOKUP(K$5,NFI,5,0),1,0)*Data_NFI_t[[#This Row],[Sanitary Kit]],0)</f>
        <v>0</v>
      </c>
      <c r="AA394" s="112">
        <f>IF(NFI_Expiration=1,IF($A394&lt;VLOOKUP(L$5,NFI,5,0),1,0)*Data_NFI_t[[#This Row],[Mosquito net]],0)</f>
        <v>0</v>
      </c>
      <c r="AB394" s="112">
        <f>IF(NFI_Expiration=1,IF($A394&lt;VLOOKUP(M$5,NFI,5,0),1,0)*Data_NFI_t[[#This Row],[Tarpaulin]],0)</f>
        <v>0</v>
      </c>
      <c r="AC394" s="112">
        <f>IF(NFI_Expiration=1,IF($A394&lt;VLOOKUP(N$5,NFI,5,0),1,0)*Data_NFI_t[[#This Row],[Blanket]],0)</f>
        <v>0</v>
      </c>
      <c r="AD394" s="112">
        <f>IF(NFI_Expiration=1,IF($A394&lt;VLOOKUP(O$5,NFI,5,0),1,0)*Data_NFI_t[[#This Row],[Kitchen Set]],0)</f>
        <v>0</v>
      </c>
      <c r="AE394" s="112">
        <f>IF(NFI_Expiration=1,IF($A394&lt;VLOOKUP(P$5,NFI,5,0),1,0)*Data_NFI_t[[#This Row],[Complementary Kit]],0)</f>
        <v>0</v>
      </c>
      <c r="AF394" s="112">
        <f>IF(NFI_Expiration=1,IF($A394&lt;VLOOKUP(Q$5,NFI,5,0),1,0)*Data_NFI_t[[#This Row],[Plastic Bucket]],0)</f>
        <v>0</v>
      </c>
      <c r="AG394" s="112">
        <f>IF(NFI_Expiration=1,IF($A394&lt;VLOOKUP(R$5,NFI,5,0),1,0)*Data_NFI_t[[#This Row],[Jerry Can]],0)</f>
        <v>0</v>
      </c>
      <c r="AH394" s="131">
        <f>IF(NFI_Expiration=1,IF($A394&lt;VLOOKUP(S$5,NFI,5,0),1,0)*Data_NFI_t[[#This Row],[Plastic Mat]],0)*IF(Data_NFI_t[[#This Row],[Distribution Date]]&gt;"01-06-2015",1,2.5)</f>
        <v>0</v>
      </c>
      <c r="AI394" s="901">
        <f>IF(NFI_Expiration=1,IF($A394&lt;VLOOKUP(T$5,NFI,5,0),1,0)*Data_NFI_t[[#This Row],[Adult Clothes]],0)</f>
        <v>0</v>
      </c>
      <c r="AJ394" s="131">
        <f>IF(NFI_Expiration=1,IF($A394&lt;VLOOKUP(U$5,NFI,5,0),1,0)*Data_NFI_t[[#This Row],[Children Clothes]],0)</f>
        <v>0</v>
      </c>
      <c r="AK394" s="131">
        <f>IF(NFI_Expiration=1,IF($A394&lt;VLOOKUP(V$5,NFI,5,0),1,0)*Data_NFI_t[[#This Row],[Sewing Kit]],0)</f>
        <v>0</v>
      </c>
      <c r="AL394" s="901">
        <f>IF(NFI_Expiration=1,IF($A394&lt;VLOOKUP(V$5,NFI,5,0),1,0)*Data_NFI_t[[#This Row],[Solar Lantern]],0)</f>
        <v>0</v>
      </c>
      <c r="AM394" s="131" t="str">
        <f ca="1">IFERROR(OFFSET(Camp_List[P_Code],MATCH(Data_NFI_t[[#This Row],[Camp Name]],Camp_List[Camp Name],0)-1,0,1,1),"")</f>
        <v>MMR012CMP048</v>
      </c>
      <c r="AN394" s="513" t="str">
        <f ca="1">IFERROR(OFFSET(Camp_List[Status],MATCH(Data_NFI_t[[#This Row],[Camp Name]],Camp_List[Camp Name],0)-1,0,1,1),"")</f>
        <v>Open</v>
      </c>
      <c r="AO394" s="131"/>
    </row>
    <row r="395" spans="1:44" s="90" customFormat="1" ht="19.5" customHeight="1" x14ac:dyDescent="0.25">
      <c r="A395" s="242">
        <f t="shared" si="7"/>
        <v>57.866666666666667</v>
      </c>
      <c r="B395" s="242">
        <f>YEAR(Data_NFI_t[[#This Row],[Distribution Date]])</f>
        <v>2012</v>
      </c>
      <c r="C395" s="913">
        <v>41120</v>
      </c>
      <c r="D395" s="489" t="s">
        <v>285</v>
      </c>
      <c r="E395" s="488"/>
      <c r="F395" s="489" t="s">
        <v>7</v>
      </c>
      <c r="G395" s="790" t="s">
        <v>19</v>
      </c>
      <c r="H395" s="790" t="s">
        <v>67</v>
      </c>
      <c r="I395" s="790"/>
      <c r="J395" s="51"/>
      <c r="K395" s="51"/>
      <c r="L395" s="51"/>
      <c r="M395" s="51">
        <v>461</v>
      </c>
      <c r="N395" s="51"/>
      <c r="O395" s="51"/>
      <c r="P395" s="51"/>
      <c r="Q395" s="51"/>
      <c r="R395" s="511"/>
      <c r="S395" s="51"/>
      <c r="T395" s="51"/>
      <c r="U395" s="51"/>
      <c r="V395" s="51"/>
      <c r="W395" s="51"/>
      <c r="X395" s="131">
        <f>IF(NFI_Expiration=1,IF($A395&lt;VLOOKUP(I$5,NFI,5,0),1,0)*Data_NFI_t[[#This Row],[Hygiene Kit]],0)</f>
        <v>0</v>
      </c>
      <c r="Y395" s="131">
        <f>IF(NFI_Expiration=1,IF($A395&lt;VLOOKUP(J$5,NFI,5,0),1,0)*Data_NFI_t[[#This Row],[NFI Core Kit]],0)</f>
        <v>0</v>
      </c>
      <c r="Z395" s="112">
        <f>IF(NFI_Expiration=1,IF($A395&lt;VLOOKUP(K$5,NFI,5,0),1,0)*Data_NFI_t[[#This Row],[Sanitary Kit]],0)</f>
        <v>0</v>
      </c>
      <c r="AA395" s="112">
        <f>IF(NFI_Expiration=1,IF($A395&lt;VLOOKUP(L$5,NFI,5,0),1,0)*Data_NFI_t[[#This Row],[Mosquito net]],0)</f>
        <v>0</v>
      </c>
      <c r="AB395" s="112">
        <f>IF(NFI_Expiration=1,IF($A395&lt;VLOOKUP(M$5,NFI,5,0),1,0)*Data_NFI_t[[#This Row],[Tarpaulin]],0)</f>
        <v>0</v>
      </c>
      <c r="AC395" s="112">
        <f>IF(NFI_Expiration=1,IF($A395&lt;VLOOKUP(N$5,NFI,5,0),1,0)*Data_NFI_t[[#This Row],[Blanket]],0)</f>
        <v>0</v>
      </c>
      <c r="AD395" s="112">
        <f>IF(NFI_Expiration=1,IF($A395&lt;VLOOKUP(O$5,NFI,5,0),1,0)*Data_NFI_t[[#This Row],[Kitchen Set]],0)</f>
        <v>0</v>
      </c>
      <c r="AE395" s="112">
        <f>IF(NFI_Expiration=1,IF($A395&lt;VLOOKUP(P$5,NFI,5,0),1,0)*Data_NFI_t[[#This Row],[Complementary Kit]],0)</f>
        <v>0</v>
      </c>
      <c r="AF395" s="112">
        <f>IF(NFI_Expiration=1,IF($A395&lt;VLOOKUP(Q$5,NFI,5,0),1,0)*Data_NFI_t[[#This Row],[Plastic Bucket]],0)</f>
        <v>0</v>
      </c>
      <c r="AG395" s="112">
        <f>IF(NFI_Expiration=1,IF($A395&lt;VLOOKUP(R$5,NFI,5,0),1,0)*Data_NFI_t[[#This Row],[Jerry Can]],0)</f>
        <v>0</v>
      </c>
      <c r="AH395" s="131">
        <f>IF(NFI_Expiration=1,IF($A395&lt;VLOOKUP(S$5,NFI,5,0),1,0)*Data_NFI_t[[#This Row],[Plastic Mat]],0)*IF(Data_NFI_t[[#This Row],[Distribution Date]]&gt;"01-06-2015",1,2.5)</f>
        <v>0</v>
      </c>
      <c r="AI395" s="901">
        <f>IF(NFI_Expiration=1,IF($A395&lt;VLOOKUP(T$5,NFI,5,0),1,0)*Data_NFI_t[[#This Row],[Adult Clothes]],0)</f>
        <v>0</v>
      </c>
      <c r="AJ395" s="131">
        <f>IF(NFI_Expiration=1,IF($A395&lt;VLOOKUP(U$5,NFI,5,0),1,0)*Data_NFI_t[[#This Row],[Children Clothes]],0)</f>
        <v>0</v>
      </c>
      <c r="AK395" s="131">
        <f>IF(NFI_Expiration=1,IF($A395&lt;VLOOKUP(V$5,NFI,5,0),1,0)*Data_NFI_t[[#This Row],[Sewing Kit]],0)</f>
        <v>0</v>
      </c>
      <c r="AL395" s="901">
        <f>IF(NFI_Expiration=1,IF($A395&lt;VLOOKUP(V$5,NFI,5,0),1,0)*Data_NFI_t[[#This Row],[Solar Lantern]],0)</f>
        <v>0</v>
      </c>
      <c r="AM395" s="131" t="str">
        <f ca="1">IFERROR(OFFSET(Camp_List[P_Code],MATCH(Data_NFI_t[[#This Row],[Camp Name]],Camp_List[Camp Name],0)-1,0,1,1),"")</f>
        <v>MMR012CMP045</v>
      </c>
      <c r="AN395" s="513" t="str">
        <f ca="1">IFERROR(OFFSET(Camp_List[Status],MATCH(Data_NFI_t[[#This Row],[Camp Name]],Camp_List[Camp Name],0)-1,0,1,1),"")</f>
        <v>Open</v>
      </c>
      <c r="AO395" s="131"/>
    </row>
    <row r="396" spans="1:44" s="90" customFormat="1" ht="19.5" customHeight="1" x14ac:dyDescent="0.25">
      <c r="A396" s="242">
        <f t="shared" si="7"/>
        <v>57.866666666666667</v>
      </c>
      <c r="B396" s="242">
        <f>YEAR(Data_NFI_t[[#This Row],[Distribution Date]])</f>
        <v>2012</v>
      </c>
      <c r="C396" s="913">
        <v>41120</v>
      </c>
      <c r="D396" s="489" t="s">
        <v>285</v>
      </c>
      <c r="E396" s="488"/>
      <c r="F396" s="489" t="s">
        <v>7</v>
      </c>
      <c r="G396" s="790" t="s">
        <v>19</v>
      </c>
      <c r="H396" s="790" t="s">
        <v>70</v>
      </c>
      <c r="I396" s="790"/>
      <c r="J396" s="51"/>
      <c r="K396" s="51"/>
      <c r="L396" s="51"/>
      <c r="M396" s="51">
        <v>11</v>
      </c>
      <c r="N396" s="51"/>
      <c r="O396" s="51"/>
      <c r="P396" s="51"/>
      <c r="Q396" s="51"/>
      <c r="R396" s="511"/>
      <c r="S396" s="51"/>
      <c r="T396" s="51"/>
      <c r="U396" s="51"/>
      <c r="V396" s="51"/>
      <c r="W396" s="51"/>
      <c r="X396" s="131">
        <f>IF(NFI_Expiration=1,IF($A396&lt;VLOOKUP(I$5,NFI,5,0),1,0)*Data_NFI_t[[#This Row],[Hygiene Kit]],0)</f>
        <v>0</v>
      </c>
      <c r="Y396" s="131">
        <f>IF(NFI_Expiration=1,IF($A396&lt;VLOOKUP(J$5,NFI,5,0),1,0)*Data_NFI_t[[#This Row],[NFI Core Kit]],0)</f>
        <v>0</v>
      </c>
      <c r="Z396" s="112">
        <f>IF(NFI_Expiration=1,IF($A396&lt;VLOOKUP(K$5,NFI,5,0),1,0)*Data_NFI_t[[#This Row],[Sanitary Kit]],0)</f>
        <v>0</v>
      </c>
      <c r="AA396" s="112">
        <f>IF(NFI_Expiration=1,IF($A396&lt;VLOOKUP(L$5,NFI,5,0),1,0)*Data_NFI_t[[#This Row],[Mosquito net]],0)</f>
        <v>0</v>
      </c>
      <c r="AB396" s="112">
        <f>IF(NFI_Expiration=1,IF($A396&lt;VLOOKUP(M$5,NFI,5,0),1,0)*Data_NFI_t[[#This Row],[Tarpaulin]],0)</f>
        <v>0</v>
      </c>
      <c r="AC396" s="112">
        <f>IF(NFI_Expiration=1,IF($A396&lt;VLOOKUP(N$5,NFI,5,0),1,0)*Data_NFI_t[[#This Row],[Blanket]],0)</f>
        <v>0</v>
      </c>
      <c r="AD396" s="112">
        <f>IF(NFI_Expiration=1,IF($A396&lt;VLOOKUP(O$5,NFI,5,0),1,0)*Data_NFI_t[[#This Row],[Kitchen Set]],0)</f>
        <v>0</v>
      </c>
      <c r="AE396" s="112">
        <f>IF(NFI_Expiration=1,IF($A396&lt;VLOOKUP(P$5,NFI,5,0),1,0)*Data_NFI_t[[#This Row],[Complementary Kit]],0)</f>
        <v>0</v>
      </c>
      <c r="AF396" s="112">
        <f>IF(NFI_Expiration=1,IF($A396&lt;VLOOKUP(Q$5,NFI,5,0),1,0)*Data_NFI_t[[#This Row],[Plastic Bucket]],0)</f>
        <v>0</v>
      </c>
      <c r="AG396" s="112">
        <f>IF(NFI_Expiration=1,IF($A396&lt;VLOOKUP(R$5,NFI,5,0),1,0)*Data_NFI_t[[#This Row],[Jerry Can]],0)</f>
        <v>0</v>
      </c>
      <c r="AH396" s="131">
        <f>IF(NFI_Expiration=1,IF($A396&lt;VLOOKUP(S$5,NFI,5,0),1,0)*Data_NFI_t[[#This Row],[Plastic Mat]],0)*IF(Data_NFI_t[[#This Row],[Distribution Date]]&gt;"01-06-2015",1,2.5)</f>
        <v>0</v>
      </c>
      <c r="AI396" s="901">
        <f>IF(NFI_Expiration=1,IF($A396&lt;VLOOKUP(T$5,NFI,5,0),1,0)*Data_NFI_t[[#This Row],[Adult Clothes]],0)</f>
        <v>0</v>
      </c>
      <c r="AJ396" s="131">
        <f>IF(NFI_Expiration=1,IF($A396&lt;VLOOKUP(U$5,NFI,5,0),1,0)*Data_NFI_t[[#This Row],[Children Clothes]],0)</f>
        <v>0</v>
      </c>
      <c r="AK396" s="131">
        <f>IF(NFI_Expiration=1,IF($A396&lt;VLOOKUP(V$5,NFI,5,0),1,0)*Data_NFI_t[[#This Row],[Sewing Kit]],0)</f>
        <v>0</v>
      </c>
      <c r="AL396" s="901">
        <f>IF(NFI_Expiration=1,IF($A396&lt;VLOOKUP(V$5,NFI,5,0),1,0)*Data_NFI_t[[#This Row],[Solar Lantern]],0)</f>
        <v>0</v>
      </c>
      <c r="AM396" s="131" t="str">
        <f ca="1">IFERROR(OFFSET(Camp_List[P_Code],MATCH(Data_NFI_t[[#This Row],[Camp Name]],Camp_List[Camp Name],0)-1,0,1,1),"")</f>
        <v>MMR012CMP048</v>
      </c>
      <c r="AN396" s="513" t="str">
        <f ca="1">IFERROR(OFFSET(Camp_List[Status],MATCH(Data_NFI_t[[#This Row],[Camp Name]],Camp_List[Camp Name],0)-1,0,1,1),"")</f>
        <v>Open</v>
      </c>
      <c r="AO396" s="131"/>
    </row>
    <row r="397" spans="1:44" s="90" customFormat="1" ht="19.5" customHeight="1" x14ac:dyDescent="0.25">
      <c r="A397" s="242">
        <f t="shared" si="7"/>
        <v>57.9</v>
      </c>
      <c r="B397" s="242">
        <f>YEAR(Data_NFI_t[[#This Row],[Distribution Date]])</f>
        <v>2012</v>
      </c>
      <c r="C397" s="913">
        <v>41119</v>
      </c>
      <c r="D397" s="489" t="s">
        <v>285</v>
      </c>
      <c r="E397" s="488"/>
      <c r="F397" s="489" t="s">
        <v>7</v>
      </c>
      <c r="G397" s="790" t="s">
        <v>19</v>
      </c>
      <c r="H397" s="790" t="s">
        <v>64</v>
      </c>
      <c r="I397" s="790"/>
      <c r="J397" s="51"/>
      <c r="K397" s="51"/>
      <c r="L397" s="51"/>
      <c r="M397" s="51">
        <v>22</v>
      </c>
      <c r="N397" s="51"/>
      <c r="O397" s="51"/>
      <c r="P397" s="51"/>
      <c r="Q397" s="51"/>
      <c r="R397" s="511"/>
      <c r="S397" s="51"/>
      <c r="T397" s="51"/>
      <c r="U397" s="51"/>
      <c r="V397" s="51"/>
      <c r="W397" s="51"/>
      <c r="X397" s="131">
        <f>IF(NFI_Expiration=1,IF($A397&lt;VLOOKUP(I$5,NFI,5,0),1,0)*Data_NFI_t[[#This Row],[Hygiene Kit]],0)</f>
        <v>0</v>
      </c>
      <c r="Y397" s="131">
        <f>IF(NFI_Expiration=1,IF($A397&lt;VLOOKUP(J$5,NFI,5,0),1,0)*Data_NFI_t[[#This Row],[NFI Core Kit]],0)</f>
        <v>0</v>
      </c>
      <c r="Z397" s="112">
        <f>IF(NFI_Expiration=1,IF($A397&lt;VLOOKUP(K$5,NFI,5,0),1,0)*Data_NFI_t[[#This Row],[Sanitary Kit]],0)</f>
        <v>0</v>
      </c>
      <c r="AA397" s="112">
        <f>IF(NFI_Expiration=1,IF($A397&lt;VLOOKUP(L$5,NFI,5,0),1,0)*Data_NFI_t[[#This Row],[Mosquito net]],0)</f>
        <v>0</v>
      </c>
      <c r="AB397" s="112">
        <f>IF(NFI_Expiration=1,IF($A397&lt;VLOOKUP(M$5,NFI,5,0),1,0)*Data_NFI_t[[#This Row],[Tarpaulin]],0)</f>
        <v>0</v>
      </c>
      <c r="AC397" s="112">
        <f>IF(NFI_Expiration=1,IF($A397&lt;VLOOKUP(N$5,NFI,5,0),1,0)*Data_NFI_t[[#This Row],[Blanket]],0)</f>
        <v>0</v>
      </c>
      <c r="AD397" s="112">
        <f>IF(NFI_Expiration=1,IF($A397&lt;VLOOKUP(O$5,NFI,5,0),1,0)*Data_NFI_t[[#This Row],[Kitchen Set]],0)</f>
        <v>0</v>
      </c>
      <c r="AE397" s="112">
        <f>IF(NFI_Expiration=1,IF($A397&lt;VLOOKUP(P$5,NFI,5,0),1,0)*Data_NFI_t[[#This Row],[Complementary Kit]],0)</f>
        <v>0</v>
      </c>
      <c r="AF397" s="112">
        <f>IF(NFI_Expiration=1,IF($A397&lt;VLOOKUP(Q$5,NFI,5,0),1,0)*Data_NFI_t[[#This Row],[Plastic Bucket]],0)</f>
        <v>0</v>
      </c>
      <c r="AG397" s="112">
        <f>IF(NFI_Expiration=1,IF($A397&lt;VLOOKUP(R$5,NFI,5,0),1,0)*Data_NFI_t[[#This Row],[Jerry Can]],0)</f>
        <v>0</v>
      </c>
      <c r="AH397" s="131">
        <f>IF(NFI_Expiration=1,IF($A397&lt;VLOOKUP(S$5,NFI,5,0),1,0)*Data_NFI_t[[#This Row],[Plastic Mat]],0)*IF(Data_NFI_t[[#This Row],[Distribution Date]]&gt;"01-06-2015",1,2.5)</f>
        <v>0</v>
      </c>
      <c r="AI397" s="901">
        <f>IF(NFI_Expiration=1,IF($A397&lt;VLOOKUP(T$5,NFI,5,0),1,0)*Data_NFI_t[[#This Row],[Adult Clothes]],0)</f>
        <v>0</v>
      </c>
      <c r="AJ397" s="131">
        <f>IF(NFI_Expiration=1,IF($A397&lt;VLOOKUP(U$5,NFI,5,0),1,0)*Data_NFI_t[[#This Row],[Children Clothes]],0)</f>
        <v>0</v>
      </c>
      <c r="AK397" s="131">
        <f>IF(NFI_Expiration=1,IF($A397&lt;VLOOKUP(V$5,NFI,5,0),1,0)*Data_NFI_t[[#This Row],[Sewing Kit]],0)</f>
        <v>0</v>
      </c>
      <c r="AL397" s="901">
        <f>IF(NFI_Expiration=1,IF($A397&lt;VLOOKUP(V$5,NFI,5,0),1,0)*Data_NFI_t[[#This Row],[Solar Lantern]],0)</f>
        <v>0</v>
      </c>
      <c r="AM397" s="131" t="str">
        <f ca="1">IFERROR(OFFSET(Camp_List[P_Code],MATCH(Data_NFI_t[[#This Row],[Camp Name]],Camp_List[Camp Name],0)-1,0,1,1),"")</f>
        <v>MMR012CMP042</v>
      </c>
      <c r="AN397" s="513" t="str">
        <f ca="1">IFERROR(OFFSET(Camp_List[Status],MATCH(Data_NFI_t[[#This Row],[Camp Name]],Camp_List[Camp Name],0)-1,0,1,1),"")</f>
        <v>Open</v>
      </c>
      <c r="AO397" s="131"/>
    </row>
    <row r="398" spans="1:44" s="90" customFormat="1" ht="19.5" customHeight="1" x14ac:dyDescent="0.25">
      <c r="A398" s="242">
        <f t="shared" si="7"/>
        <v>57.9</v>
      </c>
      <c r="B398" s="242">
        <f>YEAR(Data_NFI_t[[#This Row],[Distribution Date]])</f>
        <v>2012</v>
      </c>
      <c r="C398" s="913">
        <v>41119</v>
      </c>
      <c r="D398" s="489" t="s">
        <v>285</v>
      </c>
      <c r="E398" s="488"/>
      <c r="F398" s="489" t="s">
        <v>7</v>
      </c>
      <c r="G398" s="790" t="s">
        <v>19</v>
      </c>
      <c r="H398" s="790" t="s">
        <v>67</v>
      </c>
      <c r="I398" s="790"/>
      <c r="J398" s="51"/>
      <c r="K398" s="51"/>
      <c r="L398" s="51"/>
      <c r="M398" s="51">
        <v>456</v>
      </c>
      <c r="N398" s="51"/>
      <c r="O398" s="51"/>
      <c r="P398" s="51"/>
      <c r="Q398" s="51"/>
      <c r="R398" s="511"/>
      <c r="S398" s="51"/>
      <c r="T398" s="51"/>
      <c r="U398" s="51"/>
      <c r="V398" s="51"/>
      <c r="W398" s="51"/>
      <c r="X398" s="131">
        <f>IF(NFI_Expiration=1,IF($A398&lt;VLOOKUP(I$5,NFI,5,0),1,0)*Data_NFI_t[[#This Row],[Hygiene Kit]],0)</f>
        <v>0</v>
      </c>
      <c r="Y398" s="131">
        <f>IF(NFI_Expiration=1,IF($A398&lt;VLOOKUP(J$5,NFI,5,0),1,0)*Data_NFI_t[[#This Row],[NFI Core Kit]],0)</f>
        <v>0</v>
      </c>
      <c r="Z398" s="112">
        <f>IF(NFI_Expiration=1,IF($A398&lt;VLOOKUP(K$5,NFI,5,0),1,0)*Data_NFI_t[[#This Row],[Sanitary Kit]],0)</f>
        <v>0</v>
      </c>
      <c r="AA398" s="112">
        <f>IF(NFI_Expiration=1,IF($A398&lt;VLOOKUP(L$5,NFI,5,0),1,0)*Data_NFI_t[[#This Row],[Mosquito net]],0)</f>
        <v>0</v>
      </c>
      <c r="AB398" s="112">
        <f>IF(NFI_Expiration=1,IF($A398&lt;VLOOKUP(M$5,NFI,5,0),1,0)*Data_NFI_t[[#This Row],[Tarpaulin]],0)</f>
        <v>0</v>
      </c>
      <c r="AC398" s="112">
        <f>IF(NFI_Expiration=1,IF($A398&lt;VLOOKUP(N$5,NFI,5,0),1,0)*Data_NFI_t[[#This Row],[Blanket]],0)</f>
        <v>0</v>
      </c>
      <c r="AD398" s="112">
        <f>IF(NFI_Expiration=1,IF($A398&lt;VLOOKUP(O$5,NFI,5,0),1,0)*Data_NFI_t[[#This Row],[Kitchen Set]],0)</f>
        <v>0</v>
      </c>
      <c r="AE398" s="112">
        <f>IF(NFI_Expiration=1,IF($A398&lt;VLOOKUP(P$5,NFI,5,0),1,0)*Data_NFI_t[[#This Row],[Complementary Kit]],0)</f>
        <v>0</v>
      </c>
      <c r="AF398" s="112">
        <f>IF(NFI_Expiration=1,IF($A398&lt;VLOOKUP(Q$5,NFI,5,0),1,0)*Data_NFI_t[[#This Row],[Plastic Bucket]],0)</f>
        <v>0</v>
      </c>
      <c r="AG398" s="112">
        <f>IF(NFI_Expiration=1,IF($A398&lt;VLOOKUP(R$5,NFI,5,0),1,0)*Data_NFI_t[[#This Row],[Jerry Can]],0)</f>
        <v>0</v>
      </c>
      <c r="AH398" s="131">
        <f>IF(NFI_Expiration=1,IF($A398&lt;VLOOKUP(S$5,NFI,5,0),1,0)*Data_NFI_t[[#This Row],[Plastic Mat]],0)*IF(Data_NFI_t[[#This Row],[Distribution Date]]&gt;"01-06-2015",1,2.5)</f>
        <v>0</v>
      </c>
      <c r="AI398" s="901">
        <f>IF(NFI_Expiration=1,IF($A398&lt;VLOOKUP(T$5,NFI,5,0),1,0)*Data_NFI_t[[#This Row],[Adult Clothes]],0)</f>
        <v>0</v>
      </c>
      <c r="AJ398" s="131">
        <f>IF(NFI_Expiration=1,IF($A398&lt;VLOOKUP(U$5,NFI,5,0),1,0)*Data_NFI_t[[#This Row],[Children Clothes]],0)</f>
        <v>0</v>
      </c>
      <c r="AK398" s="131">
        <f>IF(NFI_Expiration=1,IF($A398&lt;VLOOKUP(V$5,NFI,5,0),1,0)*Data_NFI_t[[#This Row],[Sewing Kit]],0)</f>
        <v>0</v>
      </c>
      <c r="AL398" s="901">
        <f>IF(NFI_Expiration=1,IF($A398&lt;VLOOKUP(V$5,NFI,5,0),1,0)*Data_NFI_t[[#This Row],[Solar Lantern]],0)</f>
        <v>0</v>
      </c>
      <c r="AM398" s="131" t="str">
        <f ca="1">IFERROR(OFFSET(Camp_List[P_Code],MATCH(Data_NFI_t[[#This Row],[Camp Name]],Camp_List[Camp Name],0)-1,0,1,1),"")</f>
        <v>MMR012CMP045</v>
      </c>
      <c r="AN398" s="513" t="str">
        <f ca="1">IFERROR(OFFSET(Camp_List[Status],MATCH(Data_NFI_t[[#This Row],[Camp Name]],Camp_List[Camp Name],0)-1,0,1,1),"")</f>
        <v>Open</v>
      </c>
      <c r="AO398" s="131"/>
      <c r="AR398" s="90" t="s">
        <v>889</v>
      </c>
    </row>
    <row r="399" spans="1:44" s="90" customFormat="1" ht="19.5" customHeight="1" x14ac:dyDescent="0.25">
      <c r="A399" s="242">
        <f t="shared" si="7"/>
        <v>58.166666666666664</v>
      </c>
      <c r="B399" s="242">
        <f>YEAR(Data_NFI_t[[#This Row],[Distribution Date]])</f>
        <v>2012</v>
      </c>
      <c r="C399" s="913">
        <v>41111</v>
      </c>
      <c r="D399" s="489" t="s">
        <v>285</v>
      </c>
      <c r="E399" s="488"/>
      <c r="F399" s="489" t="s">
        <v>7</v>
      </c>
      <c r="G399" s="790" t="s">
        <v>19</v>
      </c>
      <c r="H399" s="790" t="s">
        <v>67</v>
      </c>
      <c r="I399" s="790"/>
      <c r="J399" s="51"/>
      <c r="K399" s="51"/>
      <c r="L399" s="51"/>
      <c r="M399" s="51">
        <v>117</v>
      </c>
      <c r="N399" s="51"/>
      <c r="O399" s="51"/>
      <c r="P399" s="51"/>
      <c r="Q399" s="51"/>
      <c r="R399" s="511"/>
      <c r="S399" s="51"/>
      <c r="T399" s="51"/>
      <c r="U399" s="51"/>
      <c r="V399" s="51"/>
      <c r="W399" s="51"/>
      <c r="X399" s="131">
        <f>IF(NFI_Expiration=1,IF($A399&lt;VLOOKUP(I$5,NFI,5,0),1,0)*Data_NFI_t[[#This Row],[Hygiene Kit]],0)</f>
        <v>0</v>
      </c>
      <c r="Y399" s="131">
        <f>IF(NFI_Expiration=1,IF($A399&lt;VLOOKUP(J$5,NFI,5,0),1,0)*Data_NFI_t[[#This Row],[NFI Core Kit]],0)</f>
        <v>0</v>
      </c>
      <c r="Z399" s="112">
        <f>IF(NFI_Expiration=1,IF($A399&lt;VLOOKUP(K$5,NFI,5,0),1,0)*Data_NFI_t[[#This Row],[Sanitary Kit]],0)</f>
        <v>0</v>
      </c>
      <c r="AA399" s="112">
        <f>IF(NFI_Expiration=1,IF($A399&lt;VLOOKUP(L$5,NFI,5,0),1,0)*Data_NFI_t[[#This Row],[Mosquito net]],0)</f>
        <v>0</v>
      </c>
      <c r="AB399" s="112">
        <f>IF(NFI_Expiration=1,IF($A399&lt;VLOOKUP(M$5,NFI,5,0),1,0)*Data_NFI_t[[#This Row],[Tarpaulin]],0)</f>
        <v>0</v>
      </c>
      <c r="AC399" s="112">
        <f>IF(NFI_Expiration=1,IF($A399&lt;VLOOKUP(N$5,NFI,5,0),1,0)*Data_NFI_t[[#This Row],[Blanket]],0)</f>
        <v>0</v>
      </c>
      <c r="AD399" s="112">
        <f>IF(NFI_Expiration=1,IF($A399&lt;VLOOKUP(O$5,NFI,5,0),1,0)*Data_NFI_t[[#This Row],[Kitchen Set]],0)</f>
        <v>0</v>
      </c>
      <c r="AE399" s="112">
        <f>IF(NFI_Expiration=1,IF($A399&lt;VLOOKUP(P$5,NFI,5,0),1,0)*Data_NFI_t[[#This Row],[Complementary Kit]],0)</f>
        <v>0</v>
      </c>
      <c r="AF399" s="112">
        <f>IF(NFI_Expiration=1,IF($A399&lt;VLOOKUP(Q$5,NFI,5,0),1,0)*Data_NFI_t[[#This Row],[Plastic Bucket]],0)</f>
        <v>0</v>
      </c>
      <c r="AG399" s="112">
        <f>IF(NFI_Expiration=1,IF($A399&lt;VLOOKUP(R$5,NFI,5,0),1,0)*Data_NFI_t[[#This Row],[Jerry Can]],0)</f>
        <v>0</v>
      </c>
      <c r="AH399" s="131">
        <f>IF(NFI_Expiration=1,IF($A399&lt;VLOOKUP(S$5,NFI,5,0),1,0)*Data_NFI_t[[#This Row],[Plastic Mat]],0)*IF(Data_NFI_t[[#This Row],[Distribution Date]]&gt;"01-06-2015",1,2.5)</f>
        <v>0</v>
      </c>
      <c r="AI399" s="901">
        <f>IF(NFI_Expiration=1,IF($A399&lt;VLOOKUP(T$5,NFI,5,0),1,0)*Data_NFI_t[[#This Row],[Adult Clothes]],0)</f>
        <v>0</v>
      </c>
      <c r="AJ399" s="131">
        <f>IF(NFI_Expiration=1,IF($A399&lt;VLOOKUP(U$5,NFI,5,0),1,0)*Data_NFI_t[[#This Row],[Children Clothes]],0)</f>
        <v>0</v>
      </c>
      <c r="AK399" s="131">
        <f>IF(NFI_Expiration=1,IF($A399&lt;VLOOKUP(V$5,NFI,5,0),1,0)*Data_NFI_t[[#This Row],[Sewing Kit]],0)</f>
        <v>0</v>
      </c>
      <c r="AL399" s="901">
        <f>IF(NFI_Expiration=1,IF($A399&lt;VLOOKUP(V$5,NFI,5,0),1,0)*Data_NFI_t[[#This Row],[Solar Lantern]],0)</f>
        <v>0</v>
      </c>
      <c r="AM399" s="131" t="str">
        <f ca="1">IFERROR(OFFSET(Camp_List[P_Code],MATCH(Data_NFI_t[[#This Row],[Camp Name]],Camp_List[Camp Name],0)-1,0,1,1),"")</f>
        <v>MMR012CMP045</v>
      </c>
      <c r="AN399" s="513" t="str">
        <f ca="1">IFERROR(OFFSET(Camp_List[Status],MATCH(Data_NFI_t[[#This Row],[Camp Name]],Camp_List[Camp Name],0)-1,0,1,1),"")</f>
        <v>Open</v>
      </c>
      <c r="AO399" s="131"/>
      <c r="AR399" s="90" t="s">
        <v>889</v>
      </c>
    </row>
    <row r="400" spans="1:44" s="90" customFormat="1" ht="19.5" customHeight="1" x14ac:dyDescent="0.25">
      <c r="A400" s="242">
        <f t="shared" si="7"/>
        <v>58.2</v>
      </c>
      <c r="B400" s="242">
        <f>YEAR(Data_NFI_t[[#This Row],[Distribution Date]])</f>
        <v>2012</v>
      </c>
      <c r="C400" s="913">
        <v>41110</v>
      </c>
      <c r="D400" s="489" t="s">
        <v>285</v>
      </c>
      <c r="E400" s="488"/>
      <c r="F400" s="489" t="s">
        <v>7</v>
      </c>
      <c r="G400" s="790" t="s">
        <v>19</v>
      </c>
      <c r="H400" s="790" t="s">
        <v>61</v>
      </c>
      <c r="I400" s="790"/>
      <c r="J400" s="51"/>
      <c r="K400" s="51"/>
      <c r="L400" s="51"/>
      <c r="M400" s="51">
        <v>383</v>
      </c>
      <c r="N400" s="51"/>
      <c r="O400" s="51"/>
      <c r="P400" s="51"/>
      <c r="Q400" s="51"/>
      <c r="R400" s="511"/>
      <c r="S400" s="51"/>
      <c r="T400" s="51"/>
      <c r="U400" s="51"/>
      <c r="V400" s="51"/>
      <c r="W400" s="51"/>
      <c r="X400" s="131">
        <f>IF(NFI_Expiration=1,IF($A400&lt;VLOOKUP(I$5,NFI,5,0),1,0)*Data_NFI_t[[#This Row],[Hygiene Kit]],0)</f>
        <v>0</v>
      </c>
      <c r="Y400" s="131">
        <f>IF(NFI_Expiration=1,IF($A400&lt;VLOOKUP(J$5,NFI,5,0),1,0)*Data_NFI_t[[#This Row],[NFI Core Kit]],0)</f>
        <v>0</v>
      </c>
      <c r="Z400" s="112">
        <f>IF(NFI_Expiration=1,IF($A400&lt;VLOOKUP(K$5,NFI,5,0),1,0)*Data_NFI_t[[#This Row],[Sanitary Kit]],0)</f>
        <v>0</v>
      </c>
      <c r="AA400" s="112">
        <f>IF(NFI_Expiration=1,IF($A400&lt;VLOOKUP(L$5,NFI,5,0),1,0)*Data_NFI_t[[#This Row],[Mosquito net]],0)</f>
        <v>0</v>
      </c>
      <c r="AB400" s="112">
        <f>IF(NFI_Expiration=1,IF($A400&lt;VLOOKUP(M$5,NFI,5,0),1,0)*Data_NFI_t[[#This Row],[Tarpaulin]],0)</f>
        <v>0</v>
      </c>
      <c r="AC400" s="112">
        <f>IF(NFI_Expiration=1,IF($A400&lt;VLOOKUP(N$5,NFI,5,0),1,0)*Data_NFI_t[[#This Row],[Blanket]],0)</f>
        <v>0</v>
      </c>
      <c r="AD400" s="112">
        <f>IF(NFI_Expiration=1,IF($A400&lt;VLOOKUP(O$5,NFI,5,0),1,0)*Data_NFI_t[[#This Row],[Kitchen Set]],0)</f>
        <v>0</v>
      </c>
      <c r="AE400" s="112">
        <f>IF(NFI_Expiration=1,IF($A400&lt;VLOOKUP(P$5,NFI,5,0),1,0)*Data_NFI_t[[#This Row],[Complementary Kit]],0)</f>
        <v>0</v>
      </c>
      <c r="AF400" s="112">
        <f>IF(NFI_Expiration=1,IF($A400&lt;VLOOKUP(Q$5,NFI,5,0),1,0)*Data_NFI_t[[#This Row],[Plastic Bucket]],0)</f>
        <v>0</v>
      </c>
      <c r="AG400" s="112">
        <f>IF(NFI_Expiration=1,IF($A400&lt;VLOOKUP(R$5,NFI,5,0),1,0)*Data_NFI_t[[#This Row],[Jerry Can]],0)</f>
        <v>0</v>
      </c>
      <c r="AH400" s="131">
        <f>IF(NFI_Expiration=1,IF($A400&lt;VLOOKUP(S$5,NFI,5,0),1,0)*Data_NFI_t[[#This Row],[Plastic Mat]],0)*IF(Data_NFI_t[[#This Row],[Distribution Date]]&gt;"01-06-2015",1,2.5)</f>
        <v>0</v>
      </c>
      <c r="AI400" s="901">
        <f>IF(NFI_Expiration=1,IF($A400&lt;VLOOKUP(T$5,NFI,5,0),1,0)*Data_NFI_t[[#This Row],[Adult Clothes]],0)</f>
        <v>0</v>
      </c>
      <c r="AJ400" s="131">
        <f>IF(NFI_Expiration=1,IF($A400&lt;VLOOKUP(U$5,NFI,5,0),1,0)*Data_NFI_t[[#This Row],[Children Clothes]],0)</f>
        <v>0</v>
      </c>
      <c r="AK400" s="131">
        <f>IF(NFI_Expiration=1,IF($A400&lt;VLOOKUP(V$5,NFI,5,0),1,0)*Data_NFI_t[[#This Row],[Sewing Kit]],0)</f>
        <v>0</v>
      </c>
      <c r="AL400" s="901">
        <f>IF(NFI_Expiration=1,IF($A400&lt;VLOOKUP(V$5,NFI,5,0),1,0)*Data_NFI_t[[#This Row],[Solar Lantern]],0)</f>
        <v>0</v>
      </c>
      <c r="AM400" s="131" t="str">
        <f ca="1">IFERROR(OFFSET(Camp_List[P_Code],MATCH(Data_NFI_t[[#This Row],[Camp Name]],Camp_List[Camp Name],0)-1,0,1,1),"")</f>
        <v>MMR012CMP039</v>
      </c>
      <c r="AN400" s="513" t="str">
        <f ca="1">IFERROR(OFFSET(Camp_List[Status],MATCH(Data_NFI_t[[#This Row],[Camp Name]],Camp_List[Camp Name],0)-1,0,1,1),"")</f>
        <v>Open</v>
      </c>
      <c r="AO400" s="131"/>
      <c r="AR400" s="90" t="s">
        <v>889</v>
      </c>
    </row>
    <row r="401" spans="1:44" s="90" customFormat="1" ht="19.5" customHeight="1" x14ac:dyDescent="0.25">
      <c r="A401" s="242">
        <f t="shared" si="7"/>
        <v>58.233333333333334</v>
      </c>
      <c r="B401" s="242">
        <f>YEAR(Data_NFI_t[[#This Row],[Distribution Date]])</f>
        <v>2012</v>
      </c>
      <c r="C401" s="913">
        <v>41109</v>
      </c>
      <c r="D401" s="489" t="s">
        <v>285</v>
      </c>
      <c r="E401" s="488"/>
      <c r="F401" s="489" t="s">
        <v>7</v>
      </c>
      <c r="G401" s="790" t="s">
        <v>19</v>
      </c>
      <c r="H401" s="790" t="s">
        <v>70</v>
      </c>
      <c r="I401" s="790"/>
      <c r="J401" s="51"/>
      <c r="K401" s="51"/>
      <c r="L401" s="51"/>
      <c r="M401" s="51">
        <v>572</v>
      </c>
      <c r="N401" s="51"/>
      <c r="O401" s="51"/>
      <c r="P401" s="51"/>
      <c r="Q401" s="51"/>
      <c r="R401" s="511"/>
      <c r="S401" s="51"/>
      <c r="T401" s="51"/>
      <c r="U401" s="51"/>
      <c r="V401" s="51"/>
      <c r="W401" s="51"/>
      <c r="X401" s="131">
        <f>IF(NFI_Expiration=1,IF($A401&lt;VLOOKUP(I$5,NFI,5,0),1,0)*Data_NFI_t[[#This Row],[Hygiene Kit]],0)</f>
        <v>0</v>
      </c>
      <c r="Y401" s="131">
        <f>IF(NFI_Expiration=1,IF($A401&lt;VLOOKUP(J$5,NFI,5,0),1,0)*Data_NFI_t[[#This Row],[NFI Core Kit]],0)</f>
        <v>0</v>
      </c>
      <c r="Z401" s="112">
        <f>IF(NFI_Expiration=1,IF($A401&lt;VLOOKUP(K$5,NFI,5,0),1,0)*Data_NFI_t[[#This Row],[Sanitary Kit]],0)</f>
        <v>0</v>
      </c>
      <c r="AA401" s="112">
        <f>IF(NFI_Expiration=1,IF($A401&lt;VLOOKUP(L$5,NFI,5,0),1,0)*Data_NFI_t[[#This Row],[Mosquito net]],0)</f>
        <v>0</v>
      </c>
      <c r="AB401" s="112">
        <f>IF(NFI_Expiration=1,IF($A401&lt;VLOOKUP(M$5,NFI,5,0),1,0)*Data_NFI_t[[#This Row],[Tarpaulin]],0)</f>
        <v>0</v>
      </c>
      <c r="AC401" s="112">
        <f>IF(NFI_Expiration=1,IF($A401&lt;VLOOKUP(N$5,NFI,5,0),1,0)*Data_NFI_t[[#This Row],[Blanket]],0)</f>
        <v>0</v>
      </c>
      <c r="AD401" s="112">
        <f>IF(NFI_Expiration=1,IF($A401&lt;VLOOKUP(O$5,NFI,5,0),1,0)*Data_NFI_t[[#This Row],[Kitchen Set]],0)</f>
        <v>0</v>
      </c>
      <c r="AE401" s="112">
        <f>IF(NFI_Expiration=1,IF($A401&lt;VLOOKUP(P$5,NFI,5,0),1,0)*Data_NFI_t[[#This Row],[Complementary Kit]],0)</f>
        <v>0</v>
      </c>
      <c r="AF401" s="112">
        <f>IF(NFI_Expiration=1,IF($A401&lt;VLOOKUP(Q$5,NFI,5,0),1,0)*Data_NFI_t[[#This Row],[Plastic Bucket]],0)</f>
        <v>0</v>
      </c>
      <c r="AG401" s="112">
        <f>IF(NFI_Expiration=1,IF($A401&lt;VLOOKUP(R$5,NFI,5,0),1,0)*Data_NFI_t[[#This Row],[Jerry Can]],0)</f>
        <v>0</v>
      </c>
      <c r="AH401" s="131">
        <f>IF(NFI_Expiration=1,IF($A401&lt;VLOOKUP(S$5,NFI,5,0),1,0)*Data_NFI_t[[#This Row],[Plastic Mat]],0)*IF(Data_NFI_t[[#This Row],[Distribution Date]]&gt;"01-06-2015",1,2.5)</f>
        <v>0</v>
      </c>
      <c r="AI401" s="901">
        <f>IF(NFI_Expiration=1,IF($A401&lt;VLOOKUP(T$5,NFI,5,0),1,0)*Data_NFI_t[[#This Row],[Adult Clothes]],0)</f>
        <v>0</v>
      </c>
      <c r="AJ401" s="131">
        <f>IF(NFI_Expiration=1,IF($A401&lt;VLOOKUP(U$5,NFI,5,0),1,0)*Data_NFI_t[[#This Row],[Children Clothes]],0)</f>
        <v>0</v>
      </c>
      <c r="AK401" s="131">
        <f>IF(NFI_Expiration=1,IF($A401&lt;VLOOKUP(V$5,NFI,5,0),1,0)*Data_NFI_t[[#This Row],[Sewing Kit]],0)</f>
        <v>0</v>
      </c>
      <c r="AL401" s="901">
        <f>IF(NFI_Expiration=1,IF($A401&lt;VLOOKUP(V$5,NFI,5,0),1,0)*Data_NFI_t[[#This Row],[Solar Lantern]],0)</f>
        <v>0</v>
      </c>
      <c r="AM401" s="131" t="str">
        <f ca="1">IFERROR(OFFSET(Camp_List[P_Code],MATCH(Data_NFI_t[[#This Row],[Camp Name]],Camp_List[Camp Name],0)-1,0,1,1),"")</f>
        <v>MMR012CMP048</v>
      </c>
      <c r="AN401" s="513" t="str">
        <f ca="1">IFERROR(OFFSET(Camp_List[Status],MATCH(Data_NFI_t[[#This Row],[Camp Name]],Camp_List[Camp Name],0)-1,0,1,1),"")</f>
        <v>Open</v>
      </c>
      <c r="AO401" s="131"/>
      <c r="AR401" s="90" t="s">
        <v>889</v>
      </c>
    </row>
    <row r="402" spans="1:44" s="90" customFormat="1" ht="19.5" customHeight="1" x14ac:dyDescent="0.25">
      <c r="A402" s="242">
        <f t="shared" si="7"/>
        <v>58.266666666666666</v>
      </c>
      <c r="B402" s="242">
        <f>YEAR(Data_NFI_t[[#This Row],[Distribution Date]])</f>
        <v>2012</v>
      </c>
      <c r="C402" s="913">
        <v>41108</v>
      </c>
      <c r="D402" s="489" t="s">
        <v>285</v>
      </c>
      <c r="E402" s="488"/>
      <c r="F402" s="489" t="s">
        <v>7</v>
      </c>
      <c r="G402" s="790" t="s">
        <v>19</v>
      </c>
      <c r="H402" s="790" t="s">
        <v>62</v>
      </c>
      <c r="I402" s="790"/>
      <c r="J402" s="51"/>
      <c r="K402" s="51"/>
      <c r="L402" s="51"/>
      <c r="M402" s="51">
        <v>248</v>
      </c>
      <c r="N402" s="51"/>
      <c r="O402" s="51"/>
      <c r="P402" s="51"/>
      <c r="Q402" s="51"/>
      <c r="R402" s="511"/>
      <c r="S402" s="51"/>
      <c r="T402" s="51"/>
      <c r="U402" s="51"/>
      <c r="V402" s="51"/>
      <c r="W402" s="51"/>
      <c r="X402" s="131">
        <f>IF(NFI_Expiration=1,IF($A402&lt;VLOOKUP(I$5,NFI,5,0),1,0)*Data_NFI_t[[#This Row],[Hygiene Kit]],0)</f>
        <v>0</v>
      </c>
      <c r="Y402" s="131">
        <f>IF(NFI_Expiration=1,IF($A402&lt;VLOOKUP(J$5,NFI,5,0),1,0)*Data_NFI_t[[#This Row],[NFI Core Kit]],0)</f>
        <v>0</v>
      </c>
      <c r="Z402" s="112">
        <f>IF(NFI_Expiration=1,IF($A402&lt;VLOOKUP(K$5,NFI,5,0),1,0)*Data_NFI_t[[#This Row],[Sanitary Kit]],0)</f>
        <v>0</v>
      </c>
      <c r="AA402" s="112">
        <f>IF(NFI_Expiration=1,IF($A402&lt;VLOOKUP(L$5,NFI,5,0),1,0)*Data_NFI_t[[#This Row],[Mosquito net]],0)</f>
        <v>0</v>
      </c>
      <c r="AB402" s="112">
        <f>IF(NFI_Expiration=1,IF($A402&lt;VLOOKUP(M$5,NFI,5,0),1,0)*Data_NFI_t[[#This Row],[Tarpaulin]],0)</f>
        <v>0</v>
      </c>
      <c r="AC402" s="112">
        <f>IF(NFI_Expiration=1,IF($A402&lt;VLOOKUP(N$5,NFI,5,0),1,0)*Data_NFI_t[[#This Row],[Blanket]],0)</f>
        <v>0</v>
      </c>
      <c r="AD402" s="112">
        <f>IF(NFI_Expiration=1,IF($A402&lt;VLOOKUP(O$5,NFI,5,0),1,0)*Data_NFI_t[[#This Row],[Kitchen Set]],0)</f>
        <v>0</v>
      </c>
      <c r="AE402" s="112">
        <f>IF(NFI_Expiration=1,IF($A402&lt;VLOOKUP(P$5,NFI,5,0),1,0)*Data_NFI_t[[#This Row],[Complementary Kit]],0)</f>
        <v>0</v>
      </c>
      <c r="AF402" s="112">
        <f>IF(NFI_Expiration=1,IF($A402&lt;VLOOKUP(Q$5,NFI,5,0),1,0)*Data_NFI_t[[#This Row],[Plastic Bucket]],0)</f>
        <v>0</v>
      </c>
      <c r="AG402" s="112">
        <f>IF(NFI_Expiration=1,IF($A402&lt;VLOOKUP(R$5,NFI,5,0),1,0)*Data_NFI_t[[#This Row],[Jerry Can]],0)</f>
        <v>0</v>
      </c>
      <c r="AH402" s="131">
        <f>IF(NFI_Expiration=1,IF($A402&lt;VLOOKUP(S$5,NFI,5,0),1,0)*Data_NFI_t[[#This Row],[Plastic Mat]],0)*IF(Data_NFI_t[[#This Row],[Distribution Date]]&gt;"01-06-2015",1,2.5)</f>
        <v>0</v>
      </c>
      <c r="AI402" s="901">
        <f>IF(NFI_Expiration=1,IF($A402&lt;VLOOKUP(T$5,NFI,5,0),1,0)*Data_NFI_t[[#This Row],[Adult Clothes]],0)</f>
        <v>0</v>
      </c>
      <c r="AJ402" s="131">
        <f>IF(NFI_Expiration=1,IF($A402&lt;VLOOKUP(U$5,NFI,5,0),1,0)*Data_NFI_t[[#This Row],[Children Clothes]],0)</f>
        <v>0</v>
      </c>
      <c r="AK402" s="131">
        <f>IF(NFI_Expiration=1,IF($A402&lt;VLOOKUP(V$5,NFI,5,0),1,0)*Data_NFI_t[[#This Row],[Sewing Kit]],0)</f>
        <v>0</v>
      </c>
      <c r="AL402" s="901">
        <f>IF(NFI_Expiration=1,IF($A402&lt;VLOOKUP(V$5,NFI,5,0),1,0)*Data_NFI_t[[#This Row],[Solar Lantern]],0)</f>
        <v>0</v>
      </c>
      <c r="AM402" s="131" t="str">
        <f ca="1">IFERROR(OFFSET(Camp_List[P_Code],MATCH(Data_NFI_t[[#This Row],[Camp Name]],Camp_List[Camp Name],0)-1,0,1,1),"")</f>
        <v>MMR012CMP040</v>
      </c>
      <c r="AN402" s="513" t="str">
        <f ca="1">IFERROR(OFFSET(Camp_List[Status],MATCH(Data_NFI_t[[#This Row],[Camp Name]],Camp_List[Camp Name],0)-1,0,1,1),"")</f>
        <v>Close</v>
      </c>
      <c r="AO402" s="131"/>
      <c r="AR402" s="90" t="s">
        <v>889</v>
      </c>
    </row>
    <row r="403" spans="1:44" s="90" customFormat="1" ht="19.5" customHeight="1" x14ac:dyDescent="0.25">
      <c r="A403" s="242">
        <f t="shared" si="7"/>
        <v>58.266666666666666</v>
      </c>
      <c r="B403" s="242">
        <f>YEAR(Data_NFI_t[[#This Row],[Distribution Date]])</f>
        <v>2012</v>
      </c>
      <c r="C403" s="913">
        <v>41108</v>
      </c>
      <c r="D403" s="489" t="s">
        <v>285</v>
      </c>
      <c r="E403" s="488"/>
      <c r="F403" s="489" t="s">
        <v>7</v>
      </c>
      <c r="G403" s="790" t="s">
        <v>19</v>
      </c>
      <c r="H403" s="790" t="s">
        <v>64</v>
      </c>
      <c r="I403" s="790"/>
      <c r="J403" s="51"/>
      <c r="K403" s="51"/>
      <c r="L403" s="51"/>
      <c r="M403" s="51">
        <v>121</v>
      </c>
      <c r="N403" s="51"/>
      <c r="O403" s="51"/>
      <c r="P403" s="51"/>
      <c r="Q403" s="51"/>
      <c r="R403" s="511"/>
      <c r="S403" s="51"/>
      <c r="T403" s="51"/>
      <c r="U403" s="51"/>
      <c r="V403" s="51"/>
      <c r="W403" s="51"/>
      <c r="X403" s="131">
        <f>IF(NFI_Expiration=1,IF($A403&lt;VLOOKUP(I$5,NFI,5,0),1,0)*Data_NFI_t[[#This Row],[Hygiene Kit]],0)</f>
        <v>0</v>
      </c>
      <c r="Y403" s="131">
        <f>IF(NFI_Expiration=1,IF($A403&lt;VLOOKUP(J$5,NFI,5,0),1,0)*Data_NFI_t[[#This Row],[NFI Core Kit]],0)</f>
        <v>0</v>
      </c>
      <c r="Z403" s="112">
        <f>IF(NFI_Expiration=1,IF($A403&lt;VLOOKUP(K$5,NFI,5,0),1,0)*Data_NFI_t[[#This Row],[Sanitary Kit]],0)</f>
        <v>0</v>
      </c>
      <c r="AA403" s="112">
        <f>IF(NFI_Expiration=1,IF($A403&lt;VLOOKUP(L$5,NFI,5,0),1,0)*Data_NFI_t[[#This Row],[Mosquito net]],0)</f>
        <v>0</v>
      </c>
      <c r="AB403" s="112">
        <f>IF(NFI_Expiration=1,IF($A403&lt;VLOOKUP(M$5,NFI,5,0),1,0)*Data_NFI_t[[#This Row],[Tarpaulin]],0)</f>
        <v>0</v>
      </c>
      <c r="AC403" s="112">
        <f>IF(NFI_Expiration=1,IF($A403&lt;VLOOKUP(N$5,NFI,5,0),1,0)*Data_NFI_t[[#This Row],[Blanket]],0)</f>
        <v>0</v>
      </c>
      <c r="AD403" s="112">
        <f>IF(NFI_Expiration=1,IF($A403&lt;VLOOKUP(O$5,NFI,5,0),1,0)*Data_NFI_t[[#This Row],[Kitchen Set]],0)</f>
        <v>0</v>
      </c>
      <c r="AE403" s="112">
        <f>IF(NFI_Expiration=1,IF($A403&lt;VLOOKUP(P$5,NFI,5,0),1,0)*Data_NFI_t[[#This Row],[Complementary Kit]],0)</f>
        <v>0</v>
      </c>
      <c r="AF403" s="112">
        <f>IF(NFI_Expiration=1,IF($A403&lt;VLOOKUP(Q$5,NFI,5,0),1,0)*Data_NFI_t[[#This Row],[Plastic Bucket]],0)</f>
        <v>0</v>
      </c>
      <c r="AG403" s="112">
        <f>IF(NFI_Expiration=1,IF($A403&lt;VLOOKUP(R$5,NFI,5,0),1,0)*Data_NFI_t[[#This Row],[Jerry Can]],0)</f>
        <v>0</v>
      </c>
      <c r="AH403" s="131">
        <f>IF(NFI_Expiration=1,IF($A403&lt;VLOOKUP(S$5,NFI,5,0),1,0)*Data_NFI_t[[#This Row],[Plastic Mat]],0)*IF(Data_NFI_t[[#This Row],[Distribution Date]]&gt;"01-06-2015",1,2.5)</f>
        <v>0</v>
      </c>
      <c r="AI403" s="901">
        <f>IF(NFI_Expiration=1,IF($A403&lt;VLOOKUP(T$5,NFI,5,0),1,0)*Data_NFI_t[[#This Row],[Adult Clothes]],0)</f>
        <v>0</v>
      </c>
      <c r="AJ403" s="131">
        <f>IF(NFI_Expiration=1,IF($A403&lt;VLOOKUP(U$5,NFI,5,0),1,0)*Data_NFI_t[[#This Row],[Children Clothes]],0)</f>
        <v>0</v>
      </c>
      <c r="AK403" s="131">
        <f>IF(NFI_Expiration=1,IF($A403&lt;VLOOKUP(V$5,NFI,5,0),1,0)*Data_NFI_t[[#This Row],[Sewing Kit]],0)</f>
        <v>0</v>
      </c>
      <c r="AL403" s="901">
        <f>IF(NFI_Expiration=1,IF($A403&lt;VLOOKUP(V$5,NFI,5,0),1,0)*Data_NFI_t[[#This Row],[Solar Lantern]],0)</f>
        <v>0</v>
      </c>
      <c r="AM403" s="131" t="str">
        <f ca="1">IFERROR(OFFSET(Camp_List[P_Code],MATCH(Data_NFI_t[[#This Row],[Camp Name]],Camp_List[Camp Name],0)-1,0,1,1),"")</f>
        <v>MMR012CMP042</v>
      </c>
      <c r="AN403" s="513" t="str">
        <f ca="1">IFERROR(OFFSET(Camp_List[Status],MATCH(Data_NFI_t[[#This Row],[Camp Name]],Camp_List[Camp Name],0)-1,0,1,1),"")</f>
        <v>Open</v>
      </c>
      <c r="AO403" s="131"/>
      <c r="AR403" s="90" t="s">
        <v>889</v>
      </c>
    </row>
    <row r="404" spans="1:44" s="90" customFormat="1" ht="19.5" customHeight="1" x14ac:dyDescent="0.25">
      <c r="A404" s="242">
        <f t="shared" si="7"/>
        <v>58.3</v>
      </c>
      <c r="B404" s="242">
        <f>YEAR(Data_NFI_t[[#This Row],[Distribution Date]])</f>
        <v>2012</v>
      </c>
      <c r="C404" s="913">
        <v>41107</v>
      </c>
      <c r="D404" s="489" t="s">
        <v>285</v>
      </c>
      <c r="E404" s="488"/>
      <c r="F404" s="489" t="s">
        <v>7</v>
      </c>
      <c r="G404" s="790" t="s">
        <v>19</v>
      </c>
      <c r="H404" s="790" t="s">
        <v>62</v>
      </c>
      <c r="I404" s="790"/>
      <c r="J404" s="51"/>
      <c r="K404" s="51"/>
      <c r="L404" s="51"/>
      <c r="M404" s="51">
        <v>630</v>
      </c>
      <c r="N404" s="51"/>
      <c r="O404" s="51"/>
      <c r="P404" s="51"/>
      <c r="Q404" s="51"/>
      <c r="R404" s="511"/>
      <c r="S404" s="51"/>
      <c r="T404" s="51"/>
      <c r="U404" s="51"/>
      <c r="V404" s="51"/>
      <c r="W404" s="51"/>
      <c r="X404" s="131">
        <f>IF(NFI_Expiration=1,IF($A404&lt;VLOOKUP(I$5,NFI,5,0),1,0)*Data_NFI_t[[#This Row],[Hygiene Kit]],0)</f>
        <v>0</v>
      </c>
      <c r="Y404" s="131">
        <f>IF(NFI_Expiration=1,IF($A404&lt;VLOOKUP(J$5,NFI,5,0),1,0)*Data_NFI_t[[#This Row],[NFI Core Kit]],0)</f>
        <v>0</v>
      </c>
      <c r="Z404" s="112">
        <f>IF(NFI_Expiration=1,IF($A404&lt;VLOOKUP(K$5,NFI,5,0),1,0)*Data_NFI_t[[#This Row],[Sanitary Kit]],0)</f>
        <v>0</v>
      </c>
      <c r="AA404" s="112">
        <f>IF(NFI_Expiration=1,IF($A404&lt;VLOOKUP(L$5,NFI,5,0),1,0)*Data_NFI_t[[#This Row],[Mosquito net]],0)</f>
        <v>0</v>
      </c>
      <c r="AB404" s="112">
        <f>IF(NFI_Expiration=1,IF($A404&lt;VLOOKUP(M$5,NFI,5,0),1,0)*Data_NFI_t[[#This Row],[Tarpaulin]],0)</f>
        <v>0</v>
      </c>
      <c r="AC404" s="112">
        <f>IF(NFI_Expiration=1,IF($A404&lt;VLOOKUP(N$5,NFI,5,0),1,0)*Data_NFI_t[[#This Row],[Blanket]],0)</f>
        <v>0</v>
      </c>
      <c r="AD404" s="112">
        <f>IF(NFI_Expiration=1,IF($A404&lt;VLOOKUP(O$5,NFI,5,0),1,0)*Data_NFI_t[[#This Row],[Kitchen Set]],0)</f>
        <v>0</v>
      </c>
      <c r="AE404" s="112">
        <f>IF(NFI_Expiration=1,IF($A404&lt;VLOOKUP(P$5,NFI,5,0),1,0)*Data_NFI_t[[#This Row],[Complementary Kit]],0)</f>
        <v>0</v>
      </c>
      <c r="AF404" s="112">
        <f>IF(NFI_Expiration=1,IF($A404&lt;VLOOKUP(Q$5,NFI,5,0),1,0)*Data_NFI_t[[#This Row],[Plastic Bucket]],0)</f>
        <v>0</v>
      </c>
      <c r="AG404" s="112">
        <f>IF(NFI_Expiration=1,IF($A404&lt;VLOOKUP(R$5,NFI,5,0),1,0)*Data_NFI_t[[#This Row],[Jerry Can]],0)</f>
        <v>0</v>
      </c>
      <c r="AH404" s="131">
        <f>IF(NFI_Expiration=1,IF($A404&lt;VLOOKUP(S$5,NFI,5,0),1,0)*Data_NFI_t[[#This Row],[Plastic Mat]],0)*IF(Data_NFI_t[[#This Row],[Distribution Date]]&gt;"01-06-2015",1,2.5)</f>
        <v>0</v>
      </c>
      <c r="AI404" s="901">
        <f>IF(NFI_Expiration=1,IF($A404&lt;VLOOKUP(T$5,NFI,5,0),1,0)*Data_NFI_t[[#This Row],[Adult Clothes]],0)</f>
        <v>0</v>
      </c>
      <c r="AJ404" s="131">
        <f>IF(NFI_Expiration=1,IF($A404&lt;VLOOKUP(U$5,NFI,5,0),1,0)*Data_NFI_t[[#This Row],[Children Clothes]],0)</f>
        <v>0</v>
      </c>
      <c r="AK404" s="131">
        <f>IF(NFI_Expiration=1,IF($A404&lt;VLOOKUP(V$5,NFI,5,0),1,0)*Data_NFI_t[[#This Row],[Sewing Kit]],0)</f>
        <v>0</v>
      </c>
      <c r="AL404" s="901">
        <f>IF(NFI_Expiration=1,IF($A404&lt;VLOOKUP(V$5,NFI,5,0),1,0)*Data_NFI_t[[#This Row],[Solar Lantern]],0)</f>
        <v>0</v>
      </c>
      <c r="AM404" s="131" t="str">
        <f ca="1">IFERROR(OFFSET(Camp_List[P_Code],MATCH(Data_NFI_t[[#This Row],[Camp Name]],Camp_List[Camp Name],0)-1,0,1,1),"")</f>
        <v>MMR012CMP040</v>
      </c>
      <c r="AN404" s="513" t="str">
        <f ca="1">IFERROR(OFFSET(Camp_List[Status],MATCH(Data_NFI_t[[#This Row],[Camp Name]],Camp_List[Camp Name],0)-1,0,1,1),"")</f>
        <v>Close</v>
      </c>
      <c r="AO404" s="131"/>
    </row>
    <row r="405" spans="1:44" s="90" customFormat="1" ht="19.5" customHeight="1" x14ac:dyDescent="0.25">
      <c r="A405" s="242">
        <f t="shared" si="7"/>
        <v>58.333333333333336</v>
      </c>
      <c r="B405" s="242">
        <f>YEAR(Data_NFI_t[[#This Row],[Distribution Date]])</f>
        <v>2012</v>
      </c>
      <c r="C405" s="913">
        <v>41106</v>
      </c>
      <c r="D405" s="489" t="s">
        <v>285</v>
      </c>
      <c r="E405" s="488"/>
      <c r="F405" s="489" t="s">
        <v>7</v>
      </c>
      <c r="G405" s="790" t="s">
        <v>19</v>
      </c>
      <c r="H405" s="790" t="s">
        <v>62</v>
      </c>
      <c r="I405" s="790"/>
      <c r="J405" s="51"/>
      <c r="K405" s="51"/>
      <c r="L405" s="51"/>
      <c r="M405" s="51">
        <v>120</v>
      </c>
      <c r="N405" s="51"/>
      <c r="O405" s="51"/>
      <c r="P405" s="51"/>
      <c r="Q405" s="51"/>
      <c r="R405" s="511"/>
      <c r="S405" s="51"/>
      <c r="T405" s="51"/>
      <c r="U405" s="51"/>
      <c r="V405" s="51"/>
      <c r="W405" s="51"/>
      <c r="X405" s="131">
        <f>IF(NFI_Expiration=1,IF($A405&lt;VLOOKUP(I$5,NFI,5,0),1,0)*Data_NFI_t[[#This Row],[Hygiene Kit]],0)</f>
        <v>0</v>
      </c>
      <c r="Y405" s="131">
        <f>IF(NFI_Expiration=1,IF($A405&lt;VLOOKUP(J$5,NFI,5,0),1,0)*Data_NFI_t[[#This Row],[NFI Core Kit]],0)</f>
        <v>0</v>
      </c>
      <c r="Z405" s="112">
        <f>IF(NFI_Expiration=1,IF($A405&lt;VLOOKUP(K$5,NFI,5,0),1,0)*Data_NFI_t[[#This Row],[Sanitary Kit]],0)</f>
        <v>0</v>
      </c>
      <c r="AA405" s="112">
        <f>IF(NFI_Expiration=1,IF($A405&lt;VLOOKUP(L$5,NFI,5,0),1,0)*Data_NFI_t[[#This Row],[Mosquito net]],0)</f>
        <v>0</v>
      </c>
      <c r="AB405" s="112">
        <f>IF(NFI_Expiration=1,IF($A405&lt;VLOOKUP(M$5,NFI,5,0),1,0)*Data_NFI_t[[#This Row],[Tarpaulin]],0)</f>
        <v>0</v>
      </c>
      <c r="AC405" s="112">
        <f>IF(NFI_Expiration=1,IF($A405&lt;VLOOKUP(N$5,NFI,5,0),1,0)*Data_NFI_t[[#This Row],[Blanket]],0)</f>
        <v>0</v>
      </c>
      <c r="AD405" s="112">
        <f>IF(NFI_Expiration=1,IF($A405&lt;VLOOKUP(O$5,NFI,5,0),1,0)*Data_NFI_t[[#This Row],[Kitchen Set]],0)</f>
        <v>0</v>
      </c>
      <c r="AE405" s="112">
        <f>IF(NFI_Expiration=1,IF($A405&lt;VLOOKUP(P$5,NFI,5,0),1,0)*Data_NFI_t[[#This Row],[Complementary Kit]],0)</f>
        <v>0</v>
      </c>
      <c r="AF405" s="112">
        <f>IF(NFI_Expiration=1,IF($A405&lt;VLOOKUP(Q$5,NFI,5,0),1,0)*Data_NFI_t[[#This Row],[Plastic Bucket]],0)</f>
        <v>0</v>
      </c>
      <c r="AG405" s="112">
        <f>IF(NFI_Expiration=1,IF($A405&lt;VLOOKUP(R$5,NFI,5,0),1,0)*Data_NFI_t[[#This Row],[Jerry Can]],0)</f>
        <v>0</v>
      </c>
      <c r="AH405" s="131">
        <f>IF(NFI_Expiration=1,IF($A405&lt;VLOOKUP(S$5,NFI,5,0),1,0)*Data_NFI_t[[#This Row],[Plastic Mat]],0)*IF(Data_NFI_t[[#This Row],[Distribution Date]]&gt;"01-06-2015",1,2.5)</f>
        <v>0</v>
      </c>
      <c r="AI405" s="901">
        <f>IF(NFI_Expiration=1,IF($A405&lt;VLOOKUP(T$5,NFI,5,0),1,0)*Data_NFI_t[[#This Row],[Adult Clothes]],0)</f>
        <v>0</v>
      </c>
      <c r="AJ405" s="131">
        <f>IF(NFI_Expiration=1,IF($A405&lt;VLOOKUP(U$5,NFI,5,0),1,0)*Data_NFI_t[[#This Row],[Children Clothes]],0)</f>
        <v>0</v>
      </c>
      <c r="AK405" s="131">
        <f>IF(NFI_Expiration=1,IF($A405&lt;VLOOKUP(V$5,NFI,5,0),1,0)*Data_NFI_t[[#This Row],[Sewing Kit]],0)</f>
        <v>0</v>
      </c>
      <c r="AL405" s="901">
        <f>IF(NFI_Expiration=1,IF($A405&lt;VLOOKUP(V$5,NFI,5,0),1,0)*Data_NFI_t[[#This Row],[Solar Lantern]],0)</f>
        <v>0</v>
      </c>
      <c r="AM405" s="131" t="str">
        <f ca="1">IFERROR(OFFSET(Camp_List[P_Code],MATCH(Data_NFI_t[[#This Row],[Camp Name]],Camp_List[Camp Name],0)-1,0,1,1),"")</f>
        <v>MMR012CMP040</v>
      </c>
      <c r="AN405" s="513" t="str">
        <f ca="1">IFERROR(OFFSET(Camp_List[Status],MATCH(Data_NFI_t[[#This Row],[Camp Name]],Camp_List[Camp Name],0)-1,0,1,1),"")</f>
        <v>Close</v>
      </c>
      <c r="AO405" s="131"/>
    </row>
    <row r="406" spans="1:44" s="90" customFormat="1" ht="19.5" customHeight="1" x14ac:dyDescent="0.25">
      <c r="A406" s="242">
        <f t="shared" si="7"/>
        <v>58.366666666666667</v>
      </c>
      <c r="B406" s="242">
        <f>YEAR(Data_NFI_t[[#This Row],[Distribution Date]])</f>
        <v>2012</v>
      </c>
      <c r="C406" s="913">
        <v>41105</v>
      </c>
      <c r="D406" s="489" t="s">
        <v>285</v>
      </c>
      <c r="E406" s="488"/>
      <c r="F406" s="489" t="s">
        <v>7</v>
      </c>
      <c r="G406" s="790" t="s">
        <v>19</v>
      </c>
      <c r="H406" s="790" t="s">
        <v>62</v>
      </c>
      <c r="I406" s="790"/>
      <c r="J406" s="51"/>
      <c r="K406" s="51"/>
      <c r="L406" s="51"/>
      <c r="M406" s="51">
        <v>150</v>
      </c>
      <c r="N406" s="51"/>
      <c r="O406" s="51"/>
      <c r="P406" s="51"/>
      <c r="Q406" s="51"/>
      <c r="R406" s="511"/>
      <c r="S406" s="51"/>
      <c r="T406" s="51"/>
      <c r="U406" s="51"/>
      <c r="V406" s="51"/>
      <c r="W406" s="51"/>
      <c r="X406" s="131">
        <f>IF(NFI_Expiration=1,IF($A406&lt;VLOOKUP(I$5,NFI,5,0),1,0)*Data_NFI_t[[#This Row],[Hygiene Kit]],0)</f>
        <v>0</v>
      </c>
      <c r="Y406" s="131">
        <f>IF(NFI_Expiration=1,IF($A406&lt;VLOOKUP(J$5,NFI,5,0),1,0)*Data_NFI_t[[#This Row],[NFI Core Kit]],0)</f>
        <v>0</v>
      </c>
      <c r="Z406" s="112">
        <f>IF(NFI_Expiration=1,IF($A406&lt;VLOOKUP(K$5,NFI,5,0),1,0)*Data_NFI_t[[#This Row],[Sanitary Kit]],0)</f>
        <v>0</v>
      </c>
      <c r="AA406" s="112">
        <f>IF(NFI_Expiration=1,IF($A406&lt;VLOOKUP(L$5,NFI,5,0),1,0)*Data_NFI_t[[#This Row],[Mosquito net]],0)</f>
        <v>0</v>
      </c>
      <c r="AB406" s="112">
        <f>IF(NFI_Expiration=1,IF($A406&lt;VLOOKUP(M$5,NFI,5,0),1,0)*Data_NFI_t[[#This Row],[Tarpaulin]],0)</f>
        <v>0</v>
      </c>
      <c r="AC406" s="112">
        <f>IF(NFI_Expiration=1,IF($A406&lt;VLOOKUP(N$5,NFI,5,0),1,0)*Data_NFI_t[[#This Row],[Blanket]],0)</f>
        <v>0</v>
      </c>
      <c r="AD406" s="112">
        <f>IF(NFI_Expiration=1,IF($A406&lt;VLOOKUP(O$5,NFI,5,0),1,0)*Data_NFI_t[[#This Row],[Kitchen Set]],0)</f>
        <v>0</v>
      </c>
      <c r="AE406" s="112">
        <f>IF(NFI_Expiration=1,IF($A406&lt;VLOOKUP(P$5,NFI,5,0),1,0)*Data_NFI_t[[#This Row],[Complementary Kit]],0)</f>
        <v>0</v>
      </c>
      <c r="AF406" s="112">
        <f>IF(NFI_Expiration=1,IF($A406&lt;VLOOKUP(Q$5,NFI,5,0),1,0)*Data_NFI_t[[#This Row],[Plastic Bucket]],0)</f>
        <v>0</v>
      </c>
      <c r="AG406" s="112">
        <f>IF(NFI_Expiration=1,IF($A406&lt;VLOOKUP(R$5,NFI,5,0),1,0)*Data_NFI_t[[#This Row],[Jerry Can]],0)</f>
        <v>0</v>
      </c>
      <c r="AH406" s="131">
        <f>IF(NFI_Expiration=1,IF($A406&lt;VLOOKUP(S$5,NFI,5,0),1,0)*Data_NFI_t[[#This Row],[Plastic Mat]],0)*IF(Data_NFI_t[[#This Row],[Distribution Date]]&gt;"01-06-2015",1,2.5)</f>
        <v>0</v>
      </c>
      <c r="AI406" s="901">
        <f>IF(NFI_Expiration=1,IF($A406&lt;VLOOKUP(T$5,NFI,5,0),1,0)*Data_NFI_t[[#This Row],[Adult Clothes]],0)</f>
        <v>0</v>
      </c>
      <c r="AJ406" s="131">
        <f>IF(NFI_Expiration=1,IF($A406&lt;VLOOKUP(U$5,NFI,5,0),1,0)*Data_NFI_t[[#This Row],[Children Clothes]],0)</f>
        <v>0</v>
      </c>
      <c r="AK406" s="131">
        <f>IF(NFI_Expiration=1,IF($A406&lt;VLOOKUP(V$5,NFI,5,0),1,0)*Data_NFI_t[[#This Row],[Sewing Kit]],0)</f>
        <v>0</v>
      </c>
      <c r="AL406" s="901">
        <f>IF(NFI_Expiration=1,IF($A406&lt;VLOOKUP(V$5,NFI,5,0),1,0)*Data_NFI_t[[#This Row],[Solar Lantern]],0)</f>
        <v>0</v>
      </c>
      <c r="AM406" s="131" t="str">
        <f ca="1">IFERROR(OFFSET(Camp_List[P_Code],MATCH(Data_NFI_t[[#This Row],[Camp Name]],Camp_List[Camp Name],0)-1,0,1,1),"")</f>
        <v>MMR012CMP040</v>
      </c>
      <c r="AN406" s="513" t="str">
        <f ca="1">IFERROR(OFFSET(Camp_List[Status],MATCH(Data_NFI_t[[#This Row],[Camp Name]],Camp_List[Camp Name],0)-1,0,1,1),"")</f>
        <v>Close</v>
      </c>
      <c r="AO406" s="131"/>
    </row>
    <row r="407" spans="1:44" s="90" customFormat="1" ht="19.5" customHeight="1" x14ac:dyDescent="0.25">
      <c r="A407" s="242">
        <f t="shared" ref="A407:A455" si="8">IF(ISBLANK(C407),"",(Report_Date-C407)/30)</f>
        <v>58.366666666666667</v>
      </c>
      <c r="B407" s="242">
        <f>YEAR(Data_NFI_t[[#This Row],[Distribution Date]])</f>
        <v>2012</v>
      </c>
      <c r="C407" s="913">
        <v>41105</v>
      </c>
      <c r="D407" s="489" t="s">
        <v>285</v>
      </c>
      <c r="E407" s="488"/>
      <c r="F407" s="489" t="s">
        <v>7</v>
      </c>
      <c r="G407" s="790" t="s">
        <v>19</v>
      </c>
      <c r="H407" s="790" t="s">
        <v>70</v>
      </c>
      <c r="I407" s="790"/>
      <c r="J407" s="51"/>
      <c r="K407" s="51"/>
      <c r="L407" s="51"/>
      <c r="M407" s="51">
        <v>200</v>
      </c>
      <c r="N407" s="51"/>
      <c r="O407" s="51"/>
      <c r="P407" s="51"/>
      <c r="Q407" s="51"/>
      <c r="R407" s="511"/>
      <c r="S407" s="51"/>
      <c r="T407" s="51"/>
      <c r="U407" s="51"/>
      <c r="V407" s="51"/>
      <c r="W407" s="51"/>
      <c r="X407" s="131">
        <f>IF(NFI_Expiration=1,IF($A407&lt;VLOOKUP(I$5,NFI,5,0),1,0)*Data_NFI_t[[#This Row],[Hygiene Kit]],0)</f>
        <v>0</v>
      </c>
      <c r="Y407" s="131">
        <f>IF(NFI_Expiration=1,IF($A407&lt;VLOOKUP(J$5,NFI,5,0),1,0)*Data_NFI_t[[#This Row],[NFI Core Kit]],0)</f>
        <v>0</v>
      </c>
      <c r="Z407" s="112">
        <f>IF(NFI_Expiration=1,IF($A407&lt;VLOOKUP(K$5,NFI,5,0),1,0)*Data_NFI_t[[#This Row],[Sanitary Kit]],0)</f>
        <v>0</v>
      </c>
      <c r="AA407" s="112">
        <f>IF(NFI_Expiration=1,IF($A407&lt;VLOOKUP(L$5,NFI,5,0),1,0)*Data_NFI_t[[#This Row],[Mosquito net]],0)</f>
        <v>0</v>
      </c>
      <c r="AB407" s="112">
        <f>IF(NFI_Expiration=1,IF($A407&lt;VLOOKUP(M$5,NFI,5,0),1,0)*Data_NFI_t[[#This Row],[Tarpaulin]],0)</f>
        <v>0</v>
      </c>
      <c r="AC407" s="112">
        <f>IF(NFI_Expiration=1,IF($A407&lt;VLOOKUP(N$5,NFI,5,0),1,0)*Data_NFI_t[[#This Row],[Blanket]],0)</f>
        <v>0</v>
      </c>
      <c r="AD407" s="112">
        <f>IF(NFI_Expiration=1,IF($A407&lt;VLOOKUP(O$5,NFI,5,0),1,0)*Data_NFI_t[[#This Row],[Kitchen Set]],0)</f>
        <v>0</v>
      </c>
      <c r="AE407" s="112">
        <f>IF(NFI_Expiration=1,IF($A407&lt;VLOOKUP(P$5,NFI,5,0),1,0)*Data_NFI_t[[#This Row],[Complementary Kit]],0)</f>
        <v>0</v>
      </c>
      <c r="AF407" s="112">
        <f>IF(NFI_Expiration=1,IF($A407&lt;VLOOKUP(Q$5,NFI,5,0),1,0)*Data_NFI_t[[#This Row],[Plastic Bucket]],0)</f>
        <v>0</v>
      </c>
      <c r="AG407" s="112">
        <f>IF(NFI_Expiration=1,IF($A407&lt;VLOOKUP(R$5,NFI,5,0),1,0)*Data_NFI_t[[#This Row],[Jerry Can]],0)</f>
        <v>0</v>
      </c>
      <c r="AH407" s="131">
        <f>IF(NFI_Expiration=1,IF($A407&lt;VLOOKUP(S$5,NFI,5,0),1,0)*Data_NFI_t[[#This Row],[Plastic Mat]],0)*IF(Data_NFI_t[[#This Row],[Distribution Date]]&gt;"01-06-2015",1,2.5)</f>
        <v>0</v>
      </c>
      <c r="AI407" s="901">
        <f>IF(NFI_Expiration=1,IF($A407&lt;VLOOKUP(T$5,NFI,5,0),1,0)*Data_NFI_t[[#This Row],[Adult Clothes]],0)</f>
        <v>0</v>
      </c>
      <c r="AJ407" s="131">
        <f>IF(NFI_Expiration=1,IF($A407&lt;VLOOKUP(U$5,NFI,5,0),1,0)*Data_NFI_t[[#This Row],[Children Clothes]],0)</f>
        <v>0</v>
      </c>
      <c r="AK407" s="131">
        <f>IF(NFI_Expiration=1,IF($A407&lt;VLOOKUP(V$5,NFI,5,0),1,0)*Data_NFI_t[[#This Row],[Sewing Kit]],0)</f>
        <v>0</v>
      </c>
      <c r="AL407" s="901">
        <f>IF(NFI_Expiration=1,IF($A407&lt;VLOOKUP(V$5,NFI,5,0),1,0)*Data_NFI_t[[#This Row],[Solar Lantern]],0)</f>
        <v>0</v>
      </c>
      <c r="AM407" s="131" t="str">
        <f ca="1">IFERROR(OFFSET(Camp_List[P_Code],MATCH(Data_NFI_t[[#This Row],[Camp Name]],Camp_List[Camp Name],0)-1,0,1,1),"")</f>
        <v>MMR012CMP048</v>
      </c>
      <c r="AN407" s="513" t="str">
        <f ca="1">IFERROR(OFFSET(Camp_List[Status],MATCH(Data_NFI_t[[#This Row],[Camp Name]],Camp_List[Camp Name],0)-1,0,1,1),"")</f>
        <v>Open</v>
      </c>
      <c r="AO407" s="131"/>
    </row>
    <row r="408" spans="1:44" s="90" customFormat="1" ht="19.5" customHeight="1" x14ac:dyDescent="0.25">
      <c r="A408" s="242">
        <f t="shared" si="8"/>
        <v>58.466666666666669</v>
      </c>
      <c r="B408" s="242">
        <f>YEAR(Data_NFI_t[[#This Row],[Distribution Date]])</f>
        <v>2012</v>
      </c>
      <c r="C408" s="913">
        <v>41102</v>
      </c>
      <c r="D408" s="489" t="s">
        <v>285</v>
      </c>
      <c r="E408" s="488"/>
      <c r="F408" s="489" t="s">
        <v>7</v>
      </c>
      <c r="G408" s="790" t="s">
        <v>19</v>
      </c>
      <c r="H408" s="790" t="s">
        <v>273</v>
      </c>
      <c r="I408" s="790"/>
      <c r="J408" s="51"/>
      <c r="K408" s="51"/>
      <c r="L408" s="51"/>
      <c r="M408" s="51">
        <v>4</v>
      </c>
      <c r="N408" s="51"/>
      <c r="O408" s="51"/>
      <c r="P408" s="51"/>
      <c r="Q408" s="51"/>
      <c r="R408" s="511"/>
      <c r="S408" s="51"/>
      <c r="T408" s="51"/>
      <c r="U408" s="51"/>
      <c r="V408" s="51"/>
      <c r="W408" s="51"/>
      <c r="X408" s="131">
        <f>IF(NFI_Expiration=1,IF($A408&lt;VLOOKUP(I$5,NFI,5,0),1,0)*Data_NFI_t[[#This Row],[Hygiene Kit]],0)</f>
        <v>0</v>
      </c>
      <c r="Y408" s="131">
        <f>IF(NFI_Expiration=1,IF($A408&lt;VLOOKUP(J$5,NFI,5,0),1,0)*Data_NFI_t[[#This Row],[NFI Core Kit]],0)</f>
        <v>0</v>
      </c>
      <c r="Z408" s="112">
        <f>IF(NFI_Expiration=1,IF($A408&lt;VLOOKUP(K$5,NFI,5,0),1,0)*Data_NFI_t[[#This Row],[Sanitary Kit]],0)</f>
        <v>0</v>
      </c>
      <c r="AA408" s="112">
        <f>IF(NFI_Expiration=1,IF($A408&lt;VLOOKUP(L$5,NFI,5,0),1,0)*Data_NFI_t[[#This Row],[Mosquito net]],0)</f>
        <v>0</v>
      </c>
      <c r="AB408" s="112">
        <f>IF(NFI_Expiration=1,IF($A408&lt;VLOOKUP(M$5,NFI,5,0),1,0)*Data_NFI_t[[#This Row],[Tarpaulin]],0)</f>
        <v>0</v>
      </c>
      <c r="AC408" s="112">
        <f>IF(NFI_Expiration=1,IF($A408&lt;VLOOKUP(N$5,NFI,5,0),1,0)*Data_NFI_t[[#This Row],[Blanket]],0)</f>
        <v>0</v>
      </c>
      <c r="AD408" s="112">
        <f>IF(NFI_Expiration=1,IF($A408&lt;VLOOKUP(O$5,NFI,5,0),1,0)*Data_NFI_t[[#This Row],[Kitchen Set]],0)</f>
        <v>0</v>
      </c>
      <c r="AE408" s="112">
        <f>IF(NFI_Expiration=1,IF($A408&lt;VLOOKUP(P$5,NFI,5,0),1,0)*Data_NFI_t[[#This Row],[Complementary Kit]],0)</f>
        <v>0</v>
      </c>
      <c r="AF408" s="112">
        <f>IF(NFI_Expiration=1,IF($A408&lt;VLOOKUP(Q$5,NFI,5,0),1,0)*Data_NFI_t[[#This Row],[Plastic Bucket]],0)</f>
        <v>0</v>
      </c>
      <c r="AG408" s="112">
        <f>IF(NFI_Expiration=1,IF($A408&lt;VLOOKUP(R$5,NFI,5,0),1,0)*Data_NFI_t[[#This Row],[Jerry Can]],0)</f>
        <v>0</v>
      </c>
      <c r="AH408" s="131">
        <f>IF(NFI_Expiration=1,IF($A408&lt;VLOOKUP(S$5,NFI,5,0),1,0)*Data_NFI_t[[#This Row],[Plastic Mat]],0)*IF(Data_NFI_t[[#This Row],[Distribution Date]]&gt;"01-06-2015",1,2.5)</f>
        <v>0</v>
      </c>
      <c r="AI408" s="901">
        <f>IF(NFI_Expiration=1,IF($A408&lt;VLOOKUP(T$5,NFI,5,0),1,0)*Data_NFI_t[[#This Row],[Adult Clothes]],0)</f>
        <v>0</v>
      </c>
      <c r="AJ408" s="131">
        <f>IF(NFI_Expiration=1,IF($A408&lt;VLOOKUP(U$5,NFI,5,0),1,0)*Data_NFI_t[[#This Row],[Children Clothes]],0)</f>
        <v>0</v>
      </c>
      <c r="AK408" s="131">
        <f>IF(NFI_Expiration=1,IF($A408&lt;VLOOKUP(V$5,NFI,5,0),1,0)*Data_NFI_t[[#This Row],[Sewing Kit]],0)</f>
        <v>0</v>
      </c>
      <c r="AL408" s="901">
        <f>IF(NFI_Expiration=1,IF($A408&lt;VLOOKUP(V$5,NFI,5,0),1,0)*Data_NFI_t[[#This Row],[Solar Lantern]],0)</f>
        <v>0</v>
      </c>
      <c r="AM408" s="131" t="str">
        <f ca="1">IFERROR(OFFSET(Camp_List[P_Code],MATCH(Data_NFI_t[[#This Row],[Camp Name]],Camp_List[Camp Name],0)-1,0,1,1),"")</f>
        <v/>
      </c>
      <c r="AN408" s="513" t="str">
        <f ca="1">IFERROR(OFFSET(Camp_List[Status],MATCH(Data_NFI_t[[#This Row],[Camp Name]],Camp_List[Camp Name],0)-1,0,1,1),"")</f>
        <v/>
      </c>
      <c r="AO408" s="131"/>
    </row>
    <row r="409" spans="1:44" s="90" customFormat="1" ht="19.5" customHeight="1" x14ac:dyDescent="0.25">
      <c r="A409" s="242">
        <f t="shared" si="8"/>
        <v>58.5</v>
      </c>
      <c r="B409" s="242">
        <f>YEAR(Data_NFI_t[[#This Row],[Distribution Date]])</f>
        <v>2012</v>
      </c>
      <c r="C409" s="913">
        <v>41101</v>
      </c>
      <c r="D409" s="489" t="s">
        <v>285</v>
      </c>
      <c r="E409" s="488"/>
      <c r="F409" s="489" t="s">
        <v>7</v>
      </c>
      <c r="G409" s="790" t="s">
        <v>19</v>
      </c>
      <c r="H409" s="790" t="s">
        <v>272</v>
      </c>
      <c r="I409" s="790"/>
      <c r="J409" s="51"/>
      <c r="K409" s="51"/>
      <c r="L409" s="51"/>
      <c r="M409" s="51">
        <v>492</v>
      </c>
      <c r="N409" s="51"/>
      <c r="O409" s="51"/>
      <c r="P409" s="51"/>
      <c r="Q409" s="51"/>
      <c r="R409" s="511"/>
      <c r="S409" s="51"/>
      <c r="T409" s="51"/>
      <c r="U409" s="51"/>
      <c r="V409" s="51"/>
      <c r="W409" s="51"/>
      <c r="X409" s="131">
        <f>IF(NFI_Expiration=1,IF($A409&lt;VLOOKUP(I$5,NFI,5,0),1,0)*Data_NFI_t[[#This Row],[Hygiene Kit]],0)</f>
        <v>0</v>
      </c>
      <c r="Y409" s="131">
        <f>IF(NFI_Expiration=1,IF($A409&lt;VLOOKUP(J$5,NFI,5,0),1,0)*Data_NFI_t[[#This Row],[NFI Core Kit]],0)</f>
        <v>0</v>
      </c>
      <c r="Z409" s="112">
        <f>IF(NFI_Expiration=1,IF($A409&lt;VLOOKUP(K$5,NFI,5,0),1,0)*Data_NFI_t[[#This Row],[Sanitary Kit]],0)</f>
        <v>0</v>
      </c>
      <c r="AA409" s="112">
        <f>IF(NFI_Expiration=1,IF($A409&lt;VLOOKUP(L$5,NFI,5,0),1,0)*Data_NFI_t[[#This Row],[Mosquito net]],0)</f>
        <v>0</v>
      </c>
      <c r="AB409" s="112">
        <f>IF(NFI_Expiration=1,IF($A409&lt;VLOOKUP(M$5,NFI,5,0),1,0)*Data_NFI_t[[#This Row],[Tarpaulin]],0)</f>
        <v>0</v>
      </c>
      <c r="AC409" s="112">
        <f>IF(NFI_Expiration=1,IF($A409&lt;VLOOKUP(N$5,NFI,5,0),1,0)*Data_NFI_t[[#This Row],[Blanket]],0)</f>
        <v>0</v>
      </c>
      <c r="AD409" s="112">
        <f>IF(NFI_Expiration=1,IF($A409&lt;VLOOKUP(O$5,NFI,5,0),1,0)*Data_NFI_t[[#This Row],[Kitchen Set]],0)</f>
        <v>0</v>
      </c>
      <c r="AE409" s="112">
        <f>IF(NFI_Expiration=1,IF($A409&lt;VLOOKUP(P$5,NFI,5,0),1,0)*Data_NFI_t[[#This Row],[Complementary Kit]],0)</f>
        <v>0</v>
      </c>
      <c r="AF409" s="112">
        <f>IF(NFI_Expiration=1,IF($A409&lt;VLOOKUP(Q$5,NFI,5,0),1,0)*Data_NFI_t[[#This Row],[Plastic Bucket]],0)</f>
        <v>0</v>
      </c>
      <c r="AG409" s="112">
        <f>IF(NFI_Expiration=1,IF($A409&lt;VLOOKUP(R$5,NFI,5,0),1,0)*Data_NFI_t[[#This Row],[Jerry Can]],0)</f>
        <v>0</v>
      </c>
      <c r="AH409" s="131">
        <f>IF(NFI_Expiration=1,IF($A409&lt;VLOOKUP(S$5,NFI,5,0),1,0)*Data_NFI_t[[#This Row],[Plastic Mat]],0)*IF(Data_NFI_t[[#This Row],[Distribution Date]]&gt;"01-06-2015",1,2.5)</f>
        <v>0</v>
      </c>
      <c r="AI409" s="901">
        <f>IF(NFI_Expiration=1,IF($A409&lt;VLOOKUP(T$5,NFI,5,0),1,0)*Data_NFI_t[[#This Row],[Adult Clothes]],0)</f>
        <v>0</v>
      </c>
      <c r="AJ409" s="131">
        <f>IF(NFI_Expiration=1,IF($A409&lt;VLOOKUP(U$5,NFI,5,0),1,0)*Data_NFI_t[[#This Row],[Children Clothes]],0)</f>
        <v>0</v>
      </c>
      <c r="AK409" s="131">
        <f>IF(NFI_Expiration=1,IF($A409&lt;VLOOKUP(V$5,NFI,5,0),1,0)*Data_NFI_t[[#This Row],[Sewing Kit]],0)</f>
        <v>0</v>
      </c>
      <c r="AL409" s="901">
        <f>IF(NFI_Expiration=1,IF($A409&lt;VLOOKUP(V$5,NFI,5,0),1,0)*Data_NFI_t[[#This Row],[Solar Lantern]],0)</f>
        <v>0</v>
      </c>
      <c r="AM409" s="131" t="str">
        <f ca="1">IFERROR(OFFSET(Camp_List[P_Code],MATCH(Data_NFI_t[[#This Row],[Camp Name]],Camp_List[Camp Name],0)-1,0,1,1),"")</f>
        <v/>
      </c>
      <c r="AN409" s="513" t="str">
        <f ca="1">IFERROR(OFFSET(Camp_List[Status],MATCH(Data_NFI_t[[#This Row],[Camp Name]],Camp_List[Camp Name],0)-1,0,1,1),"")</f>
        <v/>
      </c>
      <c r="AO409" s="131"/>
    </row>
    <row r="410" spans="1:44" s="90" customFormat="1" ht="19.5" customHeight="1" x14ac:dyDescent="0.25">
      <c r="A410" s="242">
        <f t="shared" si="8"/>
        <v>58.533333333333331</v>
      </c>
      <c r="B410" s="242">
        <f>YEAR(Data_NFI_t[[#This Row],[Distribution Date]])</f>
        <v>2012</v>
      </c>
      <c r="C410" s="913">
        <v>41100</v>
      </c>
      <c r="D410" s="489" t="s">
        <v>285</v>
      </c>
      <c r="E410" s="488"/>
      <c r="F410" s="489" t="s">
        <v>7</v>
      </c>
      <c r="G410" s="790" t="s">
        <v>19</v>
      </c>
      <c r="H410" s="790" t="s">
        <v>267</v>
      </c>
      <c r="I410" s="790"/>
      <c r="J410" s="51"/>
      <c r="K410" s="51"/>
      <c r="L410" s="51"/>
      <c r="M410" s="51">
        <v>32</v>
      </c>
      <c r="N410" s="51"/>
      <c r="O410" s="51"/>
      <c r="P410" s="51"/>
      <c r="Q410" s="51"/>
      <c r="R410" s="511"/>
      <c r="S410" s="51"/>
      <c r="T410" s="51"/>
      <c r="U410" s="51"/>
      <c r="V410" s="51"/>
      <c r="W410" s="51"/>
      <c r="X410" s="131">
        <f>IF(NFI_Expiration=1,IF($A410&lt;VLOOKUP(I$5,NFI,5,0),1,0)*Data_NFI_t[[#This Row],[Hygiene Kit]],0)</f>
        <v>0</v>
      </c>
      <c r="Y410" s="131">
        <f>IF(NFI_Expiration=1,IF($A410&lt;VLOOKUP(J$5,NFI,5,0),1,0)*Data_NFI_t[[#This Row],[NFI Core Kit]],0)</f>
        <v>0</v>
      </c>
      <c r="Z410" s="112">
        <f>IF(NFI_Expiration=1,IF($A410&lt;VLOOKUP(K$5,NFI,5,0),1,0)*Data_NFI_t[[#This Row],[Sanitary Kit]],0)</f>
        <v>0</v>
      </c>
      <c r="AA410" s="112">
        <f>IF(NFI_Expiration=1,IF($A410&lt;VLOOKUP(L$5,NFI,5,0),1,0)*Data_NFI_t[[#This Row],[Mosquito net]],0)</f>
        <v>0</v>
      </c>
      <c r="AB410" s="112">
        <f>IF(NFI_Expiration=1,IF($A410&lt;VLOOKUP(M$5,NFI,5,0),1,0)*Data_NFI_t[[#This Row],[Tarpaulin]],0)</f>
        <v>0</v>
      </c>
      <c r="AC410" s="112">
        <f>IF(NFI_Expiration=1,IF($A410&lt;VLOOKUP(N$5,NFI,5,0),1,0)*Data_NFI_t[[#This Row],[Blanket]],0)</f>
        <v>0</v>
      </c>
      <c r="AD410" s="112">
        <f>IF(NFI_Expiration=1,IF($A410&lt;VLOOKUP(O$5,NFI,5,0),1,0)*Data_NFI_t[[#This Row],[Kitchen Set]],0)</f>
        <v>0</v>
      </c>
      <c r="AE410" s="112">
        <f>IF(NFI_Expiration=1,IF($A410&lt;VLOOKUP(P$5,NFI,5,0),1,0)*Data_NFI_t[[#This Row],[Complementary Kit]],0)</f>
        <v>0</v>
      </c>
      <c r="AF410" s="112">
        <f>IF(NFI_Expiration=1,IF($A410&lt;VLOOKUP(Q$5,NFI,5,0),1,0)*Data_NFI_t[[#This Row],[Plastic Bucket]],0)</f>
        <v>0</v>
      </c>
      <c r="AG410" s="112">
        <f>IF(NFI_Expiration=1,IF($A410&lt;VLOOKUP(R$5,NFI,5,0),1,0)*Data_NFI_t[[#This Row],[Jerry Can]],0)</f>
        <v>0</v>
      </c>
      <c r="AH410" s="131">
        <f>IF(NFI_Expiration=1,IF($A410&lt;VLOOKUP(S$5,NFI,5,0),1,0)*Data_NFI_t[[#This Row],[Plastic Mat]],0)*IF(Data_NFI_t[[#This Row],[Distribution Date]]&gt;"01-06-2015",1,2.5)</f>
        <v>0</v>
      </c>
      <c r="AI410" s="901">
        <f>IF(NFI_Expiration=1,IF($A410&lt;VLOOKUP(T$5,NFI,5,0),1,0)*Data_NFI_t[[#This Row],[Adult Clothes]],0)</f>
        <v>0</v>
      </c>
      <c r="AJ410" s="131">
        <f>IF(NFI_Expiration=1,IF($A410&lt;VLOOKUP(U$5,NFI,5,0),1,0)*Data_NFI_t[[#This Row],[Children Clothes]],0)</f>
        <v>0</v>
      </c>
      <c r="AK410" s="131">
        <f>IF(NFI_Expiration=1,IF($A410&lt;VLOOKUP(V$5,NFI,5,0),1,0)*Data_NFI_t[[#This Row],[Sewing Kit]],0)</f>
        <v>0</v>
      </c>
      <c r="AL410" s="901">
        <f>IF(NFI_Expiration=1,IF($A410&lt;VLOOKUP(V$5,NFI,5,0),1,0)*Data_NFI_t[[#This Row],[Solar Lantern]],0)</f>
        <v>0</v>
      </c>
      <c r="AM410" s="131" t="str">
        <f ca="1">IFERROR(OFFSET(Camp_List[P_Code],MATCH(Data_NFI_t[[#This Row],[Camp Name]],Camp_List[Camp Name],0)-1,0,1,1),"")</f>
        <v/>
      </c>
      <c r="AN410" s="513" t="str">
        <f ca="1">IFERROR(OFFSET(Camp_List[Status],MATCH(Data_NFI_t[[#This Row],[Camp Name]],Camp_List[Camp Name],0)-1,0,1,1),"")</f>
        <v/>
      </c>
      <c r="AO410" s="131"/>
    </row>
    <row r="411" spans="1:44" s="90" customFormat="1" ht="19.5" customHeight="1" x14ac:dyDescent="0.25">
      <c r="A411" s="242">
        <f t="shared" si="8"/>
        <v>58.533333333333331</v>
      </c>
      <c r="B411" s="242">
        <f>YEAR(Data_NFI_t[[#This Row],[Distribution Date]])</f>
        <v>2012</v>
      </c>
      <c r="C411" s="913">
        <v>41100</v>
      </c>
      <c r="D411" s="489" t="s">
        <v>285</v>
      </c>
      <c r="E411" s="488"/>
      <c r="F411" s="489" t="s">
        <v>7</v>
      </c>
      <c r="G411" s="790" t="s">
        <v>19</v>
      </c>
      <c r="H411" s="790" t="s">
        <v>270</v>
      </c>
      <c r="I411" s="790"/>
      <c r="J411" s="51"/>
      <c r="K411" s="51"/>
      <c r="L411" s="51"/>
      <c r="M411" s="51">
        <v>5</v>
      </c>
      <c r="N411" s="51"/>
      <c r="O411" s="51"/>
      <c r="P411" s="51"/>
      <c r="Q411" s="51"/>
      <c r="R411" s="511"/>
      <c r="S411" s="51"/>
      <c r="T411" s="51"/>
      <c r="U411" s="51"/>
      <c r="V411" s="51"/>
      <c r="W411" s="51"/>
      <c r="X411" s="131">
        <f>IF(NFI_Expiration=1,IF($A411&lt;VLOOKUP(I$5,NFI,5,0),1,0)*Data_NFI_t[[#This Row],[Hygiene Kit]],0)</f>
        <v>0</v>
      </c>
      <c r="Y411" s="131">
        <f>IF(NFI_Expiration=1,IF($A411&lt;VLOOKUP(J$5,NFI,5,0),1,0)*Data_NFI_t[[#This Row],[NFI Core Kit]],0)</f>
        <v>0</v>
      </c>
      <c r="Z411" s="112">
        <f>IF(NFI_Expiration=1,IF($A411&lt;VLOOKUP(K$5,NFI,5,0),1,0)*Data_NFI_t[[#This Row],[Sanitary Kit]],0)</f>
        <v>0</v>
      </c>
      <c r="AA411" s="112">
        <f>IF(NFI_Expiration=1,IF($A411&lt;VLOOKUP(L$5,NFI,5,0),1,0)*Data_NFI_t[[#This Row],[Mosquito net]],0)</f>
        <v>0</v>
      </c>
      <c r="AB411" s="112">
        <f>IF(NFI_Expiration=1,IF($A411&lt;VLOOKUP(M$5,NFI,5,0),1,0)*Data_NFI_t[[#This Row],[Tarpaulin]],0)</f>
        <v>0</v>
      </c>
      <c r="AC411" s="112">
        <f>IF(NFI_Expiration=1,IF($A411&lt;VLOOKUP(N$5,NFI,5,0),1,0)*Data_NFI_t[[#This Row],[Blanket]],0)</f>
        <v>0</v>
      </c>
      <c r="AD411" s="112">
        <f>IF(NFI_Expiration=1,IF($A411&lt;VLOOKUP(O$5,NFI,5,0),1,0)*Data_NFI_t[[#This Row],[Kitchen Set]],0)</f>
        <v>0</v>
      </c>
      <c r="AE411" s="112">
        <f>IF(NFI_Expiration=1,IF($A411&lt;VLOOKUP(P$5,NFI,5,0),1,0)*Data_NFI_t[[#This Row],[Complementary Kit]],0)</f>
        <v>0</v>
      </c>
      <c r="AF411" s="112">
        <f>IF(NFI_Expiration=1,IF($A411&lt;VLOOKUP(Q$5,NFI,5,0),1,0)*Data_NFI_t[[#This Row],[Plastic Bucket]],0)</f>
        <v>0</v>
      </c>
      <c r="AG411" s="112">
        <f>IF(NFI_Expiration=1,IF($A411&lt;VLOOKUP(R$5,NFI,5,0),1,0)*Data_NFI_t[[#This Row],[Jerry Can]],0)</f>
        <v>0</v>
      </c>
      <c r="AH411" s="131">
        <f>IF(NFI_Expiration=1,IF($A411&lt;VLOOKUP(S$5,NFI,5,0),1,0)*Data_NFI_t[[#This Row],[Plastic Mat]],0)*IF(Data_NFI_t[[#This Row],[Distribution Date]]&gt;"01-06-2015",1,2.5)</f>
        <v>0</v>
      </c>
      <c r="AI411" s="901">
        <f>IF(NFI_Expiration=1,IF($A411&lt;VLOOKUP(T$5,NFI,5,0),1,0)*Data_NFI_t[[#This Row],[Adult Clothes]],0)</f>
        <v>0</v>
      </c>
      <c r="AJ411" s="131">
        <f>IF(NFI_Expiration=1,IF($A411&lt;VLOOKUP(U$5,NFI,5,0),1,0)*Data_NFI_t[[#This Row],[Children Clothes]],0)</f>
        <v>0</v>
      </c>
      <c r="AK411" s="131">
        <f>IF(NFI_Expiration=1,IF($A411&lt;VLOOKUP(V$5,NFI,5,0),1,0)*Data_NFI_t[[#This Row],[Sewing Kit]],0)</f>
        <v>0</v>
      </c>
      <c r="AL411" s="901">
        <f>IF(NFI_Expiration=1,IF($A411&lt;VLOOKUP(V$5,NFI,5,0),1,0)*Data_NFI_t[[#This Row],[Solar Lantern]],0)</f>
        <v>0</v>
      </c>
      <c r="AM411" s="131" t="str">
        <f ca="1">IFERROR(OFFSET(Camp_List[P_Code],MATCH(Data_NFI_t[[#This Row],[Camp Name]],Camp_List[Camp Name],0)-1,0,1,1),"")</f>
        <v/>
      </c>
      <c r="AN411" s="513" t="str">
        <f ca="1">IFERROR(OFFSET(Camp_List[Status],MATCH(Data_NFI_t[[#This Row],[Camp Name]],Camp_List[Camp Name],0)-1,0,1,1),"")</f>
        <v/>
      </c>
      <c r="AO411" s="131"/>
    </row>
    <row r="412" spans="1:44" s="90" customFormat="1" ht="19.5" customHeight="1" x14ac:dyDescent="0.25">
      <c r="A412" s="242">
        <f t="shared" si="8"/>
        <v>58.533333333333331</v>
      </c>
      <c r="B412" s="242">
        <f>YEAR(Data_NFI_t[[#This Row],[Distribution Date]])</f>
        <v>2012</v>
      </c>
      <c r="C412" s="913">
        <v>41100</v>
      </c>
      <c r="D412" s="489" t="s">
        <v>285</v>
      </c>
      <c r="E412" s="488"/>
      <c r="F412" s="489" t="s">
        <v>7</v>
      </c>
      <c r="G412" s="790" t="s">
        <v>19</v>
      </c>
      <c r="H412" s="790" t="s">
        <v>269</v>
      </c>
      <c r="I412" s="790"/>
      <c r="J412" s="51"/>
      <c r="K412" s="51"/>
      <c r="L412" s="51"/>
      <c r="M412" s="51">
        <v>16</v>
      </c>
      <c r="N412" s="51"/>
      <c r="O412" s="51"/>
      <c r="P412" s="51"/>
      <c r="Q412" s="51"/>
      <c r="R412" s="511"/>
      <c r="S412" s="51"/>
      <c r="T412" s="51"/>
      <c r="U412" s="51"/>
      <c r="V412" s="51"/>
      <c r="W412" s="51"/>
      <c r="X412" s="131">
        <f>IF(NFI_Expiration=1,IF($A412&lt;VLOOKUP(I$5,NFI,5,0),1,0)*Data_NFI_t[[#This Row],[Hygiene Kit]],0)</f>
        <v>0</v>
      </c>
      <c r="Y412" s="131">
        <f>IF(NFI_Expiration=1,IF($A412&lt;VLOOKUP(J$5,NFI,5,0),1,0)*Data_NFI_t[[#This Row],[NFI Core Kit]],0)</f>
        <v>0</v>
      </c>
      <c r="Z412" s="112">
        <f>IF(NFI_Expiration=1,IF($A412&lt;VLOOKUP(K$5,NFI,5,0),1,0)*Data_NFI_t[[#This Row],[Sanitary Kit]],0)</f>
        <v>0</v>
      </c>
      <c r="AA412" s="112">
        <f>IF(NFI_Expiration=1,IF($A412&lt;VLOOKUP(L$5,NFI,5,0),1,0)*Data_NFI_t[[#This Row],[Mosquito net]],0)</f>
        <v>0</v>
      </c>
      <c r="AB412" s="112">
        <f>IF(NFI_Expiration=1,IF($A412&lt;VLOOKUP(M$5,NFI,5,0),1,0)*Data_NFI_t[[#This Row],[Tarpaulin]],0)</f>
        <v>0</v>
      </c>
      <c r="AC412" s="112">
        <f>IF(NFI_Expiration=1,IF($A412&lt;VLOOKUP(N$5,NFI,5,0),1,0)*Data_NFI_t[[#This Row],[Blanket]],0)</f>
        <v>0</v>
      </c>
      <c r="AD412" s="112">
        <f>IF(NFI_Expiration=1,IF($A412&lt;VLOOKUP(O$5,NFI,5,0),1,0)*Data_NFI_t[[#This Row],[Kitchen Set]],0)</f>
        <v>0</v>
      </c>
      <c r="AE412" s="112">
        <f>IF(NFI_Expiration=1,IF($A412&lt;VLOOKUP(P$5,NFI,5,0),1,0)*Data_NFI_t[[#This Row],[Complementary Kit]],0)</f>
        <v>0</v>
      </c>
      <c r="AF412" s="112">
        <f>IF(NFI_Expiration=1,IF($A412&lt;VLOOKUP(Q$5,NFI,5,0),1,0)*Data_NFI_t[[#This Row],[Plastic Bucket]],0)</f>
        <v>0</v>
      </c>
      <c r="AG412" s="112">
        <f>IF(NFI_Expiration=1,IF($A412&lt;VLOOKUP(R$5,NFI,5,0),1,0)*Data_NFI_t[[#This Row],[Jerry Can]],0)</f>
        <v>0</v>
      </c>
      <c r="AH412" s="131">
        <f>IF(NFI_Expiration=1,IF($A412&lt;VLOOKUP(S$5,NFI,5,0),1,0)*Data_NFI_t[[#This Row],[Plastic Mat]],0)*IF(Data_NFI_t[[#This Row],[Distribution Date]]&gt;"01-06-2015",1,2.5)</f>
        <v>0</v>
      </c>
      <c r="AI412" s="901">
        <f>IF(NFI_Expiration=1,IF($A412&lt;VLOOKUP(T$5,NFI,5,0),1,0)*Data_NFI_t[[#This Row],[Adult Clothes]],0)</f>
        <v>0</v>
      </c>
      <c r="AJ412" s="131">
        <f>IF(NFI_Expiration=1,IF($A412&lt;VLOOKUP(U$5,NFI,5,0),1,0)*Data_NFI_t[[#This Row],[Children Clothes]],0)</f>
        <v>0</v>
      </c>
      <c r="AK412" s="131">
        <f>IF(NFI_Expiration=1,IF($A412&lt;VLOOKUP(V$5,NFI,5,0),1,0)*Data_NFI_t[[#This Row],[Sewing Kit]],0)</f>
        <v>0</v>
      </c>
      <c r="AL412" s="901">
        <f>IF(NFI_Expiration=1,IF($A412&lt;VLOOKUP(V$5,NFI,5,0),1,0)*Data_NFI_t[[#This Row],[Solar Lantern]],0)</f>
        <v>0</v>
      </c>
      <c r="AM412" s="131" t="str">
        <f ca="1">IFERROR(OFFSET(Camp_List[P_Code],MATCH(Data_NFI_t[[#This Row],[Camp Name]],Camp_List[Camp Name],0)-1,0,1,1),"")</f>
        <v/>
      </c>
      <c r="AN412" s="513" t="str">
        <f ca="1">IFERROR(OFFSET(Camp_List[Status],MATCH(Data_NFI_t[[#This Row],[Camp Name]],Camp_List[Camp Name],0)-1,0,1,1),"")</f>
        <v/>
      </c>
      <c r="AO412" s="131"/>
    </row>
    <row r="413" spans="1:44" s="90" customFormat="1" ht="19.5" customHeight="1" x14ac:dyDescent="0.25">
      <c r="A413" s="242">
        <f t="shared" si="8"/>
        <v>58.533333333333331</v>
      </c>
      <c r="B413" s="242">
        <f>YEAR(Data_NFI_t[[#This Row],[Distribution Date]])</f>
        <v>2012</v>
      </c>
      <c r="C413" s="913">
        <v>41100</v>
      </c>
      <c r="D413" s="489" t="s">
        <v>285</v>
      </c>
      <c r="E413" s="488"/>
      <c r="F413" s="489" t="s">
        <v>7</v>
      </c>
      <c r="G413" s="790" t="s">
        <v>19</v>
      </c>
      <c r="H413" s="790" t="s">
        <v>268</v>
      </c>
      <c r="I413" s="790"/>
      <c r="J413" s="51"/>
      <c r="K413" s="51"/>
      <c r="L413" s="51"/>
      <c r="M413" s="51">
        <v>11</v>
      </c>
      <c r="N413" s="51"/>
      <c r="O413" s="51"/>
      <c r="P413" s="51"/>
      <c r="Q413" s="51"/>
      <c r="R413" s="511"/>
      <c r="S413" s="51"/>
      <c r="T413" s="51"/>
      <c r="U413" s="51"/>
      <c r="V413" s="51"/>
      <c r="W413" s="51"/>
      <c r="X413" s="131">
        <f>IF(NFI_Expiration=1,IF($A413&lt;VLOOKUP(I$5,NFI,5,0),1,0)*Data_NFI_t[[#This Row],[Hygiene Kit]],0)</f>
        <v>0</v>
      </c>
      <c r="Y413" s="131">
        <f>IF(NFI_Expiration=1,IF($A413&lt;VLOOKUP(J$5,NFI,5,0),1,0)*Data_NFI_t[[#This Row],[NFI Core Kit]],0)</f>
        <v>0</v>
      </c>
      <c r="Z413" s="112">
        <f>IF(NFI_Expiration=1,IF($A413&lt;VLOOKUP(K$5,NFI,5,0),1,0)*Data_NFI_t[[#This Row],[Sanitary Kit]],0)</f>
        <v>0</v>
      </c>
      <c r="AA413" s="112">
        <f>IF(NFI_Expiration=1,IF($A413&lt;VLOOKUP(L$5,NFI,5,0),1,0)*Data_NFI_t[[#This Row],[Mosquito net]],0)</f>
        <v>0</v>
      </c>
      <c r="AB413" s="112">
        <f>IF(NFI_Expiration=1,IF($A413&lt;VLOOKUP(M$5,NFI,5,0),1,0)*Data_NFI_t[[#This Row],[Tarpaulin]],0)</f>
        <v>0</v>
      </c>
      <c r="AC413" s="112">
        <f>IF(NFI_Expiration=1,IF($A413&lt;VLOOKUP(N$5,NFI,5,0),1,0)*Data_NFI_t[[#This Row],[Blanket]],0)</f>
        <v>0</v>
      </c>
      <c r="AD413" s="112">
        <f>IF(NFI_Expiration=1,IF($A413&lt;VLOOKUP(O$5,NFI,5,0),1,0)*Data_NFI_t[[#This Row],[Kitchen Set]],0)</f>
        <v>0</v>
      </c>
      <c r="AE413" s="112">
        <f>IF(NFI_Expiration=1,IF($A413&lt;VLOOKUP(P$5,NFI,5,0),1,0)*Data_NFI_t[[#This Row],[Complementary Kit]],0)</f>
        <v>0</v>
      </c>
      <c r="AF413" s="112">
        <f>IF(NFI_Expiration=1,IF($A413&lt;VLOOKUP(Q$5,NFI,5,0),1,0)*Data_NFI_t[[#This Row],[Plastic Bucket]],0)</f>
        <v>0</v>
      </c>
      <c r="AG413" s="112">
        <f>IF(NFI_Expiration=1,IF($A413&lt;VLOOKUP(R$5,NFI,5,0),1,0)*Data_NFI_t[[#This Row],[Jerry Can]],0)</f>
        <v>0</v>
      </c>
      <c r="AH413" s="131">
        <f>IF(NFI_Expiration=1,IF($A413&lt;VLOOKUP(S$5,NFI,5,0),1,0)*Data_NFI_t[[#This Row],[Plastic Mat]],0)*IF(Data_NFI_t[[#This Row],[Distribution Date]]&gt;"01-06-2015",1,2.5)</f>
        <v>0</v>
      </c>
      <c r="AI413" s="901">
        <f>IF(NFI_Expiration=1,IF($A413&lt;VLOOKUP(T$5,NFI,5,0),1,0)*Data_NFI_t[[#This Row],[Adult Clothes]],0)</f>
        <v>0</v>
      </c>
      <c r="AJ413" s="131">
        <f>IF(NFI_Expiration=1,IF($A413&lt;VLOOKUP(U$5,NFI,5,0),1,0)*Data_NFI_t[[#This Row],[Children Clothes]],0)</f>
        <v>0</v>
      </c>
      <c r="AK413" s="131">
        <f>IF(NFI_Expiration=1,IF($A413&lt;VLOOKUP(V$5,NFI,5,0),1,0)*Data_NFI_t[[#This Row],[Sewing Kit]],0)</f>
        <v>0</v>
      </c>
      <c r="AL413" s="901">
        <f>IF(NFI_Expiration=1,IF($A413&lt;VLOOKUP(V$5,NFI,5,0),1,0)*Data_NFI_t[[#This Row],[Solar Lantern]],0)</f>
        <v>0</v>
      </c>
      <c r="AM413" s="131" t="str">
        <f ca="1">IFERROR(OFFSET(Camp_List[P_Code],MATCH(Data_NFI_t[[#This Row],[Camp Name]],Camp_List[Camp Name],0)-1,0,1,1),"")</f>
        <v/>
      </c>
      <c r="AN413" s="513" t="str">
        <f ca="1">IFERROR(OFFSET(Camp_List[Status],MATCH(Data_NFI_t[[#This Row],[Camp Name]],Camp_List[Camp Name],0)-1,0,1,1),"")</f>
        <v/>
      </c>
      <c r="AO413" s="131"/>
    </row>
    <row r="414" spans="1:44" s="90" customFormat="1" ht="19.5" customHeight="1" x14ac:dyDescent="0.25">
      <c r="A414" s="242">
        <f t="shared" si="8"/>
        <v>58.533333333333331</v>
      </c>
      <c r="B414" s="242">
        <f>YEAR(Data_NFI_t[[#This Row],[Distribution Date]])</f>
        <v>2012</v>
      </c>
      <c r="C414" s="913">
        <v>41100</v>
      </c>
      <c r="D414" s="489" t="s">
        <v>285</v>
      </c>
      <c r="E414" s="488"/>
      <c r="F414" s="489" t="s">
        <v>7</v>
      </c>
      <c r="G414" s="790" t="s">
        <v>19</v>
      </c>
      <c r="H414" s="790" t="s">
        <v>96</v>
      </c>
      <c r="I414" s="790"/>
      <c r="J414" s="51"/>
      <c r="K414" s="51"/>
      <c r="L414" s="51"/>
      <c r="M414" s="51">
        <v>20</v>
      </c>
      <c r="N414" s="51"/>
      <c r="O414" s="51"/>
      <c r="P414" s="51"/>
      <c r="Q414" s="51"/>
      <c r="R414" s="511"/>
      <c r="S414" s="51"/>
      <c r="T414" s="51"/>
      <c r="U414" s="51"/>
      <c r="V414" s="51"/>
      <c r="W414" s="51"/>
      <c r="X414" s="131">
        <f>IF(NFI_Expiration=1,IF($A414&lt;VLOOKUP(I$5,NFI,5,0),1,0)*Data_NFI_t[[#This Row],[Hygiene Kit]],0)</f>
        <v>0</v>
      </c>
      <c r="Y414" s="131">
        <f>IF(NFI_Expiration=1,IF($A414&lt;VLOOKUP(J$5,NFI,5,0),1,0)*Data_NFI_t[[#This Row],[NFI Core Kit]],0)</f>
        <v>0</v>
      </c>
      <c r="Z414" s="112">
        <f>IF(NFI_Expiration=1,IF($A414&lt;VLOOKUP(K$5,NFI,5,0),1,0)*Data_NFI_t[[#This Row],[Sanitary Kit]],0)</f>
        <v>0</v>
      </c>
      <c r="AA414" s="112">
        <f>IF(NFI_Expiration=1,IF($A414&lt;VLOOKUP(L$5,NFI,5,0),1,0)*Data_NFI_t[[#This Row],[Mosquito net]],0)</f>
        <v>0</v>
      </c>
      <c r="AB414" s="112">
        <f>IF(NFI_Expiration=1,IF($A414&lt;VLOOKUP(M$5,NFI,5,0),1,0)*Data_NFI_t[[#This Row],[Tarpaulin]],0)</f>
        <v>0</v>
      </c>
      <c r="AC414" s="112">
        <f>IF(NFI_Expiration=1,IF($A414&lt;VLOOKUP(N$5,NFI,5,0),1,0)*Data_NFI_t[[#This Row],[Blanket]],0)</f>
        <v>0</v>
      </c>
      <c r="AD414" s="112">
        <f>IF(NFI_Expiration=1,IF($A414&lt;VLOOKUP(O$5,NFI,5,0),1,0)*Data_NFI_t[[#This Row],[Kitchen Set]],0)</f>
        <v>0</v>
      </c>
      <c r="AE414" s="112">
        <f>IF(NFI_Expiration=1,IF($A414&lt;VLOOKUP(P$5,NFI,5,0),1,0)*Data_NFI_t[[#This Row],[Complementary Kit]],0)</f>
        <v>0</v>
      </c>
      <c r="AF414" s="112">
        <f>IF(NFI_Expiration=1,IF($A414&lt;VLOOKUP(Q$5,NFI,5,0),1,0)*Data_NFI_t[[#This Row],[Plastic Bucket]],0)</f>
        <v>0</v>
      </c>
      <c r="AG414" s="112">
        <f>IF(NFI_Expiration=1,IF($A414&lt;VLOOKUP(R$5,NFI,5,0),1,0)*Data_NFI_t[[#This Row],[Jerry Can]],0)</f>
        <v>0</v>
      </c>
      <c r="AH414" s="131">
        <f>IF(NFI_Expiration=1,IF($A414&lt;VLOOKUP(S$5,NFI,5,0),1,0)*Data_NFI_t[[#This Row],[Plastic Mat]],0)*IF(Data_NFI_t[[#This Row],[Distribution Date]]&gt;"01-06-2015",1,2.5)</f>
        <v>0</v>
      </c>
      <c r="AI414" s="901">
        <f>IF(NFI_Expiration=1,IF($A414&lt;VLOOKUP(T$5,NFI,5,0),1,0)*Data_NFI_t[[#This Row],[Adult Clothes]],0)</f>
        <v>0</v>
      </c>
      <c r="AJ414" s="131">
        <f>IF(NFI_Expiration=1,IF($A414&lt;VLOOKUP(U$5,NFI,5,0),1,0)*Data_NFI_t[[#This Row],[Children Clothes]],0)</f>
        <v>0</v>
      </c>
      <c r="AK414" s="131">
        <f>IF(NFI_Expiration=1,IF($A414&lt;VLOOKUP(V$5,NFI,5,0),1,0)*Data_NFI_t[[#This Row],[Sewing Kit]],0)</f>
        <v>0</v>
      </c>
      <c r="AL414" s="901">
        <f>IF(NFI_Expiration=1,IF($A414&lt;VLOOKUP(V$5,NFI,5,0),1,0)*Data_NFI_t[[#This Row],[Solar Lantern]],0)</f>
        <v>0</v>
      </c>
      <c r="AM414" s="131" t="str">
        <f ca="1">IFERROR(OFFSET(Camp_List[P_Code],MATCH(Data_NFI_t[[#This Row],[Camp Name]],Camp_List[Camp Name],0)-1,0,1,1),"")</f>
        <v>MMR012CMP075</v>
      </c>
      <c r="AN414" s="513" t="str">
        <f ca="1">IFERROR(OFFSET(Camp_List[Status],MATCH(Data_NFI_t[[#This Row],[Camp Name]],Camp_List[Camp Name],0)-1,0,1,1),"")</f>
        <v>Close</v>
      </c>
      <c r="AO414" s="131"/>
    </row>
    <row r="415" spans="1:44" s="90" customFormat="1" ht="19.5" customHeight="1" x14ac:dyDescent="0.25">
      <c r="A415" s="242">
        <f t="shared" si="8"/>
        <v>58.533333333333331</v>
      </c>
      <c r="B415" s="242">
        <f>YEAR(Data_NFI_t[[#This Row],[Distribution Date]])</f>
        <v>2012</v>
      </c>
      <c r="C415" s="913">
        <v>41100</v>
      </c>
      <c r="D415" s="489" t="s">
        <v>285</v>
      </c>
      <c r="E415" s="488"/>
      <c r="F415" s="489" t="s">
        <v>7</v>
      </c>
      <c r="G415" s="790" t="s">
        <v>19</v>
      </c>
      <c r="H415" s="790" t="s">
        <v>271</v>
      </c>
      <c r="I415" s="790"/>
      <c r="J415" s="51"/>
      <c r="K415" s="51"/>
      <c r="L415" s="51"/>
      <c r="M415" s="51">
        <v>2</v>
      </c>
      <c r="N415" s="51"/>
      <c r="O415" s="51"/>
      <c r="P415" s="51"/>
      <c r="Q415" s="51"/>
      <c r="R415" s="511"/>
      <c r="S415" s="51"/>
      <c r="T415" s="51"/>
      <c r="U415" s="51"/>
      <c r="V415" s="51"/>
      <c r="W415" s="51"/>
      <c r="X415" s="131">
        <f>IF(NFI_Expiration=1,IF($A415&lt;VLOOKUP(I$5,NFI,5,0),1,0)*Data_NFI_t[[#This Row],[Hygiene Kit]],0)</f>
        <v>0</v>
      </c>
      <c r="Y415" s="131">
        <f>IF(NFI_Expiration=1,IF($A415&lt;VLOOKUP(J$5,NFI,5,0),1,0)*Data_NFI_t[[#This Row],[NFI Core Kit]],0)</f>
        <v>0</v>
      </c>
      <c r="Z415" s="112">
        <f>IF(NFI_Expiration=1,IF($A415&lt;VLOOKUP(K$5,NFI,5,0),1,0)*Data_NFI_t[[#This Row],[Sanitary Kit]],0)</f>
        <v>0</v>
      </c>
      <c r="AA415" s="112">
        <f>IF(NFI_Expiration=1,IF($A415&lt;VLOOKUP(L$5,NFI,5,0),1,0)*Data_NFI_t[[#This Row],[Mosquito net]],0)</f>
        <v>0</v>
      </c>
      <c r="AB415" s="112">
        <f>IF(NFI_Expiration=1,IF($A415&lt;VLOOKUP(M$5,NFI,5,0),1,0)*Data_NFI_t[[#This Row],[Tarpaulin]],0)</f>
        <v>0</v>
      </c>
      <c r="AC415" s="112">
        <f>IF(NFI_Expiration=1,IF($A415&lt;VLOOKUP(N$5,NFI,5,0),1,0)*Data_NFI_t[[#This Row],[Blanket]],0)</f>
        <v>0</v>
      </c>
      <c r="AD415" s="112">
        <f>IF(NFI_Expiration=1,IF($A415&lt;VLOOKUP(O$5,NFI,5,0),1,0)*Data_NFI_t[[#This Row],[Kitchen Set]],0)</f>
        <v>0</v>
      </c>
      <c r="AE415" s="112">
        <f>IF(NFI_Expiration=1,IF($A415&lt;VLOOKUP(P$5,NFI,5,0),1,0)*Data_NFI_t[[#This Row],[Complementary Kit]],0)</f>
        <v>0</v>
      </c>
      <c r="AF415" s="112">
        <f>IF(NFI_Expiration=1,IF($A415&lt;VLOOKUP(Q$5,NFI,5,0),1,0)*Data_NFI_t[[#This Row],[Plastic Bucket]],0)</f>
        <v>0</v>
      </c>
      <c r="AG415" s="112">
        <f>IF(NFI_Expiration=1,IF($A415&lt;VLOOKUP(R$5,NFI,5,0),1,0)*Data_NFI_t[[#This Row],[Jerry Can]],0)</f>
        <v>0</v>
      </c>
      <c r="AH415" s="131">
        <f>IF(NFI_Expiration=1,IF($A415&lt;VLOOKUP(S$5,NFI,5,0),1,0)*Data_NFI_t[[#This Row],[Plastic Mat]],0)*IF(Data_NFI_t[[#This Row],[Distribution Date]]&gt;"01-06-2015",1,2.5)</f>
        <v>0</v>
      </c>
      <c r="AI415" s="901">
        <f>IF(NFI_Expiration=1,IF($A415&lt;VLOOKUP(T$5,NFI,5,0),1,0)*Data_NFI_t[[#This Row],[Adult Clothes]],0)</f>
        <v>0</v>
      </c>
      <c r="AJ415" s="131">
        <f>IF(NFI_Expiration=1,IF($A415&lt;VLOOKUP(U$5,NFI,5,0),1,0)*Data_NFI_t[[#This Row],[Children Clothes]],0)</f>
        <v>0</v>
      </c>
      <c r="AK415" s="131">
        <f>IF(NFI_Expiration=1,IF($A415&lt;VLOOKUP(V$5,NFI,5,0),1,0)*Data_NFI_t[[#This Row],[Sewing Kit]],0)</f>
        <v>0</v>
      </c>
      <c r="AL415" s="901">
        <f>IF(NFI_Expiration=1,IF($A415&lt;VLOOKUP(V$5,NFI,5,0),1,0)*Data_NFI_t[[#This Row],[Solar Lantern]],0)</f>
        <v>0</v>
      </c>
      <c r="AM415" s="131" t="str">
        <f ca="1">IFERROR(OFFSET(Camp_List[P_Code],MATCH(Data_NFI_t[[#This Row],[Camp Name]],Camp_List[Camp Name],0)-1,0,1,1),"")</f>
        <v/>
      </c>
      <c r="AN415" s="513" t="str">
        <f ca="1">IFERROR(OFFSET(Camp_List[Status],MATCH(Data_NFI_t[[#This Row],[Camp Name]],Camp_List[Camp Name],0)-1,0,1,1),"")</f>
        <v/>
      </c>
      <c r="AO415" s="131"/>
    </row>
    <row r="416" spans="1:44" s="90" customFormat="1" ht="19.5" customHeight="1" x14ac:dyDescent="0.25">
      <c r="A416" s="242">
        <f t="shared" si="8"/>
        <v>58.56666666666667</v>
      </c>
      <c r="B416" s="242">
        <f>YEAR(Data_NFI_t[[#This Row],[Distribution Date]])</f>
        <v>2012</v>
      </c>
      <c r="C416" s="913">
        <v>41099</v>
      </c>
      <c r="D416" s="489" t="s">
        <v>285</v>
      </c>
      <c r="E416" s="488"/>
      <c r="F416" s="489" t="s">
        <v>7</v>
      </c>
      <c r="G416" s="790" t="s">
        <v>19</v>
      </c>
      <c r="H416" s="790" t="s">
        <v>266</v>
      </c>
      <c r="I416" s="790"/>
      <c r="J416" s="51"/>
      <c r="K416" s="51"/>
      <c r="L416" s="51"/>
      <c r="M416" s="51">
        <v>5</v>
      </c>
      <c r="N416" s="51"/>
      <c r="O416" s="51"/>
      <c r="P416" s="51"/>
      <c r="Q416" s="51"/>
      <c r="R416" s="511"/>
      <c r="S416" s="51"/>
      <c r="T416" s="51"/>
      <c r="U416" s="51"/>
      <c r="V416" s="51"/>
      <c r="W416" s="51"/>
      <c r="X416" s="131">
        <f>IF(NFI_Expiration=1,IF($A416&lt;VLOOKUP(I$5,NFI,5,0),1,0)*Data_NFI_t[[#This Row],[Hygiene Kit]],0)</f>
        <v>0</v>
      </c>
      <c r="Y416" s="131">
        <f>IF(NFI_Expiration=1,IF($A416&lt;VLOOKUP(J$5,NFI,5,0),1,0)*Data_NFI_t[[#This Row],[NFI Core Kit]],0)</f>
        <v>0</v>
      </c>
      <c r="Z416" s="112">
        <f>IF(NFI_Expiration=1,IF($A416&lt;VLOOKUP(K$5,NFI,5,0),1,0)*Data_NFI_t[[#This Row],[Sanitary Kit]],0)</f>
        <v>0</v>
      </c>
      <c r="AA416" s="112">
        <f>IF(NFI_Expiration=1,IF($A416&lt;VLOOKUP(L$5,NFI,5,0),1,0)*Data_NFI_t[[#This Row],[Mosquito net]],0)</f>
        <v>0</v>
      </c>
      <c r="AB416" s="112">
        <f>IF(NFI_Expiration=1,IF($A416&lt;VLOOKUP(M$5,NFI,5,0),1,0)*Data_NFI_t[[#This Row],[Tarpaulin]],0)</f>
        <v>0</v>
      </c>
      <c r="AC416" s="112">
        <f>IF(NFI_Expiration=1,IF($A416&lt;VLOOKUP(N$5,NFI,5,0),1,0)*Data_NFI_t[[#This Row],[Blanket]],0)</f>
        <v>0</v>
      </c>
      <c r="AD416" s="112">
        <f>IF(NFI_Expiration=1,IF($A416&lt;VLOOKUP(O$5,NFI,5,0),1,0)*Data_NFI_t[[#This Row],[Kitchen Set]],0)</f>
        <v>0</v>
      </c>
      <c r="AE416" s="112">
        <f>IF(NFI_Expiration=1,IF($A416&lt;VLOOKUP(P$5,NFI,5,0),1,0)*Data_NFI_t[[#This Row],[Complementary Kit]],0)</f>
        <v>0</v>
      </c>
      <c r="AF416" s="112">
        <f>IF(NFI_Expiration=1,IF($A416&lt;VLOOKUP(Q$5,NFI,5,0),1,0)*Data_NFI_t[[#This Row],[Plastic Bucket]],0)</f>
        <v>0</v>
      </c>
      <c r="AG416" s="112">
        <f>IF(NFI_Expiration=1,IF($A416&lt;VLOOKUP(R$5,NFI,5,0),1,0)*Data_NFI_t[[#This Row],[Jerry Can]],0)</f>
        <v>0</v>
      </c>
      <c r="AH416" s="131">
        <f>IF(NFI_Expiration=1,IF($A416&lt;VLOOKUP(S$5,NFI,5,0),1,0)*Data_NFI_t[[#This Row],[Plastic Mat]],0)*IF(Data_NFI_t[[#This Row],[Distribution Date]]&gt;"01-06-2015",1,2.5)</f>
        <v>0</v>
      </c>
      <c r="AI416" s="901">
        <f>IF(NFI_Expiration=1,IF($A416&lt;VLOOKUP(T$5,NFI,5,0),1,0)*Data_NFI_t[[#This Row],[Adult Clothes]],0)</f>
        <v>0</v>
      </c>
      <c r="AJ416" s="131">
        <f>IF(NFI_Expiration=1,IF($A416&lt;VLOOKUP(U$5,NFI,5,0),1,0)*Data_NFI_t[[#This Row],[Children Clothes]],0)</f>
        <v>0</v>
      </c>
      <c r="AK416" s="131">
        <f>IF(NFI_Expiration=1,IF($A416&lt;VLOOKUP(V$5,NFI,5,0),1,0)*Data_NFI_t[[#This Row],[Sewing Kit]],0)</f>
        <v>0</v>
      </c>
      <c r="AL416" s="901">
        <f>IF(NFI_Expiration=1,IF($A416&lt;VLOOKUP(V$5,NFI,5,0),1,0)*Data_NFI_t[[#This Row],[Solar Lantern]],0)</f>
        <v>0</v>
      </c>
      <c r="AM416" s="131" t="str">
        <f ca="1">IFERROR(OFFSET(Camp_List[P_Code],MATCH(Data_NFI_t[[#This Row],[Camp Name]],Camp_List[Camp Name],0)-1,0,1,1),"")</f>
        <v/>
      </c>
      <c r="AN416" s="513" t="str">
        <f ca="1">IFERROR(OFFSET(Camp_List[Status],MATCH(Data_NFI_t[[#This Row],[Camp Name]],Camp_List[Camp Name],0)-1,0,1,1),"")</f>
        <v/>
      </c>
      <c r="AO416" s="131"/>
    </row>
    <row r="417" spans="1:41" s="90" customFormat="1" ht="19.5" customHeight="1" x14ac:dyDescent="0.25">
      <c r="A417" s="242">
        <f t="shared" si="8"/>
        <v>58.56666666666667</v>
      </c>
      <c r="B417" s="242">
        <f>YEAR(Data_NFI_t[[#This Row],[Distribution Date]])</f>
        <v>2012</v>
      </c>
      <c r="C417" s="913">
        <v>41099</v>
      </c>
      <c r="D417" s="489" t="s">
        <v>285</v>
      </c>
      <c r="E417" s="488"/>
      <c r="F417" s="489" t="s">
        <v>7</v>
      </c>
      <c r="G417" s="790" t="s">
        <v>19</v>
      </c>
      <c r="H417" s="790" t="s">
        <v>258</v>
      </c>
      <c r="I417" s="790"/>
      <c r="J417" s="51"/>
      <c r="K417" s="51"/>
      <c r="L417" s="51"/>
      <c r="M417" s="51">
        <v>10</v>
      </c>
      <c r="N417" s="51"/>
      <c r="O417" s="51"/>
      <c r="P417" s="51"/>
      <c r="Q417" s="51"/>
      <c r="R417" s="511"/>
      <c r="S417" s="51"/>
      <c r="T417" s="51"/>
      <c r="U417" s="51"/>
      <c r="V417" s="51"/>
      <c r="W417" s="51"/>
      <c r="X417" s="131">
        <f>IF(NFI_Expiration=1,IF($A417&lt;VLOOKUP(I$5,NFI,5,0),1,0)*Data_NFI_t[[#This Row],[Hygiene Kit]],0)</f>
        <v>0</v>
      </c>
      <c r="Y417" s="131">
        <f>IF(NFI_Expiration=1,IF($A417&lt;VLOOKUP(J$5,NFI,5,0),1,0)*Data_NFI_t[[#This Row],[NFI Core Kit]],0)</f>
        <v>0</v>
      </c>
      <c r="Z417" s="112">
        <f>IF(NFI_Expiration=1,IF($A417&lt;VLOOKUP(K$5,NFI,5,0),1,0)*Data_NFI_t[[#This Row],[Sanitary Kit]],0)</f>
        <v>0</v>
      </c>
      <c r="AA417" s="112">
        <f>IF(NFI_Expiration=1,IF($A417&lt;VLOOKUP(L$5,NFI,5,0),1,0)*Data_NFI_t[[#This Row],[Mosquito net]],0)</f>
        <v>0</v>
      </c>
      <c r="AB417" s="112">
        <f>IF(NFI_Expiration=1,IF($A417&lt;VLOOKUP(M$5,NFI,5,0),1,0)*Data_NFI_t[[#This Row],[Tarpaulin]],0)</f>
        <v>0</v>
      </c>
      <c r="AC417" s="112">
        <f>IF(NFI_Expiration=1,IF($A417&lt;VLOOKUP(N$5,NFI,5,0),1,0)*Data_NFI_t[[#This Row],[Blanket]],0)</f>
        <v>0</v>
      </c>
      <c r="AD417" s="112">
        <f>IF(NFI_Expiration=1,IF($A417&lt;VLOOKUP(O$5,NFI,5,0),1,0)*Data_NFI_t[[#This Row],[Kitchen Set]],0)</f>
        <v>0</v>
      </c>
      <c r="AE417" s="112">
        <f>IF(NFI_Expiration=1,IF($A417&lt;VLOOKUP(P$5,NFI,5,0),1,0)*Data_NFI_t[[#This Row],[Complementary Kit]],0)</f>
        <v>0</v>
      </c>
      <c r="AF417" s="112">
        <f>IF(NFI_Expiration=1,IF($A417&lt;VLOOKUP(Q$5,NFI,5,0),1,0)*Data_NFI_t[[#This Row],[Plastic Bucket]],0)</f>
        <v>0</v>
      </c>
      <c r="AG417" s="112">
        <f>IF(NFI_Expiration=1,IF($A417&lt;VLOOKUP(R$5,NFI,5,0),1,0)*Data_NFI_t[[#This Row],[Jerry Can]],0)</f>
        <v>0</v>
      </c>
      <c r="AH417" s="131">
        <f>IF(NFI_Expiration=1,IF($A417&lt;VLOOKUP(S$5,NFI,5,0),1,0)*Data_NFI_t[[#This Row],[Plastic Mat]],0)*IF(Data_NFI_t[[#This Row],[Distribution Date]]&gt;"01-06-2015",1,2.5)</f>
        <v>0</v>
      </c>
      <c r="AI417" s="901">
        <f>IF(NFI_Expiration=1,IF($A417&lt;VLOOKUP(T$5,NFI,5,0),1,0)*Data_NFI_t[[#This Row],[Adult Clothes]],0)</f>
        <v>0</v>
      </c>
      <c r="AJ417" s="131">
        <f>IF(NFI_Expiration=1,IF($A417&lt;VLOOKUP(U$5,NFI,5,0),1,0)*Data_NFI_t[[#This Row],[Children Clothes]],0)</f>
        <v>0</v>
      </c>
      <c r="AK417" s="131">
        <f>IF(NFI_Expiration=1,IF($A417&lt;VLOOKUP(V$5,NFI,5,0),1,0)*Data_NFI_t[[#This Row],[Sewing Kit]],0)</f>
        <v>0</v>
      </c>
      <c r="AL417" s="901">
        <f>IF(NFI_Expiration=1,IF($A417&lt;VLOOKUP(V$5,NFI,5,0),1,0)*Data_NFI_t[[#This Row],[Solar Lantern]],0)</f>
        <v>0</v>
      </c>
      <c r="AM417" s="131" t="str">
        <f ca="1">IFERROR(OFFSET(Camp_List[P_Code],MATCH(Data_NFI_t[[#This Row],[Camp Name]],Camp_List[Camp Name],0)-1,0,1,1),"")</f>
        <v/>
      </c>
      <c r="AN417" s="513" t="str">
        <f ca="1">IFERROR(OFFSET(Camp_List[Status],MATCH(Data_NFI_t[[#This Row],[Camp Name]],Camp_List[Camp Name],0)-1,0,1,1),"")</f>
        <v/>
      </c>
      <c r="AO417" s="131"/>
    </row>
    <row r="418" spans="1:41" s="90" customFormat="1" ht="19.5" customHeight="1" x14ac:dyDescent="0.25">
      <c r="A418" s="242">
        <f t="shared" si="8"/>
        <v>58.56666666666667</v>
      </c>
      <c r="B418" s="242">
        <f>YEAR(Data_NFI_t[[#This Row],[Distribution Date]])</f>
        <v>2012</v>
      </c>
      <c r="C418" s="913">
        <v>41099</v>
      </c>
      <c r="D418" s="489" t="s">
        <v>285</v>
      </c>
      <c r="E418" s="488"/>
      <c r="F418" s="489" t="s">
        <v>7</v>
      </c>
      <c r="G418" s="790" t="s">
        <v>19</v>
      </c>
      <c r="H418" s="790" t="s">
        <v>263</v>
      </c>
      <c r="I418" s="790"/>
      <c r="J418" s="51"/>
      <c r="K418" s="51"/>
      <c r="L418" s="51"/>
      <c r="M418" s="51">
        <v>26</v>
      </c>
      <c r="N418" s="51"/>
      <c r="O418" s="51"/>
      <c r="P418" s="51"/>
      <c r="Q418" s="51"/>
      <c r="R418" s="511"/>
      <c r="S418" s="51"/>
      <c r="T418" s="51"/>
      <c r="U418" s="51"/>
      <c r="V418" s="51"/>
      <c r="W418" s="51"/>
      <c r="X418" s="131">
        <f>IF(NFI_Expiration=1,IF($A418&lt;VLOOKUP(I$5,NFI,5,0),1,0)*Data_NFI_t[[#This Row],[Hygiene Kit]],0)</f>
        <v>0</v>
      </c>
      <c r="Y418" s="131">
        <f>IF(NFI_Expiration=1,IF($A418&lt;VLOOKUP(J$5,NFI,5,0),1,0)*Data_NFI_t[[#This Row],[NFI Core Kit]],0)</f>
        <v>0</v>
      </c>
      <c r="Z418" s="112">
        <f>IF(NFI_Expiration=1,IF($A418&lt;VLOOKUP(K$5,NFI,5,0),1,0)*Data_NFI_t[[#This Row],[Sanitary Kit]],0)</f>
        <v>0</v>
      </c>
      <c r="AA418" s="112">
        <f>IF(NFI_Expiration=1,IF($A418&lt;VLOOKUP(L$5,NFI,5,0),1,0)*Data_NFI_t[[#This Row],[Mosquito net]],0)</f>
        <v>0</v>
      </c>
      <c r="AB418" s="112">
        <f>IF(NFI_Expiration=1,IF($A418&lt;VLOOKUP(M$5,NFI,5,0),1,0)*Data_NFI_t[[#This Row],[Tarpaulin]],0)</f>
        <v>0</v>
      </c>
      <c r="AC418" s="112">
        <f>IF(NFI_Expiration=1,IF($A418&lt;VLOOKUP(N$5,NFI,5,0),1,0)*Data_NFI_t[[#This Row],[Blanket]],0)</f>
        <v>0</v>
      </c>
      <c r="AD418" s="112">
        <f>IF(NFI_Expiration=1,IF($A418&lt;VLOOKUP(O$5,NFI,5,0),1,0)*Data_NFI_t[[#This Row],[Kitchen Set]],0)</f>
        <v>0</v>
      </c>
      <c r="AE418" s="112">
        <f>IF(NFI_Expiration=1,IF($A418&lt;VLOOKUP(P$5,NFI,5,0),1,0)*Data_NFI_t[[#This Row],[Complementary Kit]],0)</f>
        <v>0</v>
      </c>
      <c r="AF418" s="112">
        <f>IF(NFI_Expiration=1,IF($A418&lt;VLOOKUP(Q$5,NFI,5,0),1,0)*Data_NFI_t[[#This Row],[Plastic Bucket]],0)</f>
        <v>0</v>
      </c>
      <c r="AG418" s="112">
        <f>IF(NFI_Expiration=1,IF($A418&lt;VLOOKUP(R$5,NFI,5,0),1,0)*Data_NFI_t[[#This Row],[Jerry Can]],0)</f>
        <v>0</v>
      </c>
      <c r="AH418" s="131">
        <f>IF(NFI_Expiration=1,IF($A418&lt;VLOOKUP(S$5,NFI,5,0),1,0)*Data_NFI_t[[#This Row],[Plastic Mat]],0)*IF(Data_NFI_t[[#This Row],[Distribution Date]]&gt;"01-06-2015",1,2.5)</f>
        <v>0</v>
      </c>
      <c r="AI418" s="901">
        <f>IF(NFI_Expiration=1,IF($A418&lt;VLOOKUP(T$5,NFI,5,0),1,0)*Data_NFI_t[[#This Row],[Adult Clothes]],0)</f>
        <v>0</v>
      </c>
      <c r="AJ418" s="131">
        <f>IF(NFI_Expiration=1,IF($A418&lt;VLOOKUP(U$5,NFI,5,0),1,0)*Data_NFI_t[[#This Row],[Children Clothes]],0)</f>
        <v>0</v>
      </c>
      <c r="AK418" s="131">
        <f>IF(NFI_Expiration=1,IF($A418&lt;VLOOKUP(V$5,NFI,5,0),1,0)*Data_NFI_t[[#This Row],[Sewing Kit]],0)</f>
        <v>0</v>
      </c>
      <c r="AL418" s="901">
        <f>IF(NFI_Expiration=1,IF($A418&lt;VLOOKUP(V$5,NFI,5,0),1,0)*Data_NFI_t[[#This Row],[Solar Lantern]],0)</f>
        <v>0</v>
      </c>
      <c r="AM418" s="131" t="str">
        <f ca="1">IFERROR(OFFSET(Camp_List[P_Code],MATCH(Data_NFI_t[[#This Row],[Camp Name]],Camp_List[Camp Name],0)-1,0,1,1),"")</f>
        <v/>
      </c>
      <c r="AN418" s="513" t="str">
        <f ca="1">IFERROR(OFFSET(Camp_List[Status],MATCH(Data_NFI_t[[#This Row],[Camp Name]],Camp_List[Camp Name],0)-1,0,1,1),"")</f>
        <v/>
      </c>
      <c r="AO418" s="131"/>
    </row>
    <row r="419" spans="1:41" s="90" customFormat="1" ht="19.5" customHeight="1" x14ac:dyDescent="0.25">
      <c r="A419" s="242">
        <f t="shared" si="8"/>
        <v>58.56666666666667</v>
      </c>
      <c r="B419" s="242">
        <f>YEAR(Data_NFI_t[[#This Row],[Distribution Date]])</f>
        <v>2012</v>
      </c>
      <c r="C419" s="913">
        <v>41099</v>
      </c>
      <c r="D419" s="489" t="s">
        <v>285</v>
      </c>
      <c r="E419" s="488"/>
      <c r="F419" s="489" t="s">
        <v>7</v>
      </c>
      <c r="G419" s="790" t="s">
        <v>19</v>
      </c>
      <c r="H419" s="790" t="s">
        <v>262</v>
      </c>
      <c r="I419" s="790"/>
      <c r="J419" s="51"/>
      <c r="K419" s="51"/>
      <c r="L419" s="51"/>
      <c r="M419" s="51">
        <v>12</v>
      </c>
      <c r="N419" s="51"/>
      <c r="O419" s="51"/>
      <c r="P419" s="51"/>
      <c r="Q419" s="51"/>
      <c r="R419" s="511"/>
      <c r="S419" s="51"/>
      <c r="T419" s="51"/>
      <c r="U419" s="51"/>
      <c r="V419" s="51"/>
      <c r="W419" s="51"/>
      <c r="X419" s="131">
        <f>IF(NFI_Expiration=1,IF($A419&lt;VLOOKUP(I$5,NFI,5,0),1,0)*Data_NFI_t[[#This Row],[Hygiene Kit]],0)</f>
        <v>0</v>
      </c>
      <c r="Y419" s="131">
        <f>IF(NFI_Expiration=1,IF($A419&lt;VLOOKUP(J$5,NFI,5,0),1,0)*Data_NFI_t[[#This Row],[NFI Core Kit]],0)</f>
        <v>0</v>
      </c>
      <c r="Z419" s="112">
        <f>IF(NFI_Expiration=1,IF($A419&lt;VLOOKUP(K$5,NFI,5,0),1,0)*Data_NFI_t[[#This Row],[Sanitary Kit]],0)</f>
        <v>0</v>
      </c>
      <c r="AA419" s="112">
        <f>IF(NFI_Expiration=1,IF($A419&lt;VLOOKUP(L$5,NFI,5,0),1,0)*Data_NFI_t[[#This Row],[Mosquito net]],0)</f>
        <v>0</v>
      </c>
      <c r="AB419" s="112">
        <f>IF(NFI_Expiration=1,IF($A419&lt;VLOOKUP(M$5,NFI,5,0),1,0)*Data_NFI_t[[#This Row],[Tarpaulin]],0)</f>
        <v>0</v>
      </c>
      <c r="AC419" s="112">
        <f>IF(NFI_Expiration=1,IF($A419&lt;VLOOKUP(N$5,NFI,5,0),1,0)*Data_NFI_t[[#This Row],[Blanket]],0)</f>
        <v>0</v>
      </c>
      <c r="AD419" s="112">
        <f>IF(NFI_Expiration=1,IF($A419&lt;VLOOKUP(O$5,NFI,5,0),1,0)*Data_NFI_t[[#This Row],[Kitchen Set]],0)</f>
        <v>0</v>
      </c>
      <c r="AE419" s="112">
        <f>IF(NFI_Expiration=1,IF($A419&lt;VLOOKUP(P$5,NFI,5,0),1,0)*Data_NFI_t[[#This Row],[Complementary Kit]],0)</f>
        <v>0</v>
      </c>
      <c r="AF419" s="112">
        <f>IF(NFI_Expiration=1,IF($A419&lt;VLOOKUP(Q$5,NFI,5,0),1,0)*Data_NFI_t[[#This Row],[Plastic Bucket]],0)</f>
        <v>0</v>
      </c>
      <c r="AG419" s="112">
        <f>IF(NFI_Expiration=1,IF($A419&lt;VLOOKUP(R$5,NFI,5,0),1,0)*Data_NFI_t[[#This Row],[Jerry Can]],0)</f>
        <v>0</v>
      </c>
      <c r="AH419" s="131">
        <f>IF(NFI_Expiration=1,IF($A419&lt;VLOOKUP(S$5,NFI,5,0),1,0)*Data_NFI_t[[#This Row],[Plastic Mat]],0)*IF(Data_NFI_t[[#This Row],[Distribution Date]]&gt;"01-06-2015",1,2.5)</f>
        <v>0</v>
      </c>
      <c r="AI419" s="901">
        <f>IF(NFI_Expiration=1,IF($A419&lt;VLOOKUP(T$5,NFI,5,0),1,0)*Data_NFI_t[[#This Row],[Adult Clothes]],0)</f>
        <v>0</v>
      </c>
      <c r="AJ419" s="131">
        <f>IF(NFI_Expiration=1,IF($A419&lt;VLOOKUP(U$5,NFI,5,0),1,0)*Data_NFI_t[[#This Row],[Children Clothes]],0)</f>
        <v>0</v>
      </c>
      <c r="AK419" s="131">
        <f>IF(NFI_Expiration=1,IF($A419&lt;VLOOKUP(V$5,NFI,5,0),1,0)*Data_NFI_t[[#This Row],[Sewing Kit]],0)</f>
        <v>0</v>
      </c>
      <c r="AL419" s="901">
        <f>IF(NFI_Expiration=1,IF($A419&lt;VLOOKUP(V$5,NFI,5,0),1,0)*Data_NFI_t[[#This Row],[Solar Lantern]],0)</f>
        <v>0</v>
      </c>
      <c r="AM419" s="131" t="str">
        <f ca="1">IFERROR(OFFSET(Camp_List[P_Code],MATCH(Data_NFI_t[[#This Row],[Camp Name]],Camp_List[Camp Name],0)-1,0,1,1),"")</f>
        <v/>
      </c>
      <c r="AN419" s="513" t="str">
        <f ca="1">IFERROR(OFFSET(Camp_List[Status],MATCH(Data_NFI_t[[#This Row],[Camp Name]],Camp_List[Camp Name],0)-1,0,1,1),"")</f>
        <v/>
      </c>
      <c r="AO419" s="131"/>
    </row>
    <row r="420" spans="1:41" s="90" customFormat="1" ht="19.5" customHeight="1" x14ac:dyDescent="0.25">
      <c r="A420" s="242">
        <f t="shared" si="8"/>
        <v>58.56666666666667</v>
      </c>
      <c r="B420" s="242">
        <f>YEAR(Data_NFI_t[[#This Row],[Distribution Date]])</f>
        <v>2012</v>
      </c>
      <c r="C420" s="913">
        <v>41099</v>
      </c>
      <c r="D420" s="489" t="s">
        <v>285</v>
      </c>
      <c r="E420" s="488"/>
      <c r="F420" s="489" t="s">
        <v>7</v>
      </c>
      <c r="G420" s="790" t="s">
        <v>19</v>
      </c>
      <c r="H420" s="790" t="s">
        <v>259</v>
      </c>
      <c r="I420" s="790"/>
      <c r="J420" s="51"/>
      <c r="K420" s="51"/>
      <c r="L420" s="51"/>
      <c r="M420" s="51">
        <v>23</v>
      </c>
      <c r="N420" s="51"/>
      <c r="O420" s="51"/>
      <c r="P420" s="51"/>
      <c r="Q420" s="51"/>
      <c r="R420" s="511"/>
      <c r="S420" s="51"/>
      <c r="T420" s="51"/>
      <c r="U420" s="51"/>
      <c r="V420" s="51"/>
      <c r="W420" s="51"/>
      <c r="X420" s="131">
        <f>IF(NFI_Expiration=1,IF($A420&lt;VLOOKUP(I$5,NFI,5,0),1,0)*Data_NFI_t[[#This Row],[Hygiene Kit]],0)</f>
        <v>0</v>
      </c>
      <c r="Y420" s="131">
        <f>IF(NFI_Expiration=1,IF($A420&lt;VLOOKUP(J$5,NFI,5,0),1,0)*Data_NFI_t[[#This Row],[NFI Core Kit]],0)</f>
        <v>0</v>
      </c>
      <c r="Z420" s="112">
        <f>IF(NFI_Expiration=1,IF($A420&lt;VLOOKUP(K$5,NFI,5,0),1,0)*Data_NFI_t[[#This Row],[Sanitary Kit]],0)</f>
        <v>0</v>
      </c>
      <c r="AA420" s="112">
        <f>IF(NFI_Expiration=1,IF($A420&lt;VLOOKUP(L$5,NFI,5,0),1,0)*Data_NFI_t[[#This Row],[Mosquito net]],0)</f>
        <v>0</v>
      </c>
      <c r="AB420" s="112">
        <f>IF(NFI_Expiration=1,IF($A420&lt;VLOOKUP(M$5,NFI,5,0),1,0)*Data_NFI_t[[#This Row],[Tarpaulin]],0)</f>
        <v>0</v>
      </c>
      <c r="AC420" s="112">
        <f>IF(NFI_Expiration=1,IF($A420&lt;VLOOKUP(N$5,NFI,5,0),1,0)*Data_NFI_t[[#This Row],[Blanket]],0)</f>
        <v>0</v>
      </c>
      <c r="AD420" s="112">
        <f>IF(NFI_Expiration=1,IF($A420&lt;VLOOKUP(O$5,NFI,5,0),1,0)*Data_NFI_t[[#This Row],[Kitchen Set]],0)</f>
        <v>0</v>
      </c>
      <c r="AE420" s="112">
        <f>IF(NFI_Expiration=1,IF($A420&lt;VLOOKUP(P$5,NFI,5,0),1,0)*Data_NFI_t[[#This Row],[Complementary Kit]],0)</f>
        <v>0</v>
      </c>
      <c r="AF420" s="112">
        <f>IF(NFI_Expiration=1,IF($A420&lt;VLOOKUP(Q$5,NFI,5,0),1,0)*Data_NFI_t[[#This Row],[Plastic Bucket]],0)</f>
        <v>0</v>
      </c>
      <c r="AG420" s="112">
        <f>IF(NFI_Expiration=1,IF($A420&lt;VLOOKUP(R$5,NFI,5,0),1,0)*Data_NFI_t[[#This Row],[Jerry Can]],0)</f>
        <v>0</v>
      </c>
      <c r="AH420" s="131">
        <f>IF(NFI_Expiration=1,IF($A420&lt;VLOOKUP(S$5,NFI,5,0),1,0)*Data_NFI_t[[#This Row],[Plastic Mat]],0)*IF(Data_NFI_t[[#This Row],[Distribution Date]]&gt;"01-06-2015",1,2.5)</f>
        <v>0</v>
      </c>
      <c r="AI420" s="901">
        <f>IF(NFI_Expiration=1,IF($A420&lt;VLOOKUP(T$5,NFI,5,0),1,0)*Data_NFI_t[[#This Row],[Adult Clothes]],0)</f>
        <v>0</v>
      </c>
      <c r="AJ420" s="131">
        <f>IF(NFI_Expiration=1,IF($A420&lt;VLOOKUP(U$5,NFI,5,0),1,0)*Data_NFI_t[[#This Row],[Children Clothes]],0)</f>
        <v>0</v>
      </c>
      <c r="AK420" s="131">
        <f>IF(NFI_Expiration=1,IF($A420&lt;VLOOKUP(V$5,NFI,5,0),1,0)*Data_NFI_t[[#This Row],[Sewing Kit]],0)</f>
        <v>0</v>
      </c>
      <c r="AL420" s="901">
        <f>IF(NFI_Expiration=1,IF($A420&lt;VLOOKUP(V$5,NFI,5,0),1,0)*Data_NFI_t[[#This Row],[Solar Lantern]],0)</f>
        <v>0</v>
      </c>
      <c r="AM420" s="131" t="str">
        <f ca="1">IFERROR(OFFSET(Camp_List[P_Code],MATCH(Data_NFI_t[[#This Row],[Camp Name]],Camp_List[Camp Name],0)-1,0,1,1),"")</f>
        <v/>
      </c>
      <c r="AN420" s="513" t="str">
        <f ca="1">IFERROR(OFFSET(Camp_List[Status],MATCH(Data_NFI_t[[#This Row],[Camp Name]],Camp_List[Camp Name],0)-1,0,1,1),"")</f>
        <v/>
      </c>
      <c r="AO420" s="131"/>
    </row>
    <row r="421" spans="1:41" s="90" customFormat="1" ht="19.5" customHeight="1" x14ac:dyDescent="0.25">
      <c r="A421" s="242">
        <f t="shared" si="8"/>
        <v>58.56666666666667</v>
      </c>
      <c r="B421" s="242">
        <f>YEAR(Data_NFI_t[[#This Row],[Distribution Date]])</f>
        <v>2012</v>
      </c>
      <c r="C421" s="913">
        <v>41099</v>
      </c>
      <c r="D421" s="489" t="s">
        <v>285</v>
      </c>
      <c r="E421" s="488"/>
      <c r="F421" s="489" t="s">
        <v>7</v>
      </c>
      <c r="G421" s="790" t="s">
        <v>19</v>
      </c>
      <c r="H421" s="790" t="s">
        <v>260</v>
      </c>
      <c r="I421" s="790"/>
      <c r="J421" s="51"/>
      <c r="K421" s="51"/>
      <c r="L421" s="51"/>
      <c r="M421" s="51">
        <v>36</v>
      </c>
      <c r="N421" s="51"/>
      <c r="O421" s="51"/>
      <c r="P421" s="51"/>
      <c r="Q421" s="51"/>
      <c r="R421" s="511"/>
      <c r="S421" s="51"/>
      <c r="T421" s="51"/>
      <c r="U421" s="51"/>
      <c r="V421" s="51"/>
      <c r="W421" s="51"/>
      <c r="X421" s="131">
        <f>IF(NFI_Expiration=1,IF($A421&lt;VLOOKUP(I$5,NFI,5,0),1,0)*Data_NFI_t[[#This Row],[Hygiene Kit]],0)</f>
        <v>0</v>
      </c>
      <c r="Y421" s="131">
        <f>IF(NFI_Expiration=1,IF($A421&lt;VLOOKUP(J$5,NFI,5,0),1,0)*Data_NFI_t[[#This Row],[NFI Core Kit]],0)</f>
        <v>0</v>
      </c>
      <c r="Z421" s="112">
        <f>IF(NFI_Expiration=1,IF($A421&lt;VLOOKUP(K$5,NFI,5,0),1,0)*Data_NFI_t[[#This Row],[Sanitary Kit]],0)</f>
        <v>0</v>
      </c>
      <c r="AA421" s="112">
        <f>IF(NFI_Expiration=1,IF($A421&lt;VLOOKUP(L$5,NFI,5,0),1,0)*Data_NFI_t[[#This Row],[Mosquito net]],0)</f>
        <v>0</v>
      </c>
      <c r="AB421" s="112">
        <f>IF(NFI_Expiration=1,IF($A421&lt;VLOOKUP(M$5,NFI,5,0),1,0)*Data_NFI_t[[#This Row],[Tarpaulin]],0)</f>
        <v>0</v>
      </c>
      <c r="AC421" s="112">
        <f>IF(NFI_Expiration=1,IF($A421&lt;VLOOKUP(N$5,NFI,5,0),1,0)*Data_NFI_t[[#This Row],[Blanket]],0)</f>
        <v>0</v>
      </c>
      <c r="AD421" s="112">
        <f>IF(NFI_Expiration=1,IF($A421&lt;VLOOKUP(O$5,NFI,5,0),1,0)*Data_NFI_t[[#This Row],[Kitchen Set]],0)</f>
        <v>0</v>
      </c>
      <c r="AE421" s="112">
        <f>IF(NFI_Expiration=1,IF($A421&lt;VLOOKUP(P$5,NFI,5,0),1,0)*Data_NFI_t[[#This Row],[Complementary Kit]],0)</f>
        <v>0</v>
      </c>
      <c r="AF421" s="112">
        <f>IF(NFI_Expiration=1,IF($A421&lt;VLOOKUP(Q$5,NFI,5,0),1,0)*Data_NFI_t[[#This Row],[Plastic Bucket]],0)</f>
        <v>0</v>
      </c>
      <c r="AG421" s="112">
        <f>IF(NFI_Expiration=1,IF($A421&lt;VLOOKUP(R$5,NFI,5,0),1,0)*Data_NFI_t[[#This Row],[Jerry Can]],0)</f>
        <v>0</v>
      </c>
      <c r="AH421" s="131">
        <f>IF(NFI_Expiration=1,IF($A421&lt;VLOOKUP(S$5,NFI,5,0),1,0)*Data_NFI_t[[#This Row],[Plastic Mat]],0)*IF(Data_NFI_t[[#This Row],[Distribution Date]]&gt;"01-06-2015",1,2.5)</f>
        <v>0</v>
      </c>
      <c r="AI421" s="901">
        <f>IF(NFI_Expiration=1,IF($A421&lt;VLOOKUP(T$5,NFI,5,0),1,0)*Data_NFI_t[[#This Row],[Adult Clothes]],0)</f>
        <v>0</v>
      </c>
      <c r="AJ421" s="131">
        <f>IF(NFI_Expiration=1,IF($A421&lt;VLOOKUP(U$5,NFI,5,0),1,0)*Data_NFI_t[[#This Row],[Children Clothes]],0)</f>
        <v>0</v>
      </c>
      <c r="AK421" s="131">
        <f>IF(NFI_Expiration=1,IF($A421&lt;VLOOKUP(V$5,NFI,5,0),1,0)*Data_NFI_t[[#This Row],[Sewing Kit]],0)</f>
        <v>0</v>
      </c>
      <c r="AL421" s="901">
        <f>IF(NFI_Expiration=1,IF($A421&lt;VLOOKUP(V$5,NFI,5,0),1,0)*Data_NFI_t[[#This Row],[Solar Lantern]],0)</f>
        <v>0</v>
      </c>
      <c r="AM421" s="131" t="str">
        <f ca="1">IFERROR(OFFSET(Camp_List[P_Code],MATCH(Data_NFI_t[[#This Row],[Camp Name]],Camp_List[Camp Name],0)-1,0,1,1),"")</f>
        <v/>
      </c>
      <c r="AN421" s="513" t="str">
        <f ca="1">IFERROR(OFFSET(Camp_List[Status],MATCH(Data_NFI_t[[#This Row],[Camp Name]],Camp_List[Camp Name],0)-1,0,1,1),"")</f>
        <v/>
      </c>
      <c r="AO421" s="131"/>
    </row>
    <row r="422" spans="1:41" s="90" customFormat="1" ht="19.5" customHeight="1" x14ac:dyDescent="0.25">
      <c r="A422" s="242">
        <f t="shared" si="8"/>
        <v>58.56666666666667</v>
      </c>
      <c r="B422" s="242">
        <f>YEAR(Data_NFI_t[[#This Row],[Distribution Date]])</f>
        <v>2012</v>
      </c>
      <c r="C422" s="913">
        <v>41099</v>
      </c>
      <c r="D422" s="489" t="s">
        <v>285</v>
      </c>
      <c r="E422" s="488"/>
      <c r="F422" s="489" t="s">
        <v>7</v>
      </c>
      <c r="G422" s="790" t="s">
        <v>19</v>
      </c>
      <c r="H422" s="790" t="s">
        <v>261</v>
      </c>
      <c r="I422" s="790"/>
      <c r="J422" s="51"/>
      <c r="K422" s="51"/>
      <c r="L422" s="51"/>
      <c r="M422" s="51">
        <v>33</v>
      </c>
      <c r="N422" s="51"/>
      <c r="O422" s="51"/>
      <c r="P422" s="51"/>
      <c r="Q422" s="51"/>
      <c r="R422" s="511"/>
      <c r="S422" s="51"/>
      <c r="T422" s="51"/>
      <c r="U422" s="51"/>
      <c r="V422" s="51"/>
      <c r="W422" s="51"/>
      <c r="X422" s="131">
        <f>IF(NFI_Expiration=1,IF($A422&lt;VLOOKUP(I$5,NFI,5,0),1,0)*Data_NFI_t[[#This Row],[Hygiene Kit]],0)</f>
        <v>0</v>
      </c>
      <c r="Y422" s="131">
        <f>IF(NFI_Expiration=1,IF($A422&lt;VLOOKUP(J$5,NFI,5,0),1,0)*Data_NFI_t[[#This Row],[NFI Core Kit]],0)</f>
        <v>0</v>
      </c>
      <c r="Z422" s="112">
        <f>IF(NFI_Expiration=1,IF($A422&lt;VLOOKUP(K$5,NFI,5,0),1,0)*Data_NFI_t[[#This Row],[Sanitary Kit]],0)</f>
        <v>0</v>
      </c>
      <c r="AA422" s="112">
        <f>IF(NFI_Expiration=1,IF($A422&lt;VLOOKUP(L$5,NFI,5,0),1,0)*Data_NFI_t[[#This Row],[Mosquito net]],0)</f>
        <v>0</v>
      </c>
      <c r="AB422" s="112">
        <f>IF(NFI_Expiration=1,IF($A422&lt;VLOOKUP(M$5,NFI,5,0),1,0)*Data_NFI_t[[#This Row],[Tarpaulin]],0)</f>
        <v>0</v>
      </c>
      <c r="AC422" s="112">
        <f>IF(NFI_Expiration=1,IF($A422&lt;VLOOKUP(N$5,NFI,5,0),1,0)*Data_NFI_t[[#This Row],[Blanket]],0)</f>
        <v>0</v>
      </c>
      <c r="AD422" s="112">
        <f>IF(NFI_Expiration=1,IF($A422&lt;VLOOKUP(O$5,NFI,5,0),1,0)*Data_NFI_t[[#This Row],[Kitchen Set]],0)</f>
        <v>0</v>
      </c>
      <c r="AE422" s="112">
        <f>IF(NFI_Expiration=1,IF($A422&lt;VLOOKUP(P$5,NFI,5,0),1,0)*Data_NFI_t[[#This Row],[Complementary Kit]],0)</f>
        <v>0</v>
      </c>
      <c r="AF422" s="112">
        <f>IF(NFI_Expiration=1,IF($A422&lt;VLOOKUP(Q$5,NFI,5,0),1,0)*Data_NFI_t[[#This Row],[Plastic Bucket]],0)</f>
        <v>0</v>
      </c>
      <c r="AG422" s="112">
        <f>IF(NFI_Expiration=1,IF($A422&lt;VLOOKUP(R$5,NFI,5,0),1,0)*Data_NFI_t[[#This Row],[Jerry Can]],0)</f>
        <v>0</v>
      </c>
      <c r="AH422" s="131">
        <f>IF(NFI_Expiration=1,IF($A422&lt;VLOOKUP(S$5,NFI,5,0),1,0)*Data_NFI_t[[#This Row],[Plastic Mat]],0)*IF(Data_NFI_t[[#This Row],[Distribution Date]]&gt;"01-06-2015",1,2.5)</f>
        <v>0</v>
      </c>
      <c r="AI422" s="901">
        <f>IF(NFI_Expiration=1,IF($A422&lt;VLOOKUP(T$5,NFI,5,0),1,0)*Data_NFI_t[[#This Row],[Adult Clothes]],0)</f>
        <v>0</v>
      </c>
      <c r="AJ422" s="131">
        <f>IF(NFI_Expiration=1,IF($A422&lt;VLOOKUP(U$5,NFI,5,0),1,0)*Data_NFI_t[[#This Row],[Children Clothes]],0)</f>
        <v>0</v>
      </c>
      <c r="AK422" s="131">
        <f>IF(NFI_Expiration=1,IF($A422&lt;VLOOKUP(V$5,NFI,5,0),1,0)*Data_NFI_t[[#This Row],[Sewing Kit]],0)</f>
        <v>0</v>
      </c>
      <c r="AL422" s="901">
        <f>IF(NFI_Expiration=1,IF($A422&lt;VLOOKUP(V$5,NFI,5,0),1,0)*Data_NFI_t[[#This Row],[Solar Lantern]],0)</f>
        <v>0</v>
      </c>
      <c r="AM422" s="131" t="str">
        <f ca="1">IFERROR(OFFSET(Camp_List[P_Code],MATCH(Data_NFI_t[[#This Row],[Camp Name]],Camp_List[Camp Name],0)-1,0,1,1),"")</f>
        <v/>
      </c>
      <c r="AN422" s="513" t="str">
        <f ca="1">IFERROR(OFFSET(Camp_List[Status],MATCH(Data_NFI_t[[#This Row],[Camp Name]],Camp_List[Camp Name],0)-1,0,1,1),"")</f>
        <v/>
      </c>
      <c r="AO422" s="131"/>
    </row>
    <row r="423" spans="1:41" s="90" customFormat="1" ht="19.5" customHeight="1" x14ac:dyDescent="0.25">
      <c r="A423" s="242">
        <f t="shared" si="8"/>
        <v>58.56666666666667</v>
      </c>
      <c r="B423" s="242">
        <f>YEAR(Data_NFI_t[[#This Row],[Distribution Date]])</f>
        <v>2012</v>
      </c>
      <c r="C423" s="913">
        <v>41099</v>
      </c>
      <c r="D423" s="489" t="s">
        <v>285</v>
      </c>
      <c r="E423" s="488"/>
      <c r="F423" s="489" t="s">
        <v>7</v>
      </c>
      <c r="G423" s="790" t="s">
        <v>19</v>
      </c>
      <c r="H423" s="790" t="s">
        <v>265</v>
      </c>
      <c r="I423" s="790"/>
      <c r="J423" s="51"/>
      <c r="K423" s="51"/>
      <c r="L423" s="51"/>
      <c r="M423" s="51">
        <v>3</v>
      </c>
      <c r="N423" s="51"/>
      <c r="O423" s="51"/>
      <c r="P423" s="51"/>
      <c r="Q423" s="51"/>
      <c r="R423" s="511"/>
      <c r="S423" s="51"/>
      <c r="T423" s="51"/>
      <c r="U423" s="51"/>
      <c r="V423" s="51"/>
      <c r="W423" s="51"/>
      <c r="X423" s="131">
        <f>IF(NFI_Expiration=1,IF($A423&lt;VLOOKUP(I$5,NFI,5,0),1,0)*Data_NFI_t[[#This Row],[Hygiene Kit]],0)</f>
        <v>0</v>
      </c>
      <c r="Y423" s="131">
        <f>IF(NFI_Expiration=1,IF($A423&lt;VLOOKUP(J$5,NFI,5,0),1,0)*Data_NFI_t[[#This Row],[NFI Core Kit]],0)</f>
        <v>0</v>
      </c>
      <c r="Z423" s="112">
        <f>IF(NFI_Expiration=1,IF($A423&lt;VLOOKUP(K$5,NFI,5,0),1,0)*Data_NFI_t[[#This Row],[Sanitary Kit]],0)</f>
        <v>0</v>
      </c>
      <c r="AA423" s="112">
        <f>IF(NFI_Expiration=1,IF($A423&lt;VLOOKUP(L$5,NFI,5,0),1,0)*Data_NFI_t[[#This Row],[Mosquito net]],0)</f>
        <v>0</v>
      </c>
      <c r="AB423" s="112">
        <f>IF(NFI_Expiration=1,IF($A423&lt;VLOOKUP(M$5,NFI,5,0),1,0)*Data_NFI_t[[#This Row],[Tarpaulin]],0)</f>
        <v>0</v>
      </c>
      <c r="AC423" s="112">
        <f>IF(NFI_Expiration=1,IF($A423&lt;VLOOKUP(N$5,NFI,5,0),1,0)*Data_NFI_t[[#This Row],[Blanket]],0)</f>
        <v>0</v>
      </c>
      <c r="AD423" s="112">
        <f>IF(NFI_Expiration=1,IF($A423&lt;VLOOKUP(O$5,NFI,5,0),1,0)*Data_NFI_t[[#This Row],[Kitchen Set]],0)</f>
        <v>0</v>
      </c>
      <c r="AE423" s="112">
        <f>IF(NFI_Expiration=1,IF($A423&lt;VLOOKUP(P$5,NFI,5,0),1,0)*Data_NFI_t[[#This Row],[Complementary Kit]],0)</f>
        <v>0</v>
      </c>
      <c r="AF423" s="112">
        <f>IF(NFI_Expiration=1,IF($A423&lt;VLOOKUP(Q$5,NFI,5,0),1,0)*Data_NFI_t[[#This Row],[Plastic Bucket]],0)</f>
        <v>0</v>
      </c>
      <c r="AG423" s="112">
        <f>IF(NFI_Expiration=1,IF($A423&lt;VLOOKUP(R$5,NFI,5,0),1,0)*Data_NFI_t[[#This Row],[Jerry Can]],0)</f>
        <v>0</v>
      </c>
      <c r="AH423" s="131">
        <f>IF(NFI_Expiration=1,IF($A423&lt;VLOOKUP(S$5,NFI,5,0),1,0)*Data_NFI_t[[#This Row],[Plastic Mat]],0)*IF(Data_NFI_t[[#This Row],[Distribution Date]]&gt;"01-06-2015",1,2.5)</f>
        <v>0</v>
      </c>
      <c r="AI423" s="901">
        <f>IF(NFI_Expiration=1,IF($A423&lt;VLOOKUP(T$5,NFI,5,0),1,0)*Data_NFI_t[[#This Row],[Adult Clothes]],0)</f>
        <v>0</v>
      </c>
      <c r="AJ423" s="131">
        <f>IF(NFI_Expiration=1,IF($A423&lt;VLOOKUP(U$5,NFI,5,0),1,0)*Data_NFI_t[[#This Row],[Children Clothes]],0)</f>
        <v>0</v>
      </c>
      <c r="AK423" s="131">
        <f>IF(NFI_Expiration=1,IF($A423&lt;VLOOKUP(V$5,NFI,5,0),1,0)*Data_NFI_t[[#This Row],[Sewing Kit]],0)</f>
        <v>0</v>
      </c>
      <c r="AL423" s="901">
        <f>IF(NFI_Expiration=1,IF($A423&lt;VLOOKUP(V$5,NFI,5,0),1,0)*Data_NFI_t[[#This Row],[Solar Lantern]],0)</f>
        <v>0</v>
      </c>
      <c r="AM423" s="131" t="str">
        <f ca="1">IFERROR(OFFSET(Camp_List[P_Code],MATCH(Data_NFI_t[[#This Row],[Camp Name]],Camp_List[Camp Name],0)-1,0,1,1),"")</f>
        <v/>
      </c>
      <c r="AN423" s="513" t="str">
        <f ca="1">IFERROR(OFFSET(Camp_List[Status],MATCH(Data_NFI_t[[#This Row],[Camp Name]],Camp_List[Camp Name],0)-1,0,1,1),"")</f>
        <v/>
      </c>
      <c r="AO423" s="131"/>
    </row>
    <row r="424" spans="1:41" s="90" customFormat="1" ht="19.5" customHeight="1" x14ac:dyDescent="0.25">
      <c r="A424" s="242">
        <f t="shared" si="8"/>
        <v>58.56666666666667</v>
      </c>
      <c r="B424" s="242">
        <f>YEAR(Data_NFI_t[[#This Row],[Distribution Date]])</f>
        <v>2012</v>
      </c>
      <c r="C424" s="913">
        <v>41099</v>
      </c>
      <c r="D424" s="489" t="s">
        <v>285</v>
      </c>
      <c r="E424" s="488"/>
      <c r="F424" s="489" t="s">
        <v>7</v>
      </c>
      <c r="G424" s="790" t="s">
        <v>19</v>
      </c>
      <c r="H424" s="790" t="s">
        <v>88</v>
      </c>
      <c r="I424" s="790"/>
      <c r="J424" s="51"/>
      <c r="K424" s="51"/>
      <c r="L424" s="51"/>
      <c r="M424" s="51">
        <v>27</v>
      </c>
      <c r="N424" s="51"/>
      <c r="O424" s="51"/>
      <c r="P424" s="51"/>
      <c r="Q424" s="51"/>
      <c r="R424" s="511"/>
      <c r="S424" s="51"/>
      <c r="T424" s="51"/>
      <c r="U424" s="51"/>
      <c r="V424" s="51"/>
      <c r="W424" s="51"/>
      <c r="X424" s="131">
        <f>IF(NFI_Expiration=1,IF($A424&lt;VLOOKUP(I$5,NFI,5,0),1,0)*Data_NFI_t[[#This Row],[Hygiene Kit]],0)</f>
        <v>0</v>
      </c>
      <c r="Y424" s="131">
        <f>IF(NFI_Expiration=1,IF($A424&lt;VLOOKUP(J$5,NFI,5,0),1,0)*Data_NFI_t[[#This Row],[NFI Core Kit]],0)</f>
        <v>0</v>
      </c>
      <c r="Z424" s="112">
        <f>IF(NFI_Expiration=1,IF($A424&lt;VLOOKUP(K$5,NFI,5,0),1,0)*Data_NFI_t[[#This Row],[Sanitary Kit]],0)</f>
        <v>0</v>
      </c>
      <c r="AA424" s="112">
        <f>IF(NFI_Expiration=1,IF($A424&lt;VLOOKUP(L$5,NFI,5,0),1,0)*Data_NFI_t[[#This Row],[Mosquito net]],0)</f>
        <v>0</v>
      </c>
      <c r="AB424" s="112">
        <f>IF(NFI_Expiration=1,IF($A424&lt;VLOOKUP(M$5,NFI,5,0),1,0)*Data_NFI_t[[#This Row],[Tarpaulin]],0)</f>
        <v>0</v>
      </c>
      <c r="AC424" s="112">
        <f>IF(NFI_Expiration=1,IF($A424&lt;VLOOKUP(N$5,NFI,5,0),1,0)*Data_NFI_t[[#This Row],[Blanket]],0)</f>
        <v>0</v>
      </c>
      <c r="AD424" s="112">
        <f>IF(NFI_Expiration=1,IF($A424&lt;VLOOKUP(O$5,NFI,5,0),1,0)*Data_NFI_t[[#This Row],[Kitchen Set]],0)</f>
        <v>0</v>
      </c>
      <c r="AE424" s="112">
        <f>IF(NFI_Expiration=1,IF($A424&lt;VLOOKUP(P$5,NFI,5,0),1,0)*Data_NFI_t[[#This Row],[Complementary Kit]],0)</f>
        <v>0</v>
      </c>
      <c r="AF424" s="112">
        <f>IF(NFI_Expiration=1,IF($A424&lt;VLOOKUP(Q$5,NFI,5,0),1,0)*Data_NFI_t[[#This Row],[Plastic Bucket]],0)</f>
        <v>0</v>
      </c>
      <c r="AG424" s="112">
        <f>IF(NFI_Expiration=1,IF($A424&lt;VLOOKUP(R$5,NFI,5,0),1,0)*Data_NFI_t[[#This Row],[Jerry Can]],0)</f>
        <v>0</v>
      </c>
      <c r="AH424" s="131">
        <f>IF(NFI_Expiration=1,IF($A424&lt;VLOOKUP(S$5,NFI,5,0),1,0)*Data_NFI_t[[#This Row],[Plastic Mat]],0)*IF(Data_NFI_t[[#This Row],[Distribution Date]]&gt;"01-06-2015",1,2.5)</f>
        <v>0</v>
      </c>
      <c r="AI424" s="901">
        <f>IF(NFI_Expiration=1,IF($A424&lt;VLOOKUP(T$5,NFI,5,0),1,0)*Data_NFI_t[[#This Row],[Adult Clothes]],0)</f>
        <v>0</v>
      </c>
      <c r="AJ424" s="131">
        <f>IF(NFI_Expiration=1,IF($A424&lt;VLOOKUP(U$5,NFI,5,0),1,0)*Data_NFI_t[[#This Row],[Children Clothes]],0)</f>
        <v>0</v>
      </c>
      <c r="AK424" s="131">
        <f>IF(NFI_Expiration=1,IF($A424&lt;VLOOKUP(V$5,NFI,5,0),1,0)*Data_NFI_t[[#This Row],[Sewing Kit]],0)</f>
        <v>0</v>
      </c>
      <c r="AL424" s="901">
        <f>IF(NFI_Expiration=1,IF($A424&lt;VLOOKUP(V$5,NFI,5,0),1,0)*Data_NFI_t[[#This Row],[Solar Lantern]],0)</f>
        <v>0</v>
      </c>
      <c r="AM424" s="131" t="str">
        <f ca="1">IFERROR(OFFSET(Camp_List[P_Code],MATCH(Data_NFI_t[[#This Row],[Camp Name]],Camp_List[Camp Name],0)-1,0,1,1),"")</f>
        <v>MMR012CMP067</v>
      </c>
      <c r="AN424" s="513" t="str">
        <f ca="1">IFERROR(OFFSET(Camp_List[Status],MATCH(Data_NFI_t[[#This Row],[Camp Name]],Camp_List[Camp Name],0)-1,0,1,1),"")</f>
        <v>Close</v>
      </c>
      <c r="AO424" s="131"/>
    </row>
    <row r="425" spans="1:41" s="90" customFormat="1" ht="19.5" customHeight="1" x14ac:dyDescent="0.25">
      <c r="A425" s="242">
        <f t="shared" si="8"/>
        <v>58.56666666666667</v>
      </c>
      <c r="B425" s="242">
        <f>YEAR(Data_NFI_t[[#This Row],[Distribution Date]])</f>
        <v>2012</v>
      </c>
      <c r="C425" s="913">
        <v>41099</v>
      </c>
      <c r="D425" s="489" t="s">
        <v>285</v>
      </c>
      <c r="E425" s="488"/>
      <c r="F425" s="489" t="s">
        <v>7</v>
      </c>
      <c r="G425" s="790" t="s">
        <v>19</v>
      </c>
      <c r="H425" s="790" t="s">
        <v>264</v>
      </c>
      <c r="I425" s="790"/>
      <c r="J425" s="51"/>
      <c r="K425" s="51"/>
      <c r="L425" s="51"/>
      <c r="M425" s="51">
        <v>19</v>
      </c>
      <c r="N425" s="51"/>
      <c r="O425" s="51"/>
      <c r="P425" s="51"/>
      <c r="Q425" s="51"/>
      <c r="R425" s="511"/>
      <c r="S425" s="51"/>
      <c r="T425" s="51"/>
      <c r="U425" s="51"/>
      <c r="V425" s="51"/>
      <c r="W425" s="51"/>
      <c r="X425" s="131">
        <f>IF(NFI_Expiration=1,IF($A425&lt;VLOOKUP(I$5,NFI,5,0),1,0)*Data_NFI_t[[#This Row],[Hygiene Kit]],0)</f>
        <v>0</v>
      </c>
      <c r="Y425" s="131">
        <f>IF(NFI_Expiration=1,IF($A425&lt;VLOOKUP(J$5,NFI,5,0),1,0)*Data_NFI_t[[#This Row],[NFI Core Kit]],0)</f>
        <v>0</v>
      </c>
      <c r="Z425" s="112">
        <f>IF(NFI_Expiration=1,IF($A425&lt;VLOOKUP(K$5,NFI,5,0),1,0)*Data_NFI_t[[#This Row],[Sanitary Kit]],0)</f>
        <v>0</v>
      </c>
      <c r="AA425" s="112">
        <f>IF(NFI_Expiration=1,IF($A425&lt;VLOOKUP(L$5,NFI,5,0),1,0)*Data_NFI_t[[#This Row],[Mosquito net]],0)</f>
        <v>0</v>
      </c>
      <c r="AB425" s="112">
        <f>IF(NFI_Expiration=1,IF($A425&lt;VLOOKUP(M$5,NFI,5,0),1,0)*Data_NFI_t[[#This Row],[Tarpaulin]],0)</f>
        <v>0</v>
      </c>
      <c r="AC425" s="112">
        <f>IF(NFI_Expiration=1,IF($A425&lt;VLOOKUP(N$5,NFI,5,0),1,0)*Data_NFI_t[[#This Row],[Blanket]],0)</f>
        <v>0</v>
      </c>
      <c r="AD425" s="112">
        <f>IF(NFI_Expiration=1,IF($A425&lt;VLOOKUP(O$5,NFI,5,0),1,0)*Data_NFI_t[[#This Row],[Kitchen Set]],0)</f>
        <v>0</v>
      </c>
      <c r="AE425" s="112">
        <f>IF(NFI_Expiration=1,IF($A425&lt;VLOOKUP(P$5,NFI,5,0),1,0)*Data_NFI_t[[#This Row],[Complementary Kit]],0)</f>
        <v>0</v>
      </c>
      <c r="AF425" s="112">
        <f>IF(NFI_Expiration=1,IF($A425&lt;VLOOKUP(Q$5,NFI,5,0),1,0)*Data_NFI_t[[#This Row],[Plastic Bucket]],0)</f>
        <v>0</v>
      </c>
      <c r="AG425" s="112">
        <f>IF(NFI_Expiration=1,IF($A425&lt;VLOOKUP(R$5,NFI,5,0),1,0)*Data_NFI_t[[#This Row],[Jerry Can]],0)</f>
        <v>0</v>
      </c>
      <c r="AH425" s="131">
        <f>IF(NFI_Expiration=1,IF($A425&lt;VLOOKUP(S$5,NFI,5,0),1,0)*Data_NFI_t[[#This Row],[Plastic Mat]],0)*IF(Data_NFI_t[[#This Row],[Distribution Date]]&gt;"01-06-2015",1,2.5)</f>
        <v>0</v>
      </c>
      <c r="AI425" s="901">
        <f>IF(NFI_Expiration=1,IF($A425&lt;VLOOKUP(T$5,NFI,5,0),1,0)*Data_NFI_t[[#This Row],[Adult Clothes]],0)</f>
        <v>0</v>
      </c>
      <c r="AJ425" s="131">
        <f>IF(NFI_Expiration=1,IF($A425&lt;VLOOKUP(U$5,NFI,5,0),1,0)*Data_NFI_t[[#This Row],[Children Clothes]],0)</f>
        <v>0</v>
      </c>
      <c r="AK425" s="131">
        <f>IF(NFI_Expiration=1,IF($A425&lt;VLOOKUP(V$5,NFI,5,0),1,0)*Data_NFI_t[[#This Row],[Sewing Kit]],0)</f>
        <v>0</v>
      </c>
      <c r="AL425" s="901">
        <f>IF(NFI_Expiration=1,IF($A425&lt;VLOOKUP(V$5,NFI,5,0),1,0)*Data_NFI_t[[#This Row],[Solar Lantern]],0)</f>
        <v>0</v>
      </c>
      <c r="AM425" s="131" t="str">
        <f ca="1">IFERROR(OFFSET(Camp_List[P_Code],MATCH(Data_NFI_t[[#This Row],[Camp Name]],Camp_List[Camp Name],0)-1,0,1,1),"")</f>
        <v/>
      </c>
      <c r="AN425" s="513" t="str">
        <f ca="1">IFERROR(OFFSET(Camp_List[Status],MATCH(Data_NFI_t[[#This Row],[Camp Name]],Camp_List[Camp Name],0)-1,0,1,1),"")</f>
        <v/>
      </c>
      <c r="AO425" s="131"/>
    </row>
    <row r="426" spans="1:41" s="90" customFormat="1" ht="19.5" customHeight="1" x14ac:dyDescent="0.25">
      <c r="A426" s="242">
        <f t="shared" si="8"/>
        <v>58.633333333333333</v>
      </c>
      <c r="B426" s="242">
        <f>YEAR(Data_NFI_t[[#This Row],[Distribution Date]])</f>
        <v>2012</v>
      </c>
      <c r="C426" s="913">
        <v>41097</v>
      </c>
      <c r="D426" s="489" t="s">
        <v>285</v>
      </c>
      <c r="E426" s="488"/>
      <c r="F426" s="489" t="s">
        <v>7</v>
      </c>
      <c r="G426" s="790" t="s">
        <v>19</v>
      </c>
      <c r="H426" s="790" t="s">
        <v>257</v>
      </c>
      <c r="I426" s="790"/>
      <c r="J426" s="51"/>
      <c r="K426" s="51"/>
      <c r="L426" s="51"/>
      <c r="M426" s="51">
        <v>33</v>
      </c>
      <c r="N426" s="51"/>
      <c r="O426" s="51"/>
      <c r="P426" s="51"/>
      <c r="Q426" s="51"/>
      <c r="R426" s="511"/>
      <c r="S426" s="51"/>
      <c r="T426" s="51"/>
      <c r="U426" s="51"/>
      <c r="V426" s="51"/>
      <c r="W426" s="51"/>
      <c r="X426" s="131">
        <f>IF(NFI_Expiration=1,IF($A426&lt;VLOOKUP(I$5,NFI,5,0),1,0)*Data_NFI_t[[#This Row],[Hygiene Kit]],0)</f>
        <v>0</v>
      </c>
      <c r="Y426" s="131">
        <f>IF(NFI_Expiration=1,IF($A426&lt;VLOOKUP(J$5,NFI,5,0),1,0)*Data_NFI_t[[#This Row],[NFI Core Kit]],0)</f>
        <v>0</v>
      </c>
      <c r="Z426" s="112">
        <f>IF(NFI_Expiration=1,IF($A426&lt;VLOOKUP(K$5,NFI,5,0),1,0)*Data_NFI_t[[#This Row],[Sanitary Kit]],0)</f>
        <v>0</v>
      </c>
      <c r="AA426" s="112">
        <f>IF(NFI_Expiration=1,IF($A426&lt;VLOOKUP(L$5,NFI,5,0),1,0)*Data_NFI_t[[#This Row],[Mosquito net]],0)</f>
        <v>0</v>
      </c>
      <c r="AB426" s="112">
        <f>IF(NFI_Expiration=1,IF($A426&lt;VLOOKUP(M$5,NFI,5,0),1,0)*Data_NFI_t[[#This Row],[Tarpaulin]],0)</f>
        <v>0</v>
      </c>
      <c r="AC426" s="112">
        <f>IF(NFI_Expiration=1,IF($A426&lt;VLOOKUP(N$5,NFI,5,0),1,0)*Data_NFI_t[[#This Row],[Blanket]],0)</f>
        <v>0</v>
      </c>
      <c r="AD426" s="112">
        <f>IF(NFI_Expiration=1,IF($A426&lt;VLOOKUP(O$5,NFI,5,0),1,0)*Data_NFI_t[[#This Row],[Kitchen Set]],0)</f>
        <v>0</v>
      </c>
      <c r="AE426" s="112">
        <f>IF(NFI_Expiration=1,IF($A426&lt;VLOOKUP(P$5,NFI,5,0),1,0)*Data_NFI_t[[#This Row],[Complementary Kit]],0)</f>
        <v>0</v>
      </c>
      <c r="AF426" s="112">
        <f>IF(NFI_Expiration=1,IF($A426&lt;VLOOKUP(Q$5,NFI,5,0),1,0)*Data_NFI_t[[#This Row],[Plastic Bucket]],0)</f>
        <v>0</v>
      </c>
      <c r="AG426" s="112">
        <f>IF(NFI_Expiration=1,IF($A426&lt;VLOOKUP(R$5,NFI,5,0),1,0)*Data_NFI_t[[#This Row],[Jerry Can]],0)</f>
        <v>0</v>
      </c>
      <c r="AH426" s="131">
        <f>IF(NFI_Expiration=1,IF($A426&lt;VLOOKUP(S$5,NFI,5,0),1,0)*Data_NFI_t[[#This Row],[Plastic Mat]],0)*IF(Data_NFI_t[[#This Row],[Distribution Date]]&gt;"01-06-2015",1,2.5)</f>
        <v>0</v>
      </c>
      <c r="AI426" s="901">
        <f>IF(NFI_Expiration=1,IF($A426&lt;VLOOKUP(T$5,NFI,5,0),1,0)*Data_NFI_t[[#This Row],[Adult Clothes]],0)</f>
        <v>0</v>
      </c>
      <c r="AJ426" s="131">
        <f>IF(NFI_Expiration=1,IF($A426&lt;VLOOKUP(U$5,NFI,5,0),1,0)*Data_NFI_t[[#This Row],[Children Clothes]],0)</f>
        <v>0</v>
      </c>
      <c r="AK426" s="131">
        <f>IF(NFI_Expiration=1,IF($A426&lt;VLOOKUP(V$5,NFI,5,0),1,0)*Data_NFI_t[[#This Row],[Sewing Kit]],0)</f>
        <v>0</v>
      </c>
      <c r="AL426" s="901">
        <f>IF(NFI_Expiration=1,IF($A426&lt;VLOOKUP(V$5,NFI,5,0),1,0)*Data_NFI_t[[#This Row],[Solar Lantern]],0)</f>
        <v>0</v>
      </c>
      <c r="AM426" s="131" t="str">
        <f ca="1">IFERROR(OFFSET(Camp_List[P_Code],MATCH(Data_NFI_t[[#This Row],[Camp Name]],Camp_List[Camp Name],0)-1,0,1,1),"")</f>
        <v/>
      </c>
      <c r="AN426" s="513" t="str">
        <f ca="1">IFERROR(OFFSET(Camp_List[Status],MATCH(Data_NFI_t[[#This Row],[Camp Name]],Camp_List[Camp Name],0)-1,0,1,1),"")</f>
        <v/>
      </c>
      <c r="AO426" s="131"/>
    </row>
    <row r="427" spans="1:41" s="90" customFormat="1" ht="19.5" customHeight="1" x14ac:dyDescent="0.25">
      <c r="A427" s="242">
        <f t="shared" si="8"/>
        <v>58.633333333333333</v>
      </c>
      <c r="B427" s="242">
        <f>YEAR(Data_NFI_t[[#This Row],[Distribution Date]])</f>
        <v>2012</v>
      </c>
      <c r="C427" s="913">
        <v>41097</v>
      </c>
      <c r="D427" s="489" t="s">
        <v>285</v>
      </c>
      <c r="E427" s="488"/>
      <c r="F427" s="489" t="s">
        <v>7</v>
      </c>
      <c r="G427" s="790" t="s">
        <v>19</v>
      </c>
      <c r="H427" s="790" t="s">
        <v>83</v>
      </c>
      <c r="I427" s="790"/>
      <c r="J427" s="51"/>
      <c r="K427" s="51"/>
      <c r="L427" s="51"/>
      <c r="M427" s="51">
        <v>9</v>
      </c>
      <c r="N427" s="51"/>
      <c r="O427" s="51"/>
      <c r="P427" s="51"/>
      <c r="Q427" s="51"/>
      <c r="R427" s="511"/>
      <c r="S427" s="51"/>
      <c r="T427" s="51"/>
      <c r="U427" s="51"/>
      <c r="V427" s="51"/>
      <c r="W427" s="51"/>
      <c r="X427" s="131">
        <f>IF(NFI_Expiration=1,IF($A427&lt;VLOOKUP(I$5,NFI,5,0),1,0)*Data_NFI_t[[#This Row],[Hygiene Kit]],0)</f>
        <v>0</v>
      </c>
      <c r="Y427" s="131">
        <f>IF(NFI_Expiration=1,IF($A427&lt;VLOOKUP(J$5,NFI,5,0),1,0)*Data_NFI_t[[#This Row],[NFI Core Kit]],0)</f>
        <v>0</v>
      </c>
      <c r="Z427" s="112">
        <f>IF(NFI_Expiration=1,IF($A427&lt;VLOOKUP(K$5,NFI,5,0),1,0)*Data_NFI_t[[#This Row],[Sanitary Kit]],0)</f>
        <v>0</v>
      </c>
      <c r="AA427" s="112">
        <f>IF(NFI_Expiration=1,IF($A427&lt;VLOOKUP(L$5,NFI,5,0),1,0)*Data_NFI_t[[#This Row],[Mosquito net]],0)</f>
        <v>0</v>
      </c>
      <c r="AB427" s="112">
        <f>IF(NFI_Expiration=1,IF($A427&lt;VLOOKUP(M$5,NFI,5,0),1,0)*Data_NFI_t[[#This Row],[Tarpaulin]],0)</f>
        <v>0</v>
      </c>
      <c r="AC427" s="112">
        <f>IF(NFI_Expiration=1,IF($A427&lt;VLOOKUP(N$5,NFI,5,0),1,0)*Data_NFI_t[[#This Row],[Blanket]],0)</f>
        <v>0</v>
      </c>
      <c r="AD427" s="112">
        <f>IF(NFI_Expiration=1,IF($A427&lt;VLOOKUP(O$5,NFI,5,0),1,0)*Data_NFI_t[[#This Row],[Kitchen Set]],0)</f>
        <v>0</v>
      </c>
      <c r="AE427" s="112">
        <f>IF(NFI_Expiration=1,IF($A427&lt;VLOOKUP(P$5,NFI,5,0),1,0)*Data_NFI_t[[#This Row],[Complementary Kit]],0)</f>
        <v>0</v>
      </c>
      <c r="AF427" s="112">
        <f>IF(NFI_Expiration=1,IF($A427&lt;VLOOKUP(Q$5,NFI,5,0),1,0)*Data_NFI_t[[#This Row],[Plastic Bucket]],0)</f>
        <v>0</v>
      </c>
      <c r="AG427" s="112">
        <f>IF(NFI_Expiration=1,IF($A427&lt;VLOOKUP(R$5,NFI,5,0),1,0)*Data_NFI_t[[#This Row],[Jerry Can]],0)</f>
        <v>0</v>
      </c>
      <c r="AH427" s="131">
        <f>IF(NFI_Expiration=1,IF($A427&lt;VLOOKUP(S$5,NFI,5,0),1,0)*Data_NFI_t[[#This Row],[Plastic Mat]],0)*IF(Data_NFI_t[[#This Row],[Distribution Date]]&gt;"01-06-2015",1,2.5)</f>
        <v>0</v>
      </c>
      <c r="AI427" s="901">
        <f>IF(NFI_Expiration=1,IF($A427&lt;VLOOKUP(T$5,NFI,5,0),1,0)*Data_NFI_t[[#This Row],[Adult Clothes]],0)</f>
        <v>0</v>
      </c>
      <c r="AJ427" s="131">
        <f>IF(NFI_Expiration=1,IF($A427&lt;VLOOKUP(U$5,NFI,5,0),1,0)*Data_NFI_t[[#This Row],[Children Clothes]],0)</f>
        <v>0</v>
      </c>
      <c r="AK427" s="131">
        <f>IF(NFI_Expiration=1,IF($A427&lt;VLOOKUP(V$5,NFI,5,0),1,0)*Data_NFI_t[[#This Row],[Sewing Kit]],0)</f>
        <v>0</v>
      </c>
      <c r="AL427" s="901">
        <f>IF(NFI_Expiration=1,IF($A427&lt;VLOOKUP(V$5,NFI,5,0),1,0)*Data_NFI_t[[#This Row],[Solar Lantern]],0)</f>
        <v>0</v>
      </c>
      <c r="AM427" s="131" t="str">
        <f ca="1">IFERROR(OFFSET(Camp_List[P_Code],MATCH(Data_NFI_t[[#This Row],[Camp Name]],Camp_List[Camp Name],0)-1,0,1,1),"")</f>
        <v>MMR012CMP062</v>
      </c>
      <c r="AN427" s="513" t="str">
        <f ca="1">IFERROR(OFFSET(Camp_List[Status],MATCH(Data_NFI_t[[#This Row],[Camp Name]],Camp_List[Camp Name],0)-1,0,1,1),"")</f>
        <v>Close</v>
      </c>
      <c r="AO427" s="131"/>
    </row>
    <row r="428" spans="1:41" s="90" customFormat="1" ht="19.5" customHeight="1" x14ac:dyDescent="0.25">
      <c r="A428" s="242">
        <f t="shared" si="8"/>
        <v>58.633333333333333</v>
      </c>
      <c r="B428" s="242">
        <f>YEAR(Data_NFI_t[[#This Row],[Distribution Date]])</f>
        <v>2012</v>
      </c>
      <c r="C428" s="913">
        <v>41097</v>
      </c>
      <c r="D428" s="489" t="s">
        <v>285</v>
      </c>
      <c r="E428" s="488"/>
      <c r="F428" s="489" t="s">
        <v>7</v>
      </c>
      <c r="G428" s="790" t="s">
        <v>19</v>
      </c>
      <c r="H428" s="790" t="s">
        <v>86</v>
      </c>
      <c r="I428" s="790"/>
      <c r="J428" s="51"/>
      <c r="K428" s="51"/>
      <c r="L428" s="51"/>
      <c r="M428" s="51">
        <v>201</v>
      </c>
      <c r="N428" s="51"/>
      <c r="O428" s="51"/>
      <c r="P428" s="51"/>
      <c r="Q428" s="51"/>
      <c r="R428" s="511"/>
      <c r="S428" s="51"/>
      <c r="T428" s="51"/>
      <c r="U428" s="51"/>
      <c r="V428" s="51"/>
      <c r="W428" s="51"/>
      <c r="X428" s="131">
        <f>IF(NFI_Expiration=1,IF($A428&lt;VLOOKUP(I$5,NFI,5,0),1,0)*Data_NFI_t[[#This Row],[Hygiene Kit]],0)</f>
        <v>0</v>
      </c>
      <c r="Y428" s="131">
        <f>IF(NFI_Expiration=1,IF($A428&lt;VLOOKUP(J$5,NFI,5,0),1,0)*Data_NFI_t[[#This Row],[NFI Core Kit]],0)</f>
        <v>0</v>
      </c>
      <c r="Z428" s="112">
        <f>IF(NFI_Expiration=1,IF($A428&lt;VLOOKUP(K$5,NFI,5,0),1,0)*Data_NFI_t[[#This Row],[Sanitary Kit]],0)</f>
        <v>0</v>
      </c>
      <c r="AA428" s="112">
        <f>IF(NFI_Expiration=1,IF($A428&lt;VLOOKUP(L$5,NFI,5,0),1,0)*Data_NFI_t[[#This Row],[Mosquito net]],0)</f>
        <v>0</v>
      </c>
      <c r="AB428" s="112">
        <f>IF(NFI_Expiration=1,IF($A428&lt;VLOOKUP(M$5,NFI,5,0),1,0)*Data_NFI_t[[#This Row],[Tarpaulin]],0)</f>
        <v>0</v>
      </c>
      <c r="AC428" s="112">
        <f>IF(NFI_Expiration=1,IF($A428&lt;VLOOKUP(N$5,NFI,5,0),1,0)*Data_NFI_t[[#This Row],[Blanket]],0)</f>
        <v>0</v>
      </c>
      <c r="AD428" s="112">
        <f>IF(NFI_Expiration=1,IF($A428&lt;VLOOKUP(O$5,NFI,5,0),1,0)*Data_NFI_t[[#This Row],[Kitchen Set]],0)</f>
        <v>0</v>
      </c>
      <c r="AE428" s="112">
        <f>IF(NFI_Expiration=1,IF($A428&lt;VLOOKUP(P$5,NFI,5,0),1,0)*Data_NFI_t[[#This Row],[Complementary Kit]],0)</f>
        <v>0</v>
      </c>
      <c r="AF428" s="112">
        <f>IF(NFI_Expiration=1,IF($A428&lt;VLOOKUP(Q$5,NFI,5,0),1,0)*Data_NFI_t[[#This Row],[Plastic Bucket]],0)</f>
        <v>0</v>
      </c>
      <c r="AG428" s="112">
        <f>IF(NFI_Expiration=1,IF($A428&lt;VLOOKUP(R$5,NFI,5,0),1,0)*Data_NFI_t[[#This Row],[Jerry Can]],0)</f>
        <v>0</v>
      </c>
      <c r="AH428" s="131">
        <f>IF(NFI_Expiration=1,IF($A428&lt;VLOOKUP(S$5,NFI,5,0),1,0)*Data_NFI_t[[#This Row],[Plastic Mat]],0)*IF(Data_NFI_t[[#This Row],[Distribution Date]]&gt;"01-06-2015",1,2.5)</f>
        <v>0</v>
      </c>
      <c r="AI428" s="901">
        <f>IF(NFI_Expiration=1,IF($A428&lt;VLOOKUP(T$5,NFI,5,0),1,0)*Data_NFI_t[[#This Row],[Adult Clothes]],0)</f>
        <v>0</v>
      </c>
      <c r="AJ428" s="131">
        <f>IF(NFI_Expiration=1,IF($A428&lt;VLOOKUP(U$5,NFI,5,0),1,0)*Data_NFI_t[[#This Row],[Children Clothes]],0)</f>
        <v>0</v>
      </c>
      <c r="AK428" s="131">
        <f>IF(NFI_Expiration=1,IF($A428&lt;VLOOKUP(V$5,NFI,5,0),1,0)*Data_NFI_t[[#This Row],[Sewing Kit]],0)</f>
        <v>0</v>
      </c>
      <c r="AL428" s="901">
        <f>IF(NFI_Expiration=1,IF($A428&lt;VLOOKUP(V$5,NFI,5,0),1,0)*Data_NFI_t[[#This Row],[Solar Lantern]],0)</f>
        <v>0</v>
      </c>
      <c r="AM428" s="131" t="str">
        <f ca="1">IFERROR(OFFSET(Camp_List[P_Code],MATCH(Data_NFI_t[[#This Row],[Camp Name]],Camp_List[Camp Name],0)-1,0,1,1),"")</f>
        <v>MMR012CMP065</v>
      </c>
      <c r="AN428" s="513" t="str">
        <f ca="1">IFERROR(OFFSET(Camp_List[Status],MATCH(Data_NFI_t[[#This Row],[Camp Name]],Camp_List[Camp Name],0)-1,0,1,1),"")</f>
        <v>Close</v>
      </c>
      <c r="AO428" s="131"/>
    </row>
    <row r="429" spans="1:41" s="90" customFormat="1" ht="19.5" customHeight="1" x14ac:dyDescent="0.25">
      <c r="A429" s="242">
        <f t="shared" si="8"/>
        <v>58.633333333333333</v>
      </c>
      <c r="B429" s="242">
        <f>YEAR(Data_NFI_t[[#This Row],[Distribution Date]])</f>
        <v>2012</v>
      </c>
      <c r="C429" s="913">
        <v>41097</v>
      </c>
      <c r="D429" s="489" t="s">
        <v>285</v>
      </c>
      <c r="E429" s="488"/>
      <c r="F429" s="489" t="s">
        <v>7</v>
      </c>
      <c r="G429" s="790" t="s">
        <v>19</v>
      </c>
      <c r="H429" s="790" t="s">
        <v>95</v>
      </c>
      <c r="I429" s="790"/>
      <c r="J429" s="51"/>
      <c r="K429" s="51"/>
      <c r="L429" s="51"/>
      <c r="M429" s="51">
        <v>52</v>
      </c>
      <c r="N429" s="51"/>
      <c r="O429" s="51"/>
      <c r="P429" s="51"/>
      <c r="Q429" s="51"/>
      <c r="R429" s="511"/>
      <c r="S429" s="51"/>
      <c r="T429" s="51"/>
      <c r="U429" s="51"/>
      <c r="V429" s="51"/>
      <c r="W429" s="51"/>
      <c r="X429" s="131">
        <f>IF(NFI_Expiration=1,IF($A429&lt;VLOOKUP(I$5,NFI,5,0),1,0)*Data_NFI_t[[#This Row],[Hygiene Kit]],0)</f>
        <v>0</v>
      </c>
      <c r="Y429" s="131">
        <f>IF(NFI_Expiration=1,IF($A429&lt;VLOOKUP(J$5,NFI,5,0),1,0)*Data_NFI_t[[#This Row],[NFI Core Kit]],0)</f>
        <v>0</v>
      </c>
      <c r="Z429" s="112">
        <f>IF(NFI_Expiration=1,IF($A429&lt;VLOOKUP(K$5,NFI,5,0),1,0)*Data_NFI_t[[#This Row],[Sanitary Kit]],0)</f>
        <v>0</v>
      </c>
      <c r="AA429" s="112">
        <f>IF(NFI_Expiration=1,IF($A429&lt;VLOOKUP(L$5,NFI,5,0),1,0)*Data_NFI_t[[#This Row],[Mosquito net]],0)</f>
        <v>0</v>
      </c>
      <c r="AB429" s="112">
        <f>IF(NFI_Expiration=1,IF($A429&lt;VLOOKUP(M$5,NFI,5,0),1,0)*Data_NFI_t[[#This Row],[Tarpaulin]],0)</f>
        <v>0</v>
      </c>
      <c r="AC429" s="112">
        <f>IF(NFI_Expiration=1,IF($A429&lt;VLOOKUP(N$5,NFI,5,0),1,0)*Data_NFI_t[[#This Row],[Blanket]],0)</f>
        <v>0</v>
      </c>
      <c r="AD429" s="112">
        <f>IF(NFI_Expiration=1,IF($A429&lt;VLOOKUP(O$5,NFI,5,0),1,0)*Data_NFI_t[[#This Row],[Kitchen Set]],0)</f>
        <v>0</v>
      </c>
      <c r="AE429" s="112">
        <f>IF(NFI_Expiration=1,IF($A429&lt;VLOOKUP(P$5,NFI,5,0),1,0)*Data_NFI_t[[#This Row],[Complementary Kit]],0)</f>
        <v>0</v>
      </c>
      <c r="AF429" s="112">
        <f>IF(NFI_Expiration=1,IF($A429&lt;VLOOKUP(Q$5,NFI,5,0),1,0)*Data_NFI_t[[#This Row],[Plastic Bucket]],0)</f>
        <v>0</v>
      </c>
      <c r="AG429" s="112">
        <f>IF(NFI_Expiration=1,IF($A429&lt;VLOOKUP(R$5,NFI,5,0),1,0)*Data_NFI_t[[#This Row],[Jerry Can]],0)</f>
        <v>0</v>
      </c>
      <c r="AH429" s="131">
        <f>IF(NFI_Expiration=1,IF($A429&lt;VLOOKUP(S$5,NFI,5,0),1,0)*Data_NFI_t[[#This Row],[Plastic Mat]],0)*IF(Data_NFI_t[[#This Row],[Distribution Date]]&gt;"01-06-2015",1,2.5)</f>
        <v>0</v>
      </c>
      <c r="AI429" s="901">
        <f>IF(NFI_Expiration=1,IF($A429&lt;VLOOKUP(T$5,NFI,5,0),1,0)*Data_NFI_t[[#This Row],[Adult Clothes]],0)</f>
        <v>0</v>
      </c>
      <c r="AJ429" s="131">
        <f>IF(NFI_Expiration=1,IF($A429&lt;VLOOKUP(U$5,NFI,5,0),1,0)*Data_NFI_t[[#This Row],[Children Clothes]],0)</f>
        <v>0</v>
      </c>
      <c r="AK429" s="131">
        <f>IF(NFI_Expiration=1,IF($A429&lt;VLOOKUP(V$5,NFI,5,0),1,0)*Data_NFI_t[[#This Row],[Sewing Kit]],0)</f>
        <v>0</v>
      </c>
      <c r="AL429" s="901">
        <f>IF(NFI_Expiration=1,IF($A429&lt;VLOOKUP(V$5,NFI,5,0),1,0)*Data_NFI_t[[#This Row],[Solar Lantern]],0)</f>
        <v>0</v>
      </c>
      <c r="AM429" s="131" t="str">
        <f ca="1">IFERROR(OFFSET(Camp_List[P_Code],MATCH(Data_NFI_t[[#This Row],[Camp Name]],Camp_List[Camp Name],0)-1,0,1,1),"")</f>
        <v>MMR012CMP074</v>
      </c>
      <c r="AN429" s="513" t="str">
        <f ca="1">IFERROR(OFFSET(Camp_List[Status],MATCH(Data_NFI_t[[#This Row],[Camp Name]],Camp_List[Camp Name],0)-1,0,1,1),"")</f>
        <v>Close</v>
      </c>
      <c r="AO429" s="131"/>
    </row>
    <row r="430" spans="1:41" s="90" customFormat="1" ht="19.5" customHeight="1" x14ac:dyDescent="0.25">
      <c r="A430" s="242">
        <f t="shared" si="8"/>
        <v>58.7</v>
      </c>
      <c r="B430" s="242">
        <f>YEAR(Data_NFI_t[[#This Row],[Distribution Date]])</f>
        <v>2012</v>
      </c>
      <c r="C430" s="913">
        <v>41095</v>
      </c>
      <c r="D430" s="489" t="s">
        <v>285</v>
      </c>
      <c r="E430" s="488"/>
      <c r="F430" s="489" t="s">
        <v>7</v>
      </c>
      <c r="G430" s="790" t="s">
        <v>19</v>
      </c>
      <c r="H430" s="790" t="s">
        <v>90</v>
      </c>
      <c r="I430" s="790"/>
      <c r="J430" s="51"/>
      <c r="K430" s="51"/>
      <c r="L430" s="51"/>
      <c r="M430" s="51">
        <v>43</v>
      </c>
      <c r="N430" s="51"/>
      <c r="O430" s="51"/>
      <c r="P430" s="51"/>
      <c r="Q430" s="51"/>
      <c r="R430" s="511"/>
      <c r="S430" s="51"/>
      <c r="T430" s="51"/>
      <c r="U430" s="51"/>
      <c r="V430" s="51"/>
      <c r="W430" s="51"/>
      <c r="X430" s="131">
        <f>IF(NFI_Expiration=1,IF($A430&lt;VLOOKUP(I$5,NFI,5,0),1,0)*Data_NFI_t[[#This Row],[Hygiene Kit]],0)</f>
        <v>0</v>
      </c>
      <c r="Y430" s="131">
        <f>IF(NFI_Expiration=1,IF($A430&lt;VLOOKUP(J$5,NFI,5,0),1,0)*Data_NFI_t[[#This Row],[NFI Core Kit]],0)</f>
        <v>0</v>
      </c>
      <c r="Z430" s="112">
        <f>IF(NFI_Expiration=1,IF($A430&lt;VLOOKUP(K$5,NFI,5,0),1,0)*Data_NFI_t[[#This Row],[Sanitary Kit]],0)</f>
        <v>0</v>
      </c>
      <c r="AA430" s="112">
        <f>IF(NFI_Expiration=1,IF($A430&lt;VLOOKUP(L$5,NFI,5,0),1,0)*Data_NFI_t[[#This Row],[Mosquito net]],0)</f>
        <v>0</v>
      </c>
      <c r="AB430" s="112">
        <f>IF(NFI_Expiration=1,IF($A430&lt;VLOOKUP(M$5,NFI,5,0),1,0)*Data_NFI_t[[#This Row],[Tarpaulin]],0)</f>
        <v>0</v>
      </c>
      <c r="AC430" s="112">
        <f>IF(NFI_Expiration=1,IF($A430&lt;VLOOKUP(N$5,NFI,5,0),1,0)*Data_NFI_t[[#This Row],[Blanket]],0)</f>
        <v>0</v>
      </c>
      <c r="AD430" s="112">
        <f>IF(NFI_Expiration=1,IF($A430&lt;VLOOKUP(O$5,NFI,5,0),1,0)*Data_NFI_t[[#This Row],[Kitchen Set]],0)</f>
        <v>0</v>
      </c>
      <c r="AE430" s="112">
        <f>IF(NFI_Expiration=1,IF($A430&lt;VLOOKUP(P$5,NFI,5,0),1,0)*Data_NFI_t[[#This Row],[Complementary Kit]],0)</f>
        <v>0</v>
      </c>
      <c r="AF430" s="112">
        <f>IF(NFI_Expiration=1,IF($A430&lt;VLOOKUP(Q$5,NFI,5,0),1,0)*Data_NFI_t[[#This Row],[Plastic Bucket]],0)</f>
        <v>0</v>
      </c>
      <c r="AG430" s="112">
        <f>IF(NFI_Expiration=1,IF($A430&lt;VLOOKUP(R$5,NFI,5,0),1,0)*Data_NFI_t[[#This Row],[Jerry Can]],0)</f>
        <v>0</v>
      </c>
      <c r="AH430" s="131">
        <f>IF(NFI_Expiration=1,IF($A430&lt;VLOOKUP(S$5,NFI,5,0),1,0)*Data_NFI_t[[#This Row],[Plastic Mat]],0)*IF(Data_NFI_t[[#This Row],[Distribution Date]]&gt;"01-06-2015",1,2.5)</f>
        <v>0</v>
      </c>
      <c r="AI430" s="901">
        <f>IF(NFI_Expiration=1,IF($A430&lt;VLOOKUP(T$5,NFI,5,0),1,0)*Data_NFI_t[[#This Row],[Adult Clothes]],0)</f>
        <v>0</v>
      </c>
      <c r="AJ430" s="131">
        <f>IF(NFI_Expiration=1,IF($A430&lt;VLOOKUP(U$5,NFI,5,0),1,0)*Data_NFI_t[[#This Row],[Children Clothes]],0)</f>
        <v>0</v>
      </c>
      <c r="AK430" s="131">
        <f>IF(NFI_Expiration=1,IF($A430&lt;VLOOKUP(V$5,NFI,5,0),1,0)*Data_NFI_t[[#This Row],[Sewing Kit]],0)</f>
        <v>0</v>
      </c>
      <c r="AL430" s="901">
        <f>IF(NFI_Expiration=1,IF($A430&lt;VLOOKUP(V$5,NFI,5,0),1,0)*Data_NFI_t[[#This Row],[Solar Lantern]],0)</f>
        <v>0</v>
      </c>
      <c r="AM430" s="131" t="str">
        <f ca="1">IFERROR(OFFSET(Camp_List[P_Code],MATCH(Data_NFI_t[[#This Row],[Camp Name]],Camp_List[Camp Name],0)-1,0,1,1),"")</f>
        <v>MMR012CMP069</v>
      </c>
      <c r="AN430" s="513" t="str">
        <f ca="1">IFERROR(OFFSET(Camp_List[Status],MATCH(Data_NFI_t[[#This Row],[Camp Name]],Camp_List[Camp Name],0)-1,0,1,1),"")</f>
        <v>Close</v>
      </c>
      <c r="AO430" s="131"/>
    </row>
    <row r="431" spans="1:41" s="90" customFormat="1" ht="19.5" customHeight="1" x14ac:dyDescent="0.25">
      <c r="A431" s="242">
        <f t="shared" si="8"/>
        <v>58.7</v>
      </c>
      <c r="B431" s="242">
        <f>YEAR(Data_NFI_t[[#This Row],[Distribution Date]])</f>
        <v>2012</v>
      </c>
      <c r="C431" s="913">
        <v>41095</v>
      </c>
      <c r="D431" s="489" t="s">
        <v>285</v>
      </c>
      <c r="E431" s="488"/>
      <c r="F431" s="489" t="s">
        <v>7</v>
      </c>
      <c r="G431" s="790" t="s">
        <v>19</v>
      </c>
      <c r="H431" s="790" t="s">
        <v>256</v>
      </c>
      <c r="I431" s="790"/>
      <c r="J431" s="51"/>
      <c r="K431" s="51"/>
      <c r="L431" s="51"/>
      <c r="M431" s="51">
        <v>171</v>
      </c>
      <c r="N431" s="51"/>
      <c r="O431" s="51"/>
      <c r="P431" s="51"/>
      <c r="Q431" s="51"/>
      <c r="R431" s="511"/>
      <c r="S431" s="51"/>
      <c r="T431" s="51"/>
      <c r="U431" s="51"/>
      <c r="V431" s="51"/>
      <c r="W431" s="51"/>
      <c r="X431" s="131">
        <f>IF(NFI_Expiration=1,IF($A431&lt;VLOOKUP(I$5,NFI,5,0),1,0)*Data_NFI_t[[#This Row],[Hygiene Kit]],0)</f>
        <v>0</v>
      </c>
      <c r="Y431" s="131">
        <f>IF(NFI_Expiration=1,IF($A431&lt;VLOOKUP(J$5,NFI,5,0),1,0)*Data_NFI_t[[#This Row],[NFI Core Kit]],0)</f>
        <v>0</v>
      </c>
      <c r="Z431" s="112">
        <f>IF(NFI_Expiration=1,IF($A431&lt;VLOOKUP(K$5,NFI,5,0),1,0)*Data_NFI_t[[#This Row],[Sanitary Kit]],0)</f>
        <v>0</v>
      </c>
      <c r="AA431" s="112">
        <f>IF(NFI_Expiration=1,IF($A431&lt;VLOOKUP(L$5,NFI,5,0),1,0)*Data_NFI_t[[#This Row],[Mosquito net]],0)</f>
        <v>0</v>
      </c>
      <c r="AB431" s="112">
        <f>IF(NFI_Expiration=1,IF($A431&lt;VLOOKUP(M$5,NFI,5,0),1,0)*Data_NFI_t[[#This Row],[Tarpaulin]],0)</f>
        <v>0</v>
      </c>
      <c r="AC431" s="112">
        <f>IF(NFI_Expiration=1,IF($A431&lt;VLOOKUP(N$5,NFI,5,0),1,0)*Data_NFI_t[[#This Row],[Blanket]],0)</f>
        <v>0</v>
      </c>
      <c r="AD431" s="112">
        <f>IF(NFI_Expiration=1,IF($A431&lt;VLOOKUP(O$5,NFI,5,0),1,0)*Data_NFI_t[[#This Row],[Kitchen Set]],0)</f>
        <v>0</v>
      </c>
      <c r="AE431" s="112">
        <f>IF(NFI_Expiration=1,IF($A431&lt;VLOOKUP(P$5,NFI,5,0),1,0)*Data_NFI_t[[#This Row],[Complementary Kit]],0)</f>
        <v>0</v>
      </c>
      <c r="AF431" s="112">
        <f>IF(NFI_Expiration=1,IF($A431&lt;VLOOKUP(Q$5,NFI,5,0),1,0)*Data_NFI_t[[#This Row],[Plastic Bucket]],0)</f>
        <v>0</v>
      </c>
      <c r="AG431" s="112">
        <f>IF(NFI_Expiration=1,IF($A431&lt;VLOOKUP(R$5,NFI,5,0),1,0)*Data_NFI_t[[#This Row],[Jerry Can]],0)</f>
        <v>0</v>
      </c>
      <c r="AH431" s="131">
        <f>IF(NFI_Expiration=1,IF($A431&lt;VLOOKUP(S$5,NFI,5,0),1,0)*Data_NFI_t[[#This Row],[Plastic Mat]],0)*IF(Data_NFI_t[[#This Row],[Distribution Date]]&gt;"01-06-2015",1,2.5)</f>
        <v>0</v>
      </c>
      <c r="AI431" s="901">
        <f>IF(NFI_Expiration=1,IF($A431&lt;VLOOKUP(T$5,NFI,5,0),1,0)*Data_NFI_t[[#This Row],[Adult Clothes]],0)</f>
        <v>0</v>
      </c>
      <c r="AJ431" s="131">
        <f>IF(NFI_Expiration=1,IF($A431&lt;VLOOKUP(U$5,NFI,5,0),1,0)*Data_NFI_t[[#This Row],[Children Clothes]],0)</f>
        <v>0</v>
      </c>
      <c r="AK431" s="131">
        <f>IF(NFI_Expiration=1,IF($A431&lt;VLOOKUP(V$5,NFI,5,0),1,0)*Data_NFI_t[[#This Row],[Sewing Kit]],0)</f>
        <v>0</v>
      </c>
      <c r="AL431" s="901">
        <f>IF(NFI_Expiration=1,IF($A431&lt;VLOOKUP(V$5,NFI,5,0),1,0)*Data_NFI_t[[#This Row],[Solar Lantern]],0)</f>
        <v>0</v>
      </c>
      <c r="AM431" s="131" t="str">
        <f ca="1">IFERROR(OFFSET(Camp_List[P_Code],MATCH(Data_NFI_t[[#This Row],[Camp Name]],Camp_List[Camp Name],0)-1,0,1,1),"")</f>
        <v/>
      </c>
      <c r="AN431" s="513" t="str">
        <f ca="1">IFERROR(OFFSET(Camp_List[Status],MATCH(Data_NFI_t[[#This Row],[Camp Name]],Camp_List[Camp Name],0)-1,0,1,1),"")</f>
        <v/>
      </c>
      <c r="AO431" s="131"/>
    </row>
    <row r="432" spans="1:41" s="90" customFormat="1" ht="19.5" customHeight="1" x14ac:dyDescent="0.25">
      <c r="A432" s="242">
        <f t="shared" si="8"/>
        <v>58.7</v>
      </c>
      <c r="B432" s="242">
        <f>YEAR(Data_NFI_t[[#This Row],[Distribution Date]])</f>
        <v>2012</v>
      </c>
      <c r="C432" s="913">
        <v>41095</v>
      </c>
      <c r="D432" s="489" t="s">
        <v>285</v>
      </c>
      <c r="E432" s="488"/>
      <c r="F432" s="489" t="s">
        <v>7</v>
      </c>
      <c r="G432" s="790" t="s">
        <v>19</v>
      </c>
      <c r="H432" s="790" t="s">
        <v>63</v>
      </c>
      <c r="I432" s="790"/>
      <c r="J432" s="51"/>
      <c r="K432" s="51"/>
      <c r="L432" s="51"/>
      <c r="M432" s="51">
        <v>18</v>
      </c>
      <c r="N432" s="51"/>
      <c r="O432" s="51"/>
      <c r="P432" s="51"/>
      <c r="Q432" s="51"/>
      <c r="R432" s="511"/>
      <c r="S432" s="51"/>
      <c r="T432" s="51"/>
      <c r="U432" s="51"/>
      <c r="V432" s="51"/>
      <c r="W432" s="51"/>
      <c r="X432" s="131">
        <f>IF(NFI_Expiration=1,IF($A432&lt;VLOOKUP(I$5,NFI,5,0),1,0)*Data_NFI_t[[#This Row],[Hygiene Kit]],0)</f>
        <v>0</v>
      </c>
      <c r="Y432" s="131">
        <f>IF(NFI_Expiration=1,IF($A432&lt;VLOOKUP(J$5,NFI,5,0),1,0)*Data_NFI_t[[#This Row],[NFI Core Kit]],0)</f>
        <v>0</v>
      </c>
      <c r="Z432" s="112">
        <f>IF(NFI_Expiration=1,IF($A432&lt;VLOOKUP(K$5,NFI,5,0),1,0)*Data_NFI_t[[#This Row],[Sanitary Kit]],0)</f>
        <v>0</v>
      </c>
      <c r="AA432" s="112">
        <f>IF(NFI_Expiration=1,IF($A432&lt;VLOOKUP(L$5,NFI,5,0),1,0)*Data_NFI_t[[#This Row],[Mosquito net]],0)</f>
        <v>0</v>
      </c>
      <c r="AB432" s="112">
        <f>IF(NFI_Expiration=1,IF($A432&lt;VLOOKUP(M$5,NFI,5,0),1,0)*Data_NFI_t[[#This Row],[Tarpaulin]],0)</f>
        <v>0</v>
      </c>
      <c r="AC432" s="112">
        <f>IF(NFI_Expiration=1,IF($A432&lt;VLOOKUP(N$5,NFI,5,0),1,0)*Data_NFI_t[[#This Row],[Blanket]],0)</f>
        <v>0</v>
      </c>
      <c r="AD432" s="112">
        <f>IF(NFI_Expiration=1,IF($A432&lt;VLOOKUP(O$5,NFI,5,0),1,0)*Data_NFI_t[[#This Row],[Kitchen Set]],0)</f>
        <v>0</v>
      </c>
      <c r="AE432" s="112">
        <f>IF(NFI_Expiration=1,IF($A432&lt;VLOOKUP(P$5,NFI,5,0),1,0)*Data_NFI_t[[#This Row],[Complementary Kit]],0)</f>
        <v>0</v>
      </c>
      <c r="AF432" s="112">
        <f>IF(NFI_Expiration=1,IF($A432&lt;VLOOKUP(Q$5,NFI,5,0),1,0)*Data_NFI_t[[#This Row],[Plastic Bucket]],0)</f>
        <v>0</v>
      </c>
      <c r="AG432" s="112">
        <f>IF(NFI_Expiration=1,IF($A432&lt;VLOOKUP(R$5,NFI,5,0),1,0)*Data_NFI_t[[#This Row],[Jerry Can]],0)</f>
        <v>0</v>
      </c>
      <c r="AH432" s="131">
        <f>IF(NFI_Expiration=1,IF($A432&lt;VLOOKUP(S$5,NFI,5,0),1,0)*Data_NFI_t[[#This Row],[Plastic Mat]],0)*IF(Data_NFI_t[[#This Row],[Distribution Date]]&gt;"01-06-2015",1,2.5)</f>
        <v>0</v>
      </c>
      <c r="AI432" s="901">
        <f>IF(NFI_Expiration=1,IF($A432&lt;VLOOKUP(T$5,NFI,5,0),1,0)*Data_NFI_t[[#This Row],[Adult Clothes]],0)</f>
        <v>0</v>
      </c>
      <c r="AJ432" s="131">
        <f>IF(NFI_Expiration=1,IF($A432&lt;VLOOKUP(U$5,NFI,5,0),1,0)*Data_NFI_t[[#This Row],[Children Clothes]],0)</f>
        <v>0</v>
      </c>
      <c r="AK432" s="131">
        <f>IF(NFI_Expiration=1,IF($A432&lt;VLOOKUP(V$5,NFI,5,0),1,0)*Data_NFI_t[[#This Row],[Sewing Kit]],0)</f>
        <v>0</v>
      </c>
      <c r="AL432" s="901">
        <f>IF(NFI_Expiration=1,IF($A432&lt;VLOOKUP(V$5,NFI,5,0),1,0)*Data_NFI_t[[#This Row],[Solar Lantern]],0)</f>
        <v>0</v>
      </c>
      <c r="AM432" s="131" t="str">
        <f ca="1">IFERROR(OFFSET(Camp_List[P_Code],MATCH(Data_NFI_t[[#This Row],[Camp Name]],Camp_List[Camp Name],0)-1,0,1,1),"")</f>
        <v>MMR012CMP041</v>
      </c>
      <c r="AN432" s="513" t="str">
        <f ca="1">IFERROR(OFFSET(Camp_List[Status],MATCH(Data_NFI_t[[#This Row],[Camp Name]],Camp_List[Camp Name],0)-1,0,1,1),"")</f>
        <v>Open</v>
      </c>
      <c r="AO432" s="131"/>
    </row>
    <row r="433" spans="1:41" s="90" customFormat="1" ht="19.5" customHeight="1" x14ac:dyDescent="0.25">
      <c r="A433" s="242">
        <f t="shared" si="8"/>
        <v>58.7</v>
      </c>
      <c r="B433" s="242">
        <f>YEAR(Data_NFI_t[[#This Row],[Distribution Date]])</f>
        <v>2012</v>
      </c>
      <c r="C433" s="913">
        <v>41095</v>
      </c>
      <c r="D433" s="489" t="s">
        <v>285</v>
      </c>
      <c r="E433" s="488"/>
      <c r="F433" s="489" t="s">
        <v>7</v>
      </c>
      <c r="G433" s="790" t="s">
        <v>19</v>
      </c>
      <c r="H433" s="790" t="s">
        <v>94</v>
      </c>
      <c r="I433" s="790"/>
      <c r="J433" s="51"/>
      <c r="K433" s="51"/>
      <c r="L433" s="51"/>
      <c r="M433" s="51">
        <v>36</v>
      </c>
      <c r="N433" s="51"/>
      <c r="O433" s="51"/>
      <c r="P433" s="51"/>
      <c r="Q433" s="51"/>
      <c r="R433" s="511"/>
      <c r="S433" s="51"/>
      <c r="T433" s="51"/>
      <c r="U433" s="51"/>
      <c r="V433" s="51"/>
      <c r="W433" s="51"/>
      <c r="X433" s="131">
        <f>IF(NFI_Expiration=1,IF($A433&lt;VLOOKUP(I$5,NFI,5,0),1,0)*Data_NFI_t[[#This Row],[Hygiene Kit]],0)</f>
        <v>0</v>
      </c>
      <c r="Y433" s="131">
        <f>IF(NFI_Expiration=1,IF($A433&lt;VLOOKUP(J$5,NFI,5,0),1,0)*Data_NFI_t[[#This Row],[NFI Core Kit]],0)</f>
        <v>0</v>
      </c>
      <c r="Z433" s="112">
        <f>IF(NFI_Expiration=1,IF($A433&lt;VLOOKUP(K$5,NFI,5,0),1,0)*Data_NFI_t[[#This Row],[Sanitary Kit]],0)</f>
        <v>0</v>
      </c>
      <c r="AA433" s="112">
        <f>IF(NFI_Expiration=1,IF($A433&lt;VLOOKUP(L$5,NFI,5,0),1,0)*Data_NFI_t[[#This Row],[Mosquito net]],0)</f>
        <v>0</v>
      </c>
      <c r="AB433" s="112">
        <f>IF(NFI_Expiration=1,IF($A433&lt;VLOOKUP(M$5,NFI,5,0),1,0)*Data_NFI_t[[#This Row],[Tarpaulin]],0)</f>
        <v>0</v>
      </c>
      <c r="AC433" s="112">
        <f>IF(NFI_Expiration=1,IF($A433&lt;VLOOKUP(N$5,NFI,5,0),1,0)*Data_NFI_t[[#This Row],[Blanket]],0)</f>
        <v>0</v>
      </c>
      <c r="AD433" s="112">
        <f>IF(NFI_Expiration=1,IF($A433&lt;VLOOKUP(O$5,NFI,5,0),1,0)*Data_NFI_t[[#This Row],[Kitchen Set]],0)</f>
        <v>0</v>
      </c>
      <c r="AE433" s="112">
        <f>IF(NFI_Expiration=1,IF($A433&lt;VLOOKUP(P$5,NFI,5,0),1,0)*Data_NFI_t[[#This Row],[Complementary Kit]],0)</f>
        <v>0</v>
      </c>
      <c r="AF433" s="112">
        <f>IF(NFI_Expiration=1,IF($A433&lt;VLOOKUP(Q$5,NFI,5,0),1,0)*Data_NFI_t[[#This Row],[Plastic Bucket]],0)</f>
        <v>0</v>
      </c>
      <c r="AG433" s="112">
        <f>IF(NFI_Expiration=1,IF($A433&lt;VLOOKUP(R$5,NFI,5,0),1,0)*Data_NFI_t[[#This Row],[Jerry Can]],0)</f>
        <v>0</v>
      </c>
      <c r="AH433" s="131">
        <f>IF(NFI_Expiration=1,IF($A433&lt;VLOOKUP(S$5,NFI,5,0),1,0)*Data_NFI_t[[#This Row],[Plastic Mat]],0)*IF(Data_NFI_t[[#This Row],[Distribution Date]]&gt;"01-06-2015",1,2.5)</f>
        <v>0</v>
      </c>
      <c r="AI433" s="901">
        <f>IF(NFI_Expiration=1,IF($A433&lt;VLOOKUP(T$5,NFI,5,0),1,0)*Data_NFI_t[[#This Row],[Adult Clothes]],0)</f>
        <v>0</v>
      </c>
      <c r="AJ433" s="131">
        <f>IF(NFI_Expiration=1,IF($A433&lt;VLOOKUP(U$5,NFI,5,0),1,0)*Data_NFI_t[[#This Row],[Children Clothes]],0)</f>
        <v>0</v>
      </c>
      <c r="AK433" s="131">
        <f>IF(NFI_Expiration=1,IF($A433&lt;VLOOKUP(V$5,NFI,5,0),1,0)*Data_NFI_t[[#This Row],[Sewing Kit]],0)</f>
        <v>0</v>
      </c>
      <c r="AL433" s="901">
        <f>IF(NFI_Expiration=1,IF($A433&lt;VLOOKUP(V$5,NFI,5,0),1,0)*Data_NFI_t[[#This Row],[Solar Lantern]],0)</f>
        <v>0</v>
      </c>
      <c r="AM433" s="131" t="str">
        <f ca="1">IFERROR(OFFSET(Camp_List[P_Code],MATCH(Data_NFI_t[[#This Row],[Camp Name]],Camp_List[Camp Name],0)-1,0,1,1),"")</f>
        <v>MMR012CMP073</v>
      </c>
      <c r="AN433" s="513" t="str">
        <f ca="1">IFERROR(OFFSET(Camp_List[Status],MATCH(Data_NFI_t[[#This Row],[Camp Name]],Camp_List[Camp Name],0)-1,0,1,1),"")</f>
        <v>Close</v>
      </c>
      <c r="AO433" s="131"/>
    </row>
    <row r="434" spans="1:41" s="90" customFormat="1" ht="19.5" customHeight="1" x14ac:dyDescent="0.25">
      <c r="A434" s="242">
        <f t="shared" si="8"/>
        <v>58.7</v>
      </c>
      <c r="B434" s="242">
        <f>YEAR(Data_NFI_t[[#This Row],[Distribution Date]])</f>
        <v>2012</v>
      </c>
      <c r="C434" s="913">
        <v>41095</v>
      </c>
      <c r="D434" s="489" t="s">
        <v>285</v>
      </c>
      <c r="E434" s="488"/>
      <c r="F434" s="489" t="s">
        <v>7</v>
      </c>
      <c r="G434" s="790" t="s">
        <v>19</v>
      </c>
      <c r="H434" s="790" t="s">
        <v>82</v>
      </c>
      <c r="I434" s="790"/>
      <c r="J434" s="51"/>
      <c r="K434" s="51"/>
      <c r="L434" s="51"/>
      <c r="M434" s="51">
        <v>69</v>
      </c>
      <c r="N434" s="51"/>
      <c r="O434" s="51"/>
      <c r="P434" s="51"/>
      <c r="Q434" s="51"/>
      <c r="R434" s="511"/>
      <c r="S434" s="51"/>
      <c r="T434" s="51"/>
      <c r="U434" s="51"/>
      <c r="V434" s="51"/>
      <c r="W434" s="51"/>
      <c r="X434" s="131">
        <f>IF(NFI_Expiration=1,IF($A434&lt;VLOOKUP(I$5,NFI,5,0),1,0)*Data_NFI_t[[#This Row],[Hygiene Kit]],0)</f>
        <v>0</v>
      </c>
      <c r="Y434" s="131">
        <f>IF(NFI_Expiration=1,IF($A434&lt;VLOOKUP(J$5,NFI,5,0),1,0)*Data_NFI_t[[#This Row],[NFI Core Kit]],0)</f>
        <v>0</v>
      </c>
      <c r="Z434" s="112">
        <f>IF(NFI_Expiration=1,IF($A434&lt;VLOOKUP(K$5,NFI,5,0),1,0)*Data_NFI_t[[#This Row],[Sanitary Kit]],0)</f>
        <v>0</v>
      </c>
      <c r="AA434" s="112">
        <f>IF(NFI_Expiration=1,IF($A434&lt;VLOOKUP(L$5,NFI,5,0),1,0)*Data_NFI_t[[#This Row],[Mosquito net]],0)</f>
        <v>0</v>
      </c>
      <c r="AB434" s="112">
        <f>IF(NFI_Expiration=1,IF($A434&lt;VLOOKUP(M$5,NFI,5,0),1,0)*Data_NFI_t[[#This Row],[Tarpaulin]],0)</f>
        <v>0</v>
      </c>
      <c r="AC434" s="112">
        <f>IF(NFI_Expiration=1,IF($A434&lt;VLOOKUP(N$5,NFI,5,0),1,0)*Data_NFI_t[[#This Row],[Blanket]],0)</f>
        <v>0</v>
      </c>
      <c r="AD434" s="112">
        <f>IF(NFI_Expiration=1,IF($A434&lt;VLOOKUP(O$5,NFI,5,0),1,0)*Data_NFI_t[[#This Row],[Kitchen Set]],0)</f>
        <v>0</v>
      </c>
      <c r="AE434" s="112">
        <f>IF(NFI_Expiration=1,IF($A434&lt;VLOOKUP(P$5,NFI,5,0),1,0)*Data_NFI_t[[#This Row],[Complementary Kit]],0)</f>
        <v>0</v>
      </c>
      <c r="AF434" s="112">
        <f>IF(NFI_Expiration=1,IF($A434&lt;VLOOKUP(Q$5,NFI,5,0),1,0)*Data_NFI_t[[#This Row],[Plastic Bucket]],0)</f>
        <v>0</v>
      </c>
      <c r="AG434" s="112">
        <f>IF(NFI_Expiration=1,IF($A434&lt;VLOOKUP(R$5,NFI,5,0),1,0)*Data_NFI_t[[#This Row],[Jerry Can]],0)</f>
        <v>0</v>
      </c>
      <c r="AH434" s="131">
        <f>IF(NFI_Expiration=1,IF($A434&lt;VLOOKUP(S$5,NFI,5,0),1,0)*Data_NFI_t[[#This Row],[Plastic Mat]],0)*IF(Data_NFI_t[[#This Row],[Distribution Date]]&gt;"01-06-2015",1,2.5)</f>
        <v>0</v>
      </c>
      <c r="AI434" s="901">
        <f>IF(NFI_Expiration=1,IF($A434&lt;VLOOKUP(T$5,NFI,5,0),1,0)*Data_NFI_t[[#This Row],[Adult Clothes]],0)</f>
        <v>0</v>
      </c>
      <c r="AJ434" s="131">
        <f>IF(NFI_Expiration=1,IF($A434&lt;VLOOKUP(U$5,NFI,5,0),1,0)*Data_NFI_t[[#This Row],[Children Clothes]],0)</f>
        <v>0</v>
      </c>
      <c r="AK434" s="131">
        <f>IF(NFI_Expiration=1,IF($A434&lt;VLOOKUP(V$5,NFI,5,0),1,0)*Data_NFI_t[[#This Row],[Sewing Kit]],0)</f>
        <v>0</v>
      </c>
      <c r="AL434" s="901">
        <f>IF(NFI_Expiration=1,IF($A434&lt;VLOOKUP(V$5,NFI,5,0),1,0)*Data_NFI_t[[#This Row],[Solar Lantern]],0)</f>
        <v>0</v>
      </c>
      <c r="AM434" s="131" t="str">
        <f ca="1">IFERROR(OFFSET(Camp_List[P_Code],MATCH(Data_NFI_t[[#This Row],[Camp Name]],Camp_List[Camp Name],0)-1,0,1,1),"")</f>
        <v>MMR012CMP061</v>
      </c>
      <c r="AN434" s="513" t="str">
        <f ca="1">IFERROR(OFFSET(Camp_List[Status],MATCH(Data_NFI_t[[#This Row],[Camp Name]],Camp_List[Camp Name],0)-1,0,1,1),"")</f>
        <v>Close</v>
      </c>
      <c r="AO434" s="131"/>
    </row>
    <row r="435" spans="1:41" s="90" customFormat="1" ht="19.5" customHeight="1" x14ac:dyDescent="0.25">
      <c r="A435" s="242">
        <f t="shared" si="8"/>
        <v>58.7</v>
      </c>
      <c r="B435" s="242">
        <f>YEAR(Data_NFI_t[[#This Row],[Distribution Date]])</f>
        <v>2012</v>
      </c>
      <c r="C435" s="913">
        <v>41095</v>
      </c>
      <c r="D435" s="489" t="s">
        <v>285</v>
      </c>
      <c r="E435" s="488"/>
      <c r="F435" s="489" t="s">
        <v>7</v>
      </c>
      <c r="G435" s="790" t="s">
        <v>19</v>
      </c>
      <c r="H435" s="790" t="s">
        <v>64</v>
      </c>
      <c r="I435" s="790"/>
      <c r="J435" s="51"/>
      <c r="K435" s="51"/>
      <c r="L435" s="51"/>
      <c r="M435" s="51">
        <v>132</v>
      </c>
      <c r="N435" s="51"/>
      <c r="O435" s="51"/>
      <c r="P435" s="51"/>
      <c r="Q435" s="51"/>
      <c r="R435" s="511"/>
      <c r="S435" s="51"/>
      <c r="T435" s="51"/>
      <c r="U435" s="51"/>
      <c r="V435" s="51"/>
      <c r="W435" s="51"/>
      <c r="X435" s="131">
        <f>IF(NFI_Expiration=1,IF($A435&lt;VLOOKUP(I$5,NFI,5,0),1,0)*Data_NFI_t[[#This Row],[Hygiene Kit]],0)</f>
        <v>0</v>
      </c>
      <c r="Y435" s="131">
        <f>IF(NFI_Expiration=1,IF($A435&lt;VLOOKUP(J$5,NFI,5,0),1,0)*Data_NFI_t[[#This Row],[NFI Core Kit]],0)</f>
        <v>0</v>
      </c>
      <c r="Z435" s="112">
        <f>IF(NFI_Expiration=1,IF($A435&lt;VLOOKUP(K$5,NFI,5,0),1,0)*Data_NFI_t[[#This Row],[Sanitary Kit]],0)</f>
        <v>0</v>
      </c>
      <c r="AA435" s="112">
        <f>IF(NFI_Expiration=1,IF($A435&lt;VLOOKUP(L$5,NFI,5,0),1,0)*Data_NFI_t[[#This Row],[Mosquito net]],0)</f>
        <v>0</v>
      </c>
      <c r="AB435" s="112">
        <f>IF(NFI_Expiration=1,IF($A435&lt;VLOOKUP(M$5,NFI,5,0),1,0)*Data_NFI_t[[#This Row],[Tarpaulin]],0)</f>
        <v>0</v>
      </c>
      <c r="AC435" s="112">
        <f>IF(NFI_Expiration=1,IF($A435&lt;VLOOKUP(N$5,NFI,5,0),1,0)*Data_NFI_t[[#This Row],[Blanket]],0)</f>
        <v>0</v>
      </c>
      <c r="AD435" s="112">
        <f>IF(NFI_Expiration=1,IF($A435&lt;VLOOKUP(O$5,NFI,5,0),1,0)*Data_NFI_t[[#This Row],[Kitchen Set]],0)</f>
        <v>0</v>
      </c>
      <c r="AE435" s="112">
        <f>IF(NFI_Expiration=1,IF($A435&lt;VLOOKUP(P$5,NFI,5,0),1,0)*Data_NFI_t[[#This Row],[Complementary Kit]],0)</f>
        <v>0</v>
      </c>
      <c r="AF435" s="112">
        <f>IF(NFI_Expiration=1,IF($A435&lt;VLOOKUP(Q$5,NFI,5,0),1,0)*Data_NFI_t[[#This Row],[Plastic Bucket]],0)</f>
        <v>0</v>
      </c>
      <c r="AG435" s="112">
        <f>IF(NFI_Expiration=1,IF($A435&lt;VLOOKUP(R$5,NFI,5,0),1,0)*Data_NFI_t[[#This Row],[Jerry Can]],0)</f>
        <v>0</v>
      </c>
      <c r="AH435" s="131">
        <f>IF(NFI_Expiration=1,IF($A435&lt;VLOOKUP(S$5,NFI,5,0),1,0)*Data_NFI_t[[#This Row],[Plastic Mat]],0)*IF(Data_NFI_t[[#This Row],[Distribution Date]]&gt;"01-06-2015",1,2.5)</f>
        <v>0</v>
      </c>
      <c r="AI435" s="901">
        <f>IF(NFI_Expiration=1,IF($A435&lt;VLOOKUP(T$5,NFI,5,0),1,0)*Data_NFI_t[[#This Row],[Adult Clothes]],0)</f>
        <v>0</v>
      </c>
      <c r="AJ435" s="131">
        <f>IF(NFI_Expiration=1,IF($A435&lt;VLOOKUP(U$5,NFI,5,0),1,0)*Data_NFI_t[[#This Row],[Children Clothes]],0)</f>
        <v>0</v>
      </c>
      <c r="AK435" s="131">
        <f>IF(NFI_Expiration=1,IF($A435&lt;VLOOKUP(V$5,NFI,5,0),1,0)*Data_NFI_t[[#This Row],[Sewing Kit]],0)</f>
        <v>0</v>
      </c>
      <c r="AL435" s="901">
        <f>IF(NFI_Expiration=1,IF($A435&lt;VLOOKUP(V$5,NFI,5,0),1,0)*Data_NFI_t[[#This Row],[Solar Lantern]],0)</f>
        <v>0</v>
      </c>
      <c r="AM435" s="131" t="str">
        <f ca="1">IFERROR(OFFSET(Camp_List[P_Code],MATCH(Data_NFI_t[[#This Row],[Camp Name]],Camp_List[Camp Name],0)-1,0,1,1),"")</f>
        <v>MMR012CMP042</v>
      </c>
      <c r="AN435" s="513" t="str">
        <f ca="1">IFERROR(OFFSET(Camp_List[Status],MATCH(Data_NFI_t[[#This Row],[Camp Name]],Camp_List[Camp Name],0)-1,0,1,1),"")</f>
        <v>Open</v>
      </c>
      <c r="AO435" s="131"/>
    </row>
    <row r="436" spans="1:41" s="90" customFormat="1" ht="19.5" customHeight="1" x14ac:dyDescent="0.25">
      <c r="A436" s="242">
        <f t="shared" si="8"/>
        <v>58.7</v>
      </c>
      <c r="B436" s="242">
        <f>YEAR(Data_NFI_t[[#This Row],[Distribution Date]])</f>
        <v>2012</v>
      </c>
      <c r="C436" s="913">
        <v>41095</v>
      </c>
      <c r="D436" s="489" t="s">
        <v>285</v>
      </c>
      <c r="E436" s="488"/>
      <c r="F436" s="489" t="s">
        <v>7</v>
      </c>
      <c r="G436" s="790" t="s">
        <v>19</v>
      </c>
      <c r="H436" s="790" t="s">
        <v>87</v>
      </c>
      <c r="I436" s="790"/>
      <c r="J436" s="51"/>
      <c r="K436" s="51"/>
      <c r="L436" s="51"/>
      <c r="M436" s="51">
        <v>280</v>
      </c>
      <c r="N436" s="51"/>
      <c r="O436" s="51"/>
      <c r="P436" s="51"/>
      <c r="Q436" s="51"/>
      <c r="R436" s="511"/>
      <c r="S436" s="51"/>
      <c r="T436" s="51"/>
      <c r="U436" s="51"/>
      <c r="V436" s="51"/>
      <c r="W436" s="51"/>
      <c r="X436" s="131">
        <f>IF(NFI_Expiration=1,IF($A436&lt;VLOOKUP(I$5,NFI,5,0),1,0)*Data_NFI_t[[#This Row],[Hygiene Kit]],0)</f>
        <v>0</v>
      </c>
      <c r="Y436" s="131">
        <f>IF(NFI_Expiration=1,IF($A436&lt;VLOOKUP(J$5,NFI,5,0),1,0)*Data_NFI_t[[#This Row],[NFI Core Kit]],0)</f>
        <v>0</v>
      </c>
      <c r="Z436" s="112">
        <f>IF(NFI_Expiration=1,IF($A436&lt;VLOOKUP(K$5,NFI,5,0),1,0)*Data_NFI_t[[#This Row],[Sanitary Kit]],0)</f>
        <v>0</v>
      </c>
      <c r="AA436" s="112">
        <f>IF(NFI_Expiration=1,IF($A436&lt;VLOOKUP(L$5,NFI,5,0),1,0)*Data_NFI_t[[#This Row],[Mosquito net]],0)</f>
        <v>0</v>
      </c>
      <c r="AB436" s="112">
        <f>IF(NFI_Expiration=1,IF($A436&lt;VLOOKUP(M$5,NFI,5,0),1,0)*Data_NFI_t[[#This Row],[Tarpaulin]],0)</f>
        <v>0</v>
      </c>
      <c r="AC436" s="112">
        <f>IF(NFI_Expiration=1,IF($A436&lt;VLOOKUP(N$5,NFI,5,0),1,0)*Data_NFI_t[[#This Row],[Blanket]],0)</f>
        <v>0</v>
      </c>
      <c r="AD436" s="112">
        <f>IF(NFI_Expiration=1,IF($A436&lt;VLOOKUP(O$5,NFI,5,0),1,0)*Data_NFI_t[[#This Row],[Kitchen Set]],0)</f>
        <v>0</v>
      </c>
      <c r="AE436" s="112">
        <f>IF(NFI_Expiration=1,IF($A436&lt;VLOOKUP(P$5,NFI,5,0),1,0)*Data_NFI_t[[#This Row],[Complementary Kit]],0)</f>
        <v>0</v>
      </c>
      <c r="AF436" s="112">
        <f>IF(NFI_Expiration=1,IF($A436&lt;VLOOKUP(Q$5,NFI,5,0),1,0)*Data_NFI_t[[#This Row],[Plastic Bucket]],0)</f>
        <v>0</v>
      </c>
      <c r="AG436" s="112">
        <f>IF(NFI_Expiration=1,IF($A436&lt;VLOOKUP(R$5,NFI,5,0),1,0)*Data_NFI_t[[#This Row],[Jerry Can]],0)</f>
        <v>0</v>
      </c>
      <c r="AH436" s="131">
        <f>IF(NFI_Expiration=1,IF($A436&lt;VLOOKUP(S$5,NFI,5,0),1,0)*Data_NFI_t[[#This Row],[Plastic Mat]],0)*IF(Data_NFI_t[[#This Row],[Distribution Date]]&gt;"01-06-2015",1,2.5)</f>
        <v>0</v>
      </c>
      <c r="AI436" s="901">
        <f>IF(NFI_Expiration=1,IF($A436&lt;VLOOKUP(T$5,NFI,5,0),1,0)*Data_NFI_t[[#This Row],[Adult Clothes]],0)</f>
        <v>0</v>
      </c>
      <c r="AJ436" s="131">
        <f>IF(NFI_Expiration=1,IF($A436&lt;VLOOKUP(U$5,NFI,5,0),1,0)*Data_NFI_t[[#This Row],[Children Clothes]],0)</f>
        <v>0</v>
      </c>
      <c r="AK436" s="131">
        <f>IF(NFI_Expiration=1,IF($A436&lt;VLOOKUP(V$5,NFI,5,0),1,0)*Data_NFI_t[[#This Row],[Sewing Kit]],0)</f>
        <v>0</v>
      </c>
      <c r="AL436" s="901">
        <f>IF(NFI_Expiration=1,IF($A436&lt;VLOOKUP(V$5,NFI,5,0),1,0)*Data_NFI_t[[#This Row],[Solar Lantern]],0)</f>
        <v>0</v>
      </c>
      <c r="AM436" s="131" t="str">
        <f ca="1">IFERROR(OFFSET(Camp_List[P_Code],MATCH(Data_NFI_t[[#This Row],[Camp Name]],Camp_List[Camp Name],0)-1,0,1,1),"")</f>
        <v>MMR012CMP066</v>
      </c>
      <c r="AN436" s="513" t="str">
        <f ca="1">IFERROR(OFFSET(Camp_List[Status],MATCH(Data_NFI_t[[#This Row],[Camp Name]],Camp_List[Camp Name],0)-1,0,1,1),"")</f>
        <v>Close</v>
      </c>
      <c r="AO436" s="131"/>
    </row>
    <row r="437" spans="1:41" s="90" customFormat="1" ht="19.5" customHeight="1" x14ac:dyDescent="0.25">
      <c r="A437" s="242">
        <f t="shared" si="8"/>
        <v>58.866666666666667</v>
      </c>
      <c r="B437" s="242">
        <f>YEAR(Data_NFI_t[[#This Row],[Distribution Date]])</f>
        <v>2012</v>
      </c>
      <c r="C437" s="913">
        <v>41090</v>
      </c>
      <c r="D437" s="489" t="s">
        <v>285</v>
      </c>
      <c r="E437" s="488"/>
      <c r="F437" s="489" t="s">
        <v>7</v>
      </c>
      <c r="G437" s="790" t="s">
        <v>19</v>
      </c>
      <c r="H437" s="790" t="s">
        <v>77</v>
      </c>
      <c r="I437" s="790"/>
      <c r="J437" s="51"/>
      <c r="K437" s="51"/>
      <c r="L437" s="51"/>
      <c r="M437" s="51">
        <v>103</v>
      </c>
      <c r="N437" s="51"/>
      <c r="O437" s="51"/>
      <c r="P437" s="51"/>
      <c r="Q437" s="51"/>
      <c r="R437" s="511"/>
      <c r="S437" s="51"/>
      <c r="T437" s="51"/>
      <c r="U437" s="51"/>
      <c r="V437" s="51"/>
      <c r="W437" s="51"/>
      <c r="X437" s="131">
        <f>IF(NFI_Expiration=1,IF($A437&lt;VLOOKUP(I$5,NFI,5,0),1,0)*Data_NFI_t[[#This Row],[Hygiene Kit]],0)</f>
        <v>0</v>
      </c>
      <c r="Y437" s="131">
        <f>IF(NFI_Expiration=1,IF($A437&lt;VLOOKUP(J$5,NFI,5,0),1,0)*Data_NFI_t[[#This Row],[NFI Core Kit]],0)</f>
        <v>0</v>
      </c>
      <c r="Z437" s="112">
        <f>IF(NFI_Expiration=1,IF($A437&lt;VLOOKUP(K$5,NFI,5,0),1,0)*Data_NFI_t[[#This Row],[Sanitary Kit]],0)</f>
        <v>0</v>
      </c>
      <c r="AA437" s="112">
        <f>IF(NFI_Expiration=1,IF($A437&lt;VLOOKUP(L$5,NFI,5,0),1,0)*Data_NFI_t[[#This Row],[Mosquito net]],0)</f>
        <v>0</v>
      </c>
      <c r="AB437" s="112">
        <f>IF(NFI_Expiration=1,IF($A437&lt;VLOOKUP(M$5,NFI,5,0),1,0)*Data_NFI_t[[#This Row],[Tarpaulin]],0)</f>
        <v>0</v>
      </c>
      <c r="AC437" s="112">
        <f>IF(NFI_Expiration=1,IF($A437&lt;VLOOKUP(N$5,NFI,5,0),1,0)*Data_NFI_t[[#This Row],[Blanket]],0)</f>
        <v>0</v>
      </c>
      <c r="AD437" s="112">
        <f>IF(NFI_Expiration=1,IF($A437&lt;VLOOKUP(O$5,NFI,5,0),1,0)*Data_NFI_t[[#This Row],[Kitchen Set]],0)</f>
        <v>0</v>
      </c>
      <c r="AE437" s="112">
        <f>IF(NFI_Expiration=1,IF($A437&lt;VLOOKUP(P$5,NFI,5,0),1,0)*Data_NFI_t[[#This Row],[Complementary Kit]],0)</f>
        <v>0</v>
      </c>
      <c r="AF437" s="112">
        <f>IF(NFI_Expiration=1,IF($A437&lt;VLOOKUP(Q$5,NFI,5,0),1,0)*Data_NFI_t[[#This Row],[Plastic Bucket]],0)</f>
        <v>0</v>
      </c>
      <c r="AG437" s="112">
        <f>IF(NFI_Expiration=1,IF($A437&lt;VLOOKUP(R$5,NFI,5,0),1,0)*Data_NFI_t[[#This Row],[Jerry Can]],0)</f>
        <v>0</v>
      </c>
      <c r="AH437" s="131">
        <f>IF(NFI_Expiration=1,IF($A437&lt;VLOOKUP(S$5,NFI,5,0),1,0)*Data_NFI_t[[#This Row],[Plastic Mat]],0)*IF(Data_NFI_t[[#This Row],[Distribution Date]]&gt;"01-06-2015",1,2.5)</f>
        <v>0</v>
      </c>
      <c r="AI437" s="901">
        <f>IF(NFI_Expiration=1,IF($A437&lt;VLOOKUP(T$5,NFI,5,0),1,0)*Data_NFI_t[[#This Row],[Adult Clothes]],0)</f>
        <v>0</v>
      </c>
      <c r="AJ437" s="131">
        <f>IF(NFI_Expiration=1,IF($A437&lt;VLOOKUP(U$5,NFI,5,0),1,0)*Data_NFI_t[[#This Row],[Children Clothes]],0)</f>
        <v>0</v>
      </c>
      <c r="AK437" s="131">
        <f>IF(NFI_Expiration=1,IF($A437&lt;VLOOKUP(V$5,NFI,5,0),1,0)*Data_NFI_t[[#This Row],[Sewing Kit]],0)</f>
        <v>0</v>
      </c>
      <c r="AL437" s="901">
        <f>IF(NFI_Expiration=1,IF($A437&lt;VLOOKUP(V$5,NFI,5,0),1,0)*Data_NFI_t[[#This Row],[Solar Lantern]],0)</f>
        <v>0</v>
      </c>
      <c r="AM437" s="131" t="str">
        <f ca="1">IFERROR(OFFSET(Camp_List[P_Code],MATCH(Data_NFI_t[[#This Row],[Camp Name]],Camp_List[Camp Name],0)-1,0,1,1),"")</f>
        <v>MMR012CMP055</v>
      </c>
      <c r="AN437" s="513" t="str">
        <f ca="1">IFERROR(OFFSET(Camp_List[Status],MATCH(Data_NFI_t[[#This Row],[Camp Name]],Camp_List[Camp Name],0)-1,0,1,1),"")</f>
        <v>Close</v>
      </c>
      <c r="AO437" s="131"/>
    </row>
    <row r="438" spans="1:41" s="90" customFormat="1" ht="19.5" customHeight="1" x14ac:dyDescent="0.25">
      <c r="A438" s="242">
        <f t="shared" si="8"/>
        <v>58.866666666666667</v>
      </c>
      <c r="B438" s="242">
        <f>YEAR(Data_NFI_t[[#This Row],[Distribution Date]])</f>
        <v>2012</v>
      </c>
      <c r="C438" s="913">
        <v>41090</v>
      </c>
      <c r="D438" s="489" t="s">
        <v>285</v>
      </c>
      <c r="E438" s="488"/>
      <c r="F438" s="489" t="s">
        <v>7</v>
      </c>
      <c r="G438" s="790" t="s">
        <v>19</v>
      </c>
      <c r="H438" s="790" t="s">
        <v>253</v>
      </c>
      <c r="I438" s="790"/>
      <c r="J438" s="51"/>
      <c r="K438" s="51"/>
      <c r="L438" s="51"/>
      <c r="M438" s="51">
        <v>36</v>
      </c>
      <c r="N438" s="51"/>
      <c r="O438" s="51"/>
      <c r="P438" s="51"/>
      <c r="Q438" s="51"/>
      <c r="R438" s="511"/>
      <c r="S438" s="51"/>
      <c r="T438" s="51"/>
      <c r="U438" s="51"/>
      <c r="V438" s="51"/>
      <c r="W438" s="51"/>
      <c r="X438" s="131">
        <f>IF(NFI_Expiration=1,IF($A438&lt;VLOOKUP(I$5,NFI,5,0),1,0)*Data_NFI_t[[#This Row],[Hygiene Kit]],0)</f>
        <v>0</v>
      </c>
      <c r="Y438" s="131">
        <f>IF(NFI_Expiration=1,IF($A438&lt;VLOOKUP(J$5,NFI,5,0),1,0)*Data_NFI_t[[#This Row],[NFI Core Kit]],0)</f>
        <v>0</v>
      </c>
      <c r="Z438" s="112">
        <f>IF(NFI_Expiration=1,IF($A438&lt;VLOOKUP(K$5,NFI,5,0),1,0)*Data_NFI_t[[#This Row],[Sanitary Kit]],0)</f>
        <v>0</v>
      </c>
      <c r="AA438" s="112">
        <f>IF(NFI_Expiration=1,IF($A438&lt;VLOOKUP(L$5,NFI,5,0),1,0)*Data_NFI_t[[#This Row],[Mosquito net]],0)</f>
        <v>0</v>
      </c>
      <c r="AB438" s="112">
        <f>IF(NFI_Expiration=1,IF($A438&lt;VLOOKUP(M$5,NFI,5,0),1,0)*Data_NFI_t[[#This Row],[Tarpaulin]],0)</f>
        <v>0</v>
      </c>
      <c r="AC438" s="112">
        <f>IF(NFI_Expiration=1,IF($A438&lt;VLOOKUP(N$5,NFI,5,0),1,0)*Data_NFI_t[[#This Row],[Blanket]],0)</f>
        <v>0</v>
      </c>
      <c r="AD438" s="112">
        <f>IF(NFI_Expiration=1,IF($A438&lt;VLOOKUP(O$5,NFI,5,0),1,0)*Data_NFI_t[[#This Row],[Kitchen Set]],0)</f>
        <v>0</v>
      </c>
      <c r="AE438" s="112">
        <f>IF(NFI_Expiration=1,IF($A438&lt;VLOOKUP(P$5,NFI,5,0),1,0)*Data_NFI_t[[#This Row],[Complementary Kit]],0)</f>
        <v>0</v>
      </c>
      <c r="AF438" s="112">
        <f>IF(NFI_Expiration=1,IF($A438&lt;VLOOKUP(Q$5,NFI,5,0),1,0)*Data_NFI_t[[#This Row],[Plastic Bucket]],0)</f>
        <v>0</v>
      </c>
      <c r="AG438" s="112">
        <f>IF(NFI_Expiration=1,IF($A438&lt;VLOOKUP(R$5,NFI,5,0),1,0)*Data_NFI_t[[#This Row],[Jerry Can]],0)</f>
        <v>0</v>
      </c>
      <c r="AH438" s="131">
        <f>IF(NFI_Expiration=1,IF($A438&lt;VLOOKUP(S$5,NFI,5,0),1,0)*Data_NFI_t[[#This Row],[Plastic Mat]],0)*IF(Data_NFI_t[[#This Row],[Distribution Date]]&gt;"01-06-2015",1,2.5)</f>
        <v>0</v>
      </c>
      <c r="AI438" s="901">
        <f>IF(NFI_Expiration=1,IF($A438&lt;VLOOKUP(T$5,NFI,5,0),1,0)*Data_NFI_t[[#This Row],[Adult Clothes]],0)</f>
        <v>0</v>
      </c>
      <c r="AJ438" s="131">
        <f>IF(NFI_Expiration=1,IF($A438&lt;VLOOKUP(U$5,NFI,5,0),1,0)*Data_NFI_t[[#This Row],[Children Clothes]],0)</f>
        <v>0</v>
      </c>
      <c r="AK438" s="131">
        <f>IF(NFI_Expiration=1,IF($A438&lt;VLOOKUP(V$5,NFI,5,0),1,0)*Data_NFI_t[[#This Row],[Sewing Kit]],0)</f>
        <v>0</v>
      </c>
      <c r="AL438" s="901">
        <f>IF(NFI_Expiration=1,IF($A438&lt;VLOOKUP(V$5,NFI,5,0),1,0)*Data_NFI_t[[#This Row],[Solar Lantern]],0)</f>
        <v>0</v>
      </c>
      <c r="AM438" s="131" t="str">
        <f ca="1">IFERROR(OFFSET(Camp_List[P_Code],MATCH(Data_NFI_t[[#This Row],[Camp Name]],Camp_List[Camp Name],0)-1,0,1,1),"")</f>
        <v/>
      </c>
      <c r="AN438" s="513" t="str">
        <f ca="1">IFERROR(OFFSET(Camp_List[Status],MATCH(Data_NFI_t[[#This Row],[Camp Name]],Camp_List[Camp Name],0)-1,0,1,1),"")</f>
        <v/>
      </c>
      <c r="AO438" s="131"/>
    </row>
    <row r="439" spans="1:41" s="90" customFormat="1" ht="19.5" customHeight="1" x14ac:dyDescent="0.25">
      <c r="A439" s="242">
        <f t="shared" si="8"/>
        <v>58.866666666666667</v>
      </c>
      <c r="B439" s="242">
        <f>YEAR(Data_NFI_t[[#This Row],[Distribution Date]])</f>
        <v>2012</v>
      </c>
      <c r="C439" s="913">
        <v>41090</v>
      </c>
      <c r="D439" s="489" t="s">
        <v>285</v>
      </c>
      <c r="E439" s="488"/>
      <c r="F439" s="489" t="s">
        <v>7</v>
      </c>
      <c r="G439" s="790" t="s">
        <v>19</v>
      </c>
      <c r="H439" s="790" t="s">
        <v>255</v>
      </c>
      <c r="I439" s="790"/>
      <c r="J439" s="51"/>
      <c r="K439" s="51"/>
      <c r="L439" s="51"/>
      <c r="M439" s="51">
        <v>36</v>
      </c>
      <c r="N439" s="51"/>
      <c r="O439" s="51"/>
      <c r="P439" s="51"/>
      <c r="Q439" s="51"/>
      <c r="R439" s="511"/>
      <c r="S439" s="51"/>
      <c r="T439" s="51"/>
      <c r="U439" s="51"/>
      <c r="V439" s="51"/>
      <c r="W439" s="51"/>
      <c r="X439" s="131">
        <f>IF(NFI_Expiration=1,IF($A439&lt;VLOOKUP(I$5,NFI,5,0),1,0)*Data_NFI_t[[#This Row],[Hygiene Kit]],0)</f>
        <v>0</v>
      </c>
      <c r="Y439" s="131">
        <f>IF(NFI_Expiration=1,IF($A439&lt;VLOOKUP(J$5,NFI,5,0),1,0)*Data_NFI_t[[#This Row],[NFI Core Kit]],0)</f>
        <v>0</v>
      </c>
      <c r="Z439" s="112">
        <f>IF(NFI_Expiration=1,IF($A439&lt;VLOOKUP(K$5,NFI,5,0),1,0)*Data_NFI_t[[#This Row],[Sanitary Kit]],0)</f>
        <v>0</v>
      </c>
      <c r="AA439" s="112">
        <f>IF(NFI_Expiration=1,IF($A439&lt;VLOOKUP(L$5,NFI,5,0),1,0)*Data_NFI_t[[#This Row],[Mosquito net]],0)</f>
        <v>0</v>
      </c>
      <c r="AB439" s="112">
        <f>IF(NFI_Expiration=1,IF($A439&lt;VLOOKUP(M$5,NFI,5,0),1,0)*Data_NFI_t[[#This Row],[Tarpaulin]],0)</f>
        <v>0</v>
      </c>
      <c r="AC439" s="112">
        <f>IF(NFI_Expiration=1,IF($A439&lt;VLOOKUP(N$5,NFI,5,0),1,0)*Data_NFI_t[[#This Row],[Blanket]],0)</f>
        <v>0</v>
      </c>
      <c r="AD439" s="112">
        <f>IF(NFI_Expiration=1,IF($A439&lt;VLOOKUP(O$5,NFI,5,0),1,0)*Data_NFI_t[[#This Row],[Kitchen Set]],0)</f>
        <v>0</v>
      </c>
      <c r="AE439" s="112">
        <f>IF(NFI_Expiration=1,IF($A439&lt;VLOOKUP(P$5,NFI,5,0),1,0)*Data_NFI_t[[#This Row],[Complementary Kit]],0)</f>
        <v>0</v>
      </c>
      <c r="AF439" s="112">
        <f>IF(NFI_Expiration=1,IF($A439&lt;VLOOKUP(Q$5,NFI,5,0),1,0)*Data_NFI_t[[#This Row],[Plastic Bucket]],0)</f>
        <v>0</v>
      </c>
      <c r="AG439" s="112">
        <f>IF(NFI_Expiration=1,IF($A439&lt;VLOOKUP(R$5,NFI,5,0),1,0)*Data_NFI_t[[#This Row],[Jerry Can]],0)</f>
        <v>0</v>
      </c>
      <c r="AH439" s="131">
        <f>IF(NFI_Expiration=1,IF($A439&lt;VLOOKUP(S$5,NFI,5,0),1,0)*Data_NFI_t[[#This Row],[Plastic Mat]],0)*IF(Data_NFI_t[[#This Row],[Distribution Date]]&gt;"01-06-2015",1,2.5)</f>
        <v>0</v>
      </c>
      <c r="AI439" s="901">
        <f>IF(NFI_Expiration=1,IF($A439&lt;VLOOKUP(T$5,NFI,5,0),1,0)*Data_NFI_t[[#This Row],[Adult Clothes]],0)</f>
        <v>0</v>
      </c>
      <c r="AJ439" s="131">
        <f>IF(NFI_Expiration=1,IF($A439&lt;VLOOKUP(U$5,NFI,5,0),1,0)*Data_NFI_t[[#This Row],[Children Clothes]],0)</f>
        <v>0</v>
      </c>
      <c r="AK439" s="131">
        <f>IF(NFI_Expiration=1,IF($A439&lt;VLOOKUP(V$5,NFI,5,0),1,0)*Data_NFI_t[[#This Row],[Sewing Kit]],0)</f>
        <v>0</v>
      </c>
      <c r="AL439" s="901">
        <f>IF(NFI_Expiration=1,IF($A439&lt;VLOOKUP(V$5,NFI,5,0),1,0)*Data_NFI_t[[#This Row],[Solar Lantern]],0)</f>
        <v>0</v>
      </c>
      <c r="AM439" s="131" t="str">
        <f ca="1">IFERROR(OFFSET(Camp_List[P_Code],MATCH(Data_NFI_t[[#This Row],[Camp Name]],Camp_List[Camp Name],0)-1,0,1,1),"")</f>
        <v/>
      </c>
      <c r="AN439" s="513" t="str">
        <f ca="1">IFERROR(OFFSET(Camp_List[Status],MATCH(Data_NFI_t[[#This Row],[Camp Name]],Camp_List[Camp Name],0)-1,0,1,1),"")</f>
        <v/>
      </c>
      <c r="AO439" s="131"/>
    </row>
    <row r="440" spans="1:41" s="90" customFormat="1" ht="19.5" customHeight="1" x14ac:dyDescent="0.25">
      <c r="A440" s="242">
        <f t="shared" si="8"/>
        <v>58.866666666666667</v>
      </c>
      <c r="B440" s="242">
        <f>YEAR(Data_NFI_t[[#This Row],[Distribution Date]])</f>
        <v>2012</v>
      </c>
      <c r="C440" s="913">
        <v>41090</v>
      </c>
      <c r="D440" s="489" t="s">
        <v>285</v>
      </c>
      <c r="E440" s="488"/>
      <c r="F440" s="489" t="s">
        <v>7</v>
      </c>
      <c r="G440" s="790" t="s">
        <v>19</v>
      </c>
      <c r="H440" s="790" t="s">
        <v>85</v>
      </c>
      <c r="I440" s="790"/>
      <c r="J440" s="51"/>
      <c r="K440" s="51"/>
      <c r="L440" s="51"/>
      <c r="M440" s="51">
        <v>9</v>
      </c>
      <c r="N440" s="51"/>
      <c r="O440" s="51"/>
      <c r="P440" s="51"/>
      <c r="Q440" s="51"/>
      <c r="R440" s="511"/>
      <c r="S440" s="51"/>
      <c r="T440" s="51"/>
      <c r="U440" s="51"/>
      <c r="V440" s="51"/>
      <c r="W440" s="51"/>
      <c r="X440" s="131">
        <f>IF(NFI_Expiration=1,IF($A440&lt;VLOOKUP(I$5,NFI,5,0),1,0)*Data_NFI_t[[#This Row],[Hygiene Kit]],0)</f>
        <v>0</v>
      </c>
      <c r="Y440" s="131">
        <f>IF(NFI_Expiration=1,IF($A440&lt;VLOOKUP(J$5,NFI,5,0),1,0)*Data_NFI_t[[#This Row],[NFI Core Kit]],0)</f>
        <v>0</v>
      </c>
      <c r="Z440" s="112">
        <f>IF(NFI_Expiration=1,IF($A440&lt;VLOOKUP(K$5,NFI,5,0),1,0)*Data_NFI_t[[#This Row],[Sanitary Kit]],0)</f>
        <v>0</v>
      </c>
      <c r="AA440" s="112">
        <f>IF(NFI_Expiration=1,IF($A440&lt;VLOOKUP(L$5,NFI,5,0),1,0)*Data_NFI_t[[#This Row],[Mosquito net]],0)</f>
        <v>0</v>
      </c>
      <c r="AB440" s="112">
        <f>IF(NFI_Expiration=1,IF($A440&lt;VLOOKUP(M$5,NFI,5,0),1,0)*Data_NFI_t[[#This Row],[Tarpaulin]],0)</f>
        <v>0</v>
      </c>
      <c r="AC440" s="112">
        <f>IF(NFI_Expiration=1,IF($A440&lt;VLOOKUP(N$5,NFI,5,0),1,0)*Data_NFI_t[[#This Row],[Blanket]],0)</f>
        <v>0</v>
      </c>
      <c r="AD440" s="112">
        <f>IF(NFI_Expiration=1,IF($A440&lt;VLOOKUP(O$5,NFI,5,0),1,0)*Data_NFI_t[[#This Row],[Kitchen Set]],0)</f>
        <v>0</v>
      </c>
      <c r="AE440" s="112">
        <f>IF(NFI_Expiration=1,IF($A440&lt;VLOOKUP(P$5,NFI,5,0),1,0)*Data_NFI_t[[#This Row],[Complementary Kit]],0)</f>
        <v>0</v>
      </c>
      <c r="AF440" s="112">
        <f>IF(NFI_Expiration=1,IF($A440&lt;VLOOKUP(Q$5,NFI,5,0),1,0)*Data_NFI_t[[#This Row],[Plastic Bucket]],0)</f>
        <v>0</v>
      </c>
      <c r="AG440" s="112">
        <f>IF(NFI_Expiration=1,IF($A440&lt;VLOOKUP(R$5,NFI,5,0),1,0)*Data_NFI_t[[#This Row],[Jerry Can]],0)</f>
        <v>0</v>
      </c>
      <c r="AH440" s="131">
        <f>IF(NFI_Expiration=1,IF($A440&lt;VLOOKUP(S$5,NFI,5,0),1,0)*Data_NFI_t[[#This Row],[Plastic Mat]],0)*IF(Data_NFI_t[[#This Row],[Distribution Date]]&gt;"01-06-2015",1,2.5)</f>
        <v>0</v>
      </c>
      <c r="AI440" s="901">
        <f>IF(NFI_Expiration=1,IF($A440&lt;VLOOKUP(T$5,NFI,5,0),1,0)*Data_NFI_t[[#This Row],[Adult Clothes]],0)</f>
        <v>0</v>
      </c>
      <c r="AJ440" s="131">
        <f>IF(NFI_Expiration=1,IF($A440&lt;VLOOKUP(U$5,NFI,5,0),1,0)*Data_NFI_t[[#This Row],[Children Clothes]],0)</f>
        <v>0</v>
      </c>
      <c r="AK440" s="131">
        <f>IF(NFI_Expiration=1,IF($A440&lt;VLOOKUP(V$5,NFI,5,0),1,0)*Data_NFI_t[[#This Row],[Sewing Kit]],0)</f>
        <v>0</v>
      </c>
      <c r="AL440" s="901">
        <f>IF(NFI_Expiration=1,IF($A440&lt;VLOOKUP(V$5,NFI,5,0),1,0)*Data_NFI_t[[#This Row],[Solar Lantern]],0)</f>
        <v>0</v>
      </c>
      <c r="AM440" s="131" t="str">
        <f ca="1">IFERROR(OFFSET(Camp_List[P_Code],MATCH(Data_NFI_t[[#This Row],[Camp Name]],Camp_List[Camp Name],0)-1,0,1,1),"")</f>
        <v>MMR012CMP064</v>
      </c>
      <c r="AN440" s="513" t="str">
        <f ca="1">IFERROR(OFFSET(Camp_List[Status],MATCH(Data_NFI_t[[#This Row],[Camp Name]],Camp_List[Camp Name],0)-1,0,1,1),"")</f>
        <v>Close</v>
      </c>
      <c r="AO440" s="131"/>
    </row>
    <row r="441" spans="1:41" s="90" customFormat="1" ht="19.5" customHeight="1" x14ac:dyDescent="0.25">
      <c r="A441" s="242">
        <f t="shared" si="8"/>
        <v>58.866666666666667</v>
      </c>
      <c r="B441" s="242">
        <f>YEAR(Data_NFI_t[[#This Row],[Distribution Date]])</f>
        <v>2012</v>
      </c>
      <c r="C441" s="913">
        <v>41090</v>
      </c>
      <c r="D441" s="489" t="s">
        <v>285</v>
      </c>
      <c r="E441" s="488"/>
      <c r="F441" s="489" t="s">
        <v>7</v>
      </c>
      <c r="G441" s="790" t="s">
        <v>19</v>
      </c>
      <c r="H441" s="790" t="s">
        <v>254</v>
      </c>
      <c r="I441" s="790"/>
      <c r="J441" s="51"/>
      <c r="K441" s="51"/>
      <c r="L441" s="51"/>
      <c r="M441" s="51">
        <v>20</v>
      </c>
      <c r="N441" s="51"/>
      <c r="O441" s="51"/>
      <c r="P441" s="51"/>
      <c r="Q441" s="51"/>
      <c r="R441" s="511"/>
      <c r="S441" s="51"/>
      <c r="T441" s="51"/>
      <c r="U441" s="51"/>
      <c r="V441" s="51"/>
      <c r="W441" s="51"/>
      <c r="X441" s="131">
        <f>IF(NFI_Expiration=1,IF($A441&lt;VLOOKUP(I$5,NFI,5,0),1,0)*Data_NFI_t[[#This Row],[Hygiene Kit]],0)</f>
        <v>0</v>
      </c>
      <c r="Y441" s="131">
        <f>IF(NFI_Expiration=1,IF($A441&lt;VLOOKUP(J$5,NFI,5,0),1,0)*Data_NFI_t[[#This Row],[NFI Core Kit]],0)</f>
        <v>0</v>
      </c>
      <c r="Z441" s="112">
        <f>IF(NFI_Expiration=1,IF($A441&lt;VLOOKUP(K$5,NFI,5,0),1,0)*Data_NFI_t[[#This Row],[Sanitary Kit]],0)</f>
        <v>0</v>
      </c>
      <c r="AA441" s="112">
        <f>IF(NFI_Expiration=1,IF($A441&lt;VLOOKUP(L$5,NFI,5,0),1,0)*Data_NFI_t[[#This Row],[Mosquito net]],0)</f>
        <v>0</v>
      </c>
      <c r="AB441" s="112">
        <f>IF(NFI_Expiration=1,IF($A441&lt;VLOOKUP(M$5,NFI,5,0),1,0)*Data_NFI_t[[#This Row],[Tarpaulin]],0)</f>
        <v>0</v>
      </c>
      <c r="AC441" s="112">
        <f>IF(NFI_Expiration=1,IF($A441&lt;VLOOKUP(N$5,NFI,5,0),1,0)*Data_NFI_t[[#This Row],[Blanket]],0)</f>
        <v>0</v>
      </c>
      <c r="AD441" s="112">
        <f>IF(NFI_Expiration=1,IF($A441&lt;VLOOKUP(O$5,NFI,5,0),1,0)*Data_NFI_t[[#This Row],[Kitchen Set]],0)</f>
        <v>0</v>
      </c>
      <c r="AE441" s="112">
        <f>IF(NFI_Expiration=1,IF($A441&lt;VLOOKUP(P$5,NFI,5,0),1,0)*Data_NFI_t[[#This Row],[Complementary Kit]],0)</f>
        <v>0</v>
      </c>
      <c r="AF441" s="112">
        <f>IF(NFI_Expiration=1,IF($A441&lt;VLOOKUP(Q$5,NFI,5,0),1,0)*Data_NFI_t[[#This Row],[Plastic Bucket]],0)</f>
        <v>0</v>
      </c>
      <c r="AG441" s="112">
        <f>IF(NFI_Expiration=1,IF($A441&lt;VLOOKUP(R$5,NFI,5,0),1,0)*Data_NFI_t[[#This Row],[Jerry Can]],0)</f>
        <v>0</v>
      </c>
      <c r="AH441" s="131">
        <f>IF(NFI_Expiration=1,IF($A441&lt;VLOOKUP(S$5,NFI,5,0),1,0)*Data_NFI_t[[#This Row],[Plastic Mat]],0)*IF(Data_NFI_t[[#This Row],[Distribution Date]]&gt;"01-06-2015",1,2.5)</f>
        <v>0</v>
      </c>
      <c r="AI441" s="901">
        <f>IF(NFI_Expiration=1,IF($A441&lt;VLOOKUP(T$5,NFI,5,0),1,0)*Data_NFI_t[[#This Row],[Adult Clothes]],0)</f>
        <v>0</v>
      </c>
      <c r="AJ441" s="131">
        <f>IF(NFI_Expiration=1,IF($A441&lt;VLOOKUP(U$5,NFI,5,0),1,0)*Data_NFI_t[[#This Row],[Children Clothes]],0)</f>
        <v>0</v>
      </c>
      <c r="AK441" s="131">
        <f>IF(NFI_Expiration=1,IF($A441&lt;VLOOKUP(V$5,NFI,5,0),1,0)*Data_NFI_t[[#This Row],[Sewing Kit]],0)</f>
        <v>0</v>
      </c>
      <c r="AL441" s="901">
        <f>IF(NFI_Expiration=1,IF($A441&lt;VLOOKUP(V$5,NFI,5,0),1,0)*Data_NFI_t[[#This Row],[Solar Lantern]],0)</f>
        <v>0</v>
      </c>
      <c r="AM441" s="131" t="str">
        <f ca="1">IFERROR(OFFSET(Camp_List[P_Code],MATCH(Data_NFI_t[[#This Row],[Camp Name]],Camp_List[Camp Name],0)-1,0,1,1),"")</f>
        <v/>
      </c>
      <c r="AN441" s="513" t="str">
        <f ca="1">IFERROR(OFFSET(Camp_List[Status],MATCH(Data_NFI_t[[#This Row],[Camp Name]],Camp_List[Camp Name],0)-1,0,1,1),"")</f>
        <v/>
      </c>
      <c r="AO441" s="131"/>
    </row>
    <row r="442" spans="1:41" s="90" customFormat="1" ht="19.5" customHeight="1" x14ac:dyDescent="0.25">
      <c r="A442" s="242">
        <f t="shared" si="8"/>
        <v>58.866666666666667</v>
      </c>
      <c r="B442" s="242">
        <f>YEAR(Data_NFI_t[[#This Row],[Distribution Date]])</f>
        <v>2012</v>
      </c>
      <c r="C442" s="913">
        <v>41090</v>
      </c>
      <c r="D442" s="489" t="s">
        <v>285</v>
      </c>
      <c r="E442" s="488"/>
      <c r="F442" s="489" t="s">
        <v>7</v>
      </c>
      <c r="G442" s="790" t="s">
        <v>19</v>
      </c>
      <c r="H442" s="790" t="s">
        <v>252</v>
      </c>
      <c r="I442" s="790"/>
      <c r="J442" s="51"/>
      <c r="K442" s="51"/>
      <c r="L442" s="51"/>
      <c r="M442" s="51">
        <v>35</v>
      </c>
      <c r="N442" s="51"/>
      <c r="O442" s="51"/>
      <c r="P442" s="51"/>
      <c r="Q442" s="51"/>
      <c r="R442" s="511"/>
      <c r="S442" s="51"/>
      <c r="T442" s="51"/>
      <c r="U442" s="51"/>
      <c r="V442" s="51"/>
      <c r="W442" s="51"/>
      <c r="X442" s="131">
        <f>IF(NFI_Expiration=1,IF($A442&lt;VLOOKUP(I$5,NFI,5,0),1,0)*Data_NFI_t[[#This Row],[Hygiene Kit]],0)</f>
        <v>0</v>
      </c>
      <c r="Y442" s="131">
        <f>IF(NFI_Expiration=1,IF($A442&lt;VLOOKUP(J$5,NFI,5,0),1,0)*Data_NFI_t[[#This Row],[NFI Core Kit]],0)</f>
        <v>0</v>
      </c>
      <c r="Z442" s="112">
        <f>IF(NFI_Expiration=1,IF($A442&lt;VLOOKUP(K$5,NFI,5,0),1,0)*Data_NFI_t[[#This Row],[Sanitary Kit]],0)</f>
        <v>0</v>
      </c>
      <c r="AA442" s="112">
        <f>IF(NFI_Expiration=1,IF($A442&lt;VLOOKUP(L$5,NFI,5,0),1,0)*Data_NFI_t[[#This Row],[Mosquito net]],0)</f>
        <v>0</v>
      </c>
      <c r="AB442" s="112">
        <f>IF(NFI_Expiration=1,IF($A442&lt;VLOOKUP(M$5,NFI,5,0),1,0)*Data_NFI_t[[#This Row],[Tarpaulin]],0)</f>
        <v>0</v>
      </c>
      <c r="AC442" s="112">
        <f>IF(NFI_Expiration=1,IF($A442&lt;VLOOKUP(N$5,NFI,5,0),1,0)*Data_NFI_t[[#This Row],[Blanket]],0)</f>
        <v>0</v>
      </c>
      <c r="AD442" s="112">
        <f>IF(NFI_Expiration=1,IF($A442&lt;VLOOKUP(O$5,NFI,5,0),1,0)*Data_NFI_t[[#This Row],[Kitchen Set]],0)</f>
        <v>0</v>
      </c>
      <c r="AE442" s="112">
        <f>IF(NFI_Expiration=1,IF($A442&lt;VLOOKUP(P$5,NFI,5,0),1,0)*Data_NFI_t[[#This Row],[Complementary Kit]],0)</f>
        <v>0</v>
      </c>
      <c r="AF442" s="112">
        <f>IF(NFI_Expiration=1,IF($A442&lt;VLOOKUP(Q$5,NFI,5,0),1,0)*Data_NFI_t[[#This Row],[Plastic Bucket]],0)</f>
        <v>0</v>
      </c>
      <c r="AG442" s="112">
        <f>IF(NFI_Expiration=1,IF($A442&lt;VLOOKUP(R$5,NFI,5,0),1,0)*Data_NFI_t[[#This Row],[Jerry Can]],0)</f>
        <v>0</v>
      </c>
      <c r="AH442" s="131">
        <f>IF(NFI_Expiration=1,IF($A442&lt;VLOOKUP(S$5,NFI,5,0),1,0)*Data_NFI_t[[#This Row],[Plastic Mat]],0)*IF(Data_NFI_t[[#This Row],[Distribution Date]]&gt;"01-06-2015",1,2.5)</f>
        <v>0</v>
      </c>
      <c r="AI442" s="901">
        <f>IF(NFI_Expiration=1,IF($A442&lt;VLOOKUP(T$5,NFI,5,0),1,0)*Data_NFI_t[[#This Row],[Adult Clothes]],0)</f>
        <v>0</v>
      </c>
      <c r="AJ442" s="131">
        <f>IF(NFI_Expiration=1,IF($A442&lt;VLOOKUP(U$5,NFI,5,0),1,0)*Data_NFI_t[[#This Row],[Children Clothes]],0)</f>
        <v>0</v>
      </c>
      <c r="AK442" s="131">
        <f>IF(NFI_Expiration=1,IF($A442&lt;VLOOKUP(V$5,NFI,5,0),1,0)*Data_NFI_t[[#This Row],[Sewing Kit]],0)</f>
        <v>0</v>
      </c>
      <c r="AL442" s="901">
        <f>IF(NFI_Expiration=1,IF($A442&lt;VLOOKUP(V$5,NFI,5,0),1,0)*Data_NFI_t[[#This Row],[Solar Lantern]],0)</f>
        <v>0</v>
      </c>
      <c r="AM442" s="131" t="str">
        <f ca="1">IFERROR(OFFSET(Camp_List[P_Code],MATCH(Data_NFI_t[[#This Row],[Camp Name]],Camp_List[Camp Name],0)-1,0,1,1),"")</f>
        <v/>
      </c>
      <c r="AN442" s="513" t="str">
        <f ca="1">IFERROR(OFFSET(Camp_List[Status],MATCH(Data_NFI_t[[#This Row],[Camp Name]],Camp_List[Camp Name],0)-1,0,1,1),"")</f>
        <v/>
      </c>
      <c r="AO442" s="131"/>
    </row>
    <row r="443" spans="1:41" s="90" customFormat="1" ht="19.5" customHeight="1" x14ac:dyDescent="0.25">
      <c r="A443" s="242">
        <f t="shared" si="8"/>
        <v>58.9</v>
      </c>
      <c r="B443" s="242">
        <f>YEAR(Data_NFI_t[[#This Row],[Distribution Date]])</f>
        <v>2012</v>
      </c>
      <c r="C443" s="913">
        <v>41089</v>
      </c>
      <c r="D443" s="489" t="s">
        <v>285</v>
      </c>
      <c r="E443" s="488"/>
      <c r="F443" s="489" t="s">
        <v>7</v>
      </c>
      <c r="G443" s="790" t="s">
        <v>19</v>
      </c>
      <c r="H443" s="790" t="s">
        <v>80</v>
      </c>
      <c r="I443" s="790"/>
      <c r="J443" s="51"/>
      <c r="K443" s="51"/>
      <c r="L443" s="51"/>
      <c r="M443" s="51">
        <v>66</v>
      </c>
      <c r="N443" s="51"/>
      <c r="O443" s="51"/>
      <c r="P443" s="51"/>
      <c r="Q443" s="51"/>
      <c r="R443" s="511"/>
      <c r="S443" s="51"/>
      <c r="T443" s="51"/>
      <c r="U443" s="51"/>
      <c r="V443" s="51"/>
      <c r="W443" s="51"/>
      <c r="X443" s="131">
        <f>IF(NFI_Expiration=1,IF($A443&lt;VLOOKUP(I$5,NFI,5,0),1,0)*Data_NFI_t[[#This Row],[Hygiene Kit]],0)</f>
        <v>0</v>
      </c>
      <c r="Y443" s="131">
        <f>IF(NFI_Expiration=1,IF($A443&lt;VLOOKUP(J$5,NFI,5,0),1,0)*Data_NFI_t[[#This Row],[NFI Core Kit]],0)</f>
        <v>0</v>
      </c>
      <c r="Z443" s="112">
        <f>IF(NFI_Expiration=1,IF($A443&lt;VLOOKUP(K$5,NFI,5,0),1,0)*Data_NFI_t[[#This Row],[Sanitary Kit]],0)</f>
        <v>0</v>
      </c>
      <c r="AA443" s="112">
        <f>IF(NFI_Expiration=1,IF($A443&lt;VLOOKUP(L$5,NFI,5,0),1,0)*Data_NFI_t[[#This Row],[Mosquito net]],0)</f>
        <v>0</v>
      </c>
      <c r="AB443" s="112">
        <f>IF(NFI_Expiration=1,IF($A443&lt;VLOOKUP(M$5,NFI,5,0),1,0)*Data_NFI_t[[#This Row],[Tarpaulin]],0)</f>
        <v>0</v>
      </c>
      <c r="AC443" s="112">
        <f>IF(NFI_Expiration=1,IF($A443&lt;VLOOKUP(N$5,NFI,5,0),1,0)*Data_NFI_t[[#This Row],[Blanket]],0)</f>
        <v>0</v>
      </c>
      <c r="AD443" s="112">
        <f>IF(NFI_Expiration=1,IF($A443&lt;VLOOKUP(O$5,NFI,5,0),1,0)*Data_NFI_t[[#This Row],[Kitchen Set]],0)</f>
        <v>0</v>
      </c>
      <c r="AE443" s="112">
        <f>IF(NFI_Expiration=1,IF($A443&lt;VLOOKUP(P$5,NFI,5,0),1,0)*Data_NFI_t[[#This Row],[Complementary Kit]],0)</f>
        <v>0</v>
      </c>
      <c r="AF443" s="112">
        <f>IF(NFI_Expiration=1,IF($A443&lt;VLOOKUP(Q$5,NFI,5,0),1,0)*Data_NFI_t[[#This Row],[Plastic Bucket]],0)</f>
        <v>0</v>
      </c>
      <c r="AG443" s="112">
        <f>IF(NFI_Expiration=1,IF($A443&lt;VLOOKUP(R$5,NFI,5,0),1,0)*Data_NFI_t[[#This Row],[Jerry Can]],0)</f>
        <v>0</v>
      </c>
      <c r="AH443" s="131">
        <f>IF(NFI_Expiration=1,IF($A443&lt;VLOOKUP(S$5,NFI,5,0),1,0)*Data_NFI_t[[#This Row],[Plastic Mat]],0)*IF(Data_NFI_t[[#This Row],[Distribution Date]]&gt;"01-06-2015",1,2.5)</f>
        <v>0</v>
      </c>
      <c r="AI443" s="901">
        <f>IF(NFI_Expiration=1,IF($A443&lt;VLOOKUP(T$5,NFI,5,0),1,0)*Data_NFI_t[[#This Row],[Adult Clothes]],0)</f>
        <v>0</v>
      </c>
      <c r="AJ443" s="131">
        <f>IF(NFI_Expiration=1,IF($A443&lt;VLOOKUP(U$5,NFI,5,0),1,0)*Data_NFI_t[[#This Row],[Children Clothes]],0)</f>
        <v>0</v>
      </c>
      <c r="AK443" s="131">
        <f>IF(NFI_Expiration=1,IF($A443&lt;VLOOKUP(V$5,NFI,5,0),1,0)*Data_NFI_t[[#This Row],[Sewing Kit]],0)</f>
        <v>0</v>
      </c>
      <c r="AL443" s="901">
        <f>IF(NFI_Expiration=1,IF($A443&lt;VLOOKUP(V$5,NFI,5,0),1,0)*Data_NFI_t[[#This Row],[Solar Lantern]],0)</f>
        <v>0</v>
      </c>
      <c r="AM443" s="131" t="str">
        <f ca="1">IFERROR(OFFSET(Camp_List[P_Code],MATCH(Data_NFI_t[[#This Row],[Camp Name]],Camp_List[Camp Name],0)-1,0,1,1),"")</f>
        <v>MMR012CMP059</v>
      </c>
      <c r="AN443" s="513" t="str">
        <f ca="1">IFERROR(OFFSET(Camp_List[Status],MATCH(Data_NFI_t[[#This Row],[Camp Name]],Camp_List[Camp Name],0)-1,0,1,1),"")</f>
        <v>Close</v>
      </c>
      <c r="AO443" s="131"/>
    </row>
    <row r="444" spans="1:41" s="90" customFormat="1" ht="19.5" customHeight="1" x14ac:dyDescent="0.25">
      <c r="A444" s="242">
        <f t="shared" si="8"/>
        <v>58.9</v>
      </c>
      <c r="B444" s="242">
        <f>YEAR(Data_NFI_t[[#This Row],[Distribution Date]])</f>
        <v>2012</v>
      </c>
      <c r="C444" s="913">
        <v>41089</v>
      </c>
      <c r="D444" s="489" t="s">
        <v>285</v>
      </c>
      <c r="E444" s="488"/>
      <c r="F444" s="489" t="s">
        <v>7</v>
      </c>
      <c r="G444" s="790" t="s">
        <v>19</v>
      </c>
      <c r="H444" s="790" t="s">
        <v>251</v>
      </c>
      <c r="I444" s="790"/>
      <c r="J444" s="51"/>
      <c r="K444" s="51"/>
      <c r="L444" s="51"/>
      <c r="M444" s="51">
        <v>37</v>
      </c>
      <c r="N444" s="51"/>
      <c r="O444" s="51"/>
      <c r="P444" s="51"/>
      <c r="Q444" s="51"/>
      <c r="R444" s="511"/>
      <c r="S444" s="51"/>
      <c r="T444" s="51"/>
      <c r="U444" s="51"/>
      <c r="V444" s="51"/>
      <c r="W444" s="51"/>
      <c r="X444" s="131">
        <f>IF(NFI_Expiration=1,IF($A444&lt;VLOOKUP(I$5,NFI,5,0),1,0)*Data_NFI_t[[#This Row],[Hygiene Kit]],0)</f>
        <v>0</v>
      </c>
      <c r="Y444" s="131">
        <f>IF(NFI_Expiration=1,IF($A444&lt;VLOOKUP(J$5,NFI,5,0),1,0)*Data_NFI_t[[#This Row],[NFI Core Kit]],0)</f>
        <v>0</v>
      </c>
      <c r="Z444" s="112">
        <f>IF(NFI_Expiration=1,IF($A444&lt;VLOOKUP(K$5,NFI,5,0),1,0)*Data_NFI_t[[#This Row],[Sanitary Kit]],0)</f>
        <v>0</v>
      </c>
      <c r="AA444" s="112">
        <f>IF(NFI_Expiration=1,IF($A444&lt;VLOOKUP(L$5,NFI,5,0),1,0)*Data_NFI_t[[#This Row],[Mosquito net]],0)</f>
        <v>0</v>
      </c>
      <c r="AB444" s="112">
        <f>IF(NFI_Expiration=1,IF($A444&lt;VLOOKUP(M$5,NFI,5,0),1,0)*Data_NFI_t[[#This Row],[Tarpaulin]],0)</f>
        <v>0</v>
      </c>
      <c r="AC444" s="112">
        <f>IF(NFI_Expiration=1,IF($A444&lt;VLOOKUP(N$5,NFI,5,0),1,0)*Data_NFI_t[[#This Row],[Blanket]],0)</f>
        <v>0</v>
      </c>
      <c r="AD444" s="112">
        <f>IF(NFI_Expiration=1,IF($A444&lt;VLOOKUP(O$5,NFI,5,0),1,0)*Data_NFI_t[[#This Row],[Kitchen Set]],0)</f>
        <v>0</v>
      </c>
      <c r="AE444" s="112">
        <f>IF(NFI_Expiration=1,IF($A444&lt;VLOOKUP(P$5,NFI,5,0),1,0)*Data_NFI_t[[#This Row],[Complementary Kit]],0)</f>
        <v>0</v>
      </c>
      <c r="AF444" s="112">
        <f>IF(NFI_Expiration=1,IF($A444&lt;VLOOKUP(Q$5,NFI,5,0),1,0)*Data_NFI_t[[#This Row],[Plastic Bucket]],0)</f>
        <v>0</v>
      </c>
      <c r="AG444" s="112">
        <f>IF(NFI_Expiration=1,IF($A444&lt;VLOOKUP(R$5,NFI,5,0),1,0)*Data_NFI_t[[#This Row],[Jerry Can]],0)</f>
        <v>0</v>
      </c>
      <c r="AH444" s="131">
        <f>IF(NFI_Expiration=1,IF($A444&lt;VLOOKUP(S$5,NFI,5,0),1,0)*Data_NFI_t[[#This Row],[Plastic Mat]],0)*IF(Data_NFI_t[[#This Row],[Distribution Date]]&gt;"01-06-2015",1,2.5)</f>
        <v>0</v>
      </c>
      <c r="AI444" s="901">
        <f>IF(NFI_Expiration=1,IF($A444&lt;VLOOKUP(T$5,NFI,5,0),1,0)*Data_NFI_t[[#This Row],[Adult Clothes]],0)</f>
        <v>0</v>
      </c>
      <c r="AJ444" s="131">
        <f>IF(NFI_Expiration=1,IF($A444&lt;VLOOKUP(U$5,NFI,5,0),1,0)*Data_NFI_t[[#This Row],[Children Clothes]],0)</f>
        <v>0</v>
      </c>
      <c r="AK444" s="131">
        <f>IF(NFI_Expiration=1,IF($A444&lt;VLOOKUP(V$5,NFI,5,0),1,0)*Data_NFI_t[[#This Row],[Sewing Kit]],0)</f>
        <v>0</v>
      </c>
      <c r="AL444" s="901">
        <f>IF(NFI_Expiration=1,IF($A444&lt;VLOOKUP(V$5,NFI,5,0),1,0)*Data_NFI_t[[#This Row],[Solar Lantern]],0)</f>
        <v>0</v>
      </c>
      <c r="AM444" s="131" t="str">
        <f ca="1">IFERROR(OFFSET(Camp_List[P_Code],MATCH(Data_NFI_t[[#This Row],[Camp Name]],Camp_List[Camp Name],0)-1,0,1,1),"")</f>
        <v/>
      </c>
      <c r="AN444" s="513" t="str">
        <f ca="1">IFERROR(OFFSET(Camp_List[Status],MATCH(Data_NFI_t[[#This Row],[Camp Name]],Camp_List[Camp Name],0)-1,0,1,1),"")</f>
        <v/>
      </c>
      <c r="AO444" s="131"/>
    </row>
    <row r="445" spans="1:41" s="90" customFormat="1" ht="19.5" customHeight="1" x14ac:dyDescent="0.25">
      <c r="A445" s="242">
        <f t="shared" si="8"/>
        <v>58.9</v>
      </c>
      <c r="B445" s="242">
        <f>YEAR(Data_NFI_t[[#This Row],[Distribution Date]])</f>
        <v>2012</v>
      </c>
      <c r="C445" s="913">
        <v>41089</v>
      </c>
      <c r="D445" s="489" t="s">
        <v>285</v>
      </c>
      <c r="E445" s="488"/>
      <c r="F445" s="489" t="s">
        <v>7</v>
      </c>
      <c r="G445" s="790" t="s">
        <v>19</v>
      </c>
      <c r="H445" s="790" t="s">
        <v>84</v>
      </c>
      <c r="I445" s="790"/>
      <c r="J445" s="51"/>
      <c r="K445" s="51"/>
      <c r="L445" s="51"/>
      <c r="M445" s="51">
        <v>66</v>
      </c>
      <c r="N445" s="51"/>
      <c r="O445" s="51"/>
      <c r="P445" s="51"/>
      <c r="Q445" s="51"/>
      <c r="R445" s="511"/>
      <c r="S445" s="51"/>
      <c r="T445" s="51"/>
      <c r="U445" s="51"/>
      <c r="V445" s="51"/>
      <c r="W445" s="51"/>
      <c r="X445" s="131">
        <f>IF(NFI_Expiration=1,IF($A445&lt;VLOOKUP(I$5,NFI,5,0),1,0)*Data_NFI_t[[#This Row],[Hygiene Kit]],0)</f>
        <v>0</v>
      </c>
      <c r="Y445" s="131">
        <f>IF(NFI_Expiration=1,IF($A445&lt;VLOOKUP(J$5,NFI,5,0),1,0)*Data_NFI_t[[#This Row],[NFI Core Kit]],0)</f>
        <v>0</v>
      </c>
      <c r="Z445" s="112">
        <f>IF(NFI_Expiration=1,IF($A445&lt;VLOOKUP(K$5,NFI,5,0),1,0)*Data_NFI_t[[#This Row],[Sanitary Kit]],0)</f>
        <v>0</v>
      </c>
      <c r="AA445" s="112">
        <f>IF(NFI_Expiration=1,IF($A445&lt;VLOOKUP(L$5,NFI,5,0),1,0)*Data_NFI_t[[#This Row],[Mosquito net]],0)</f>
        <v>0</v>
      </c>
      <c r="AB445" s="112">
        <f>IF(NFI_Expiration=1,IF($A445&lt;VLOOKUP(M$5,NFI,5,0),1,0)*Data_NFI_t[[#This Row],[Tarpaulin]],0)</f>
        <v>0</v>
      </c>
      <c r="AC445" s="112">
        <f>IF(NFI_Expiration=1,IF($A445&lt;VLOOKUP(N$5,NFI,5,0),1,0)*Data_NFI_t[[#This Row],[Blanket]],0)</f>
        <v>0</v>
      </c>
      <c r="AD445" s="112">
        <f>IF(NFI_Expiration=1,IF($A445&lt;VLOOKUP(O$5,NFI,5,0),1,0)*Data_NFI_t[[#This Row],[Kitchen Set]],0)</f>
        <v>0</v>
      </c>
      <c r="AE445" s="112">
        <f>IF(NFI_Expiration=1,IF($A445&lt;VLOOKUP(P$5,NFI,5,0),1,0)*Data_NFI_t[[#This Row],[Complementary Kit]],0)</f>
        <v>0</v>
      </c>
      <c r="AF445" s="112">
        <f>IF(NFI_Expiration=1,IF($A445&lt;VLOOKUP(Q$5,NFI,5,0),1,0)*Data_NFI_t[[#This Row],[Plastic Bucket]],0)</f>
        <v>0</v>
      </c>
      <c r="AG445" s="112">
        <f>IF(NFI_Expiration=1,IF($A445&lt;VLOOKUP(R$5,NFI,5,0),1,0)*Data_NFI_t[[#This Row],[Jerry Can]],0)</f>
        <v>0</v>
      </c>
      <c r="AH445" s="131">
        <f>IF(NFI_Expiration=1,IF($A445&lt;VLOOKUP(S$5,NFI,5,0),1,0)*Data_NFI_t[[#This Row],[Plastic Mat]],0)*IF(Data_NFI_t[[#This Row],[Distribution Date]]&gt;"01-06-2015",1,2.5)</f>
        <v>0</v>
      </c>
      <c r="AI445" s="901">
        <f>IF(NFI_Expiration=1,IF($A445&lt;VLOOKUP(T$5,NFI,5,0),1,0)*Data_NFI_t[[#This Row],[Adult Clothes]],0)</f>
        <v>0</v>
      </c>
      <c r="AJ445" s="131">
        <f>IF(NFI_Expiration=1,IF($A445&lt;VLOOKUP(U$5,NFI,5,0),1,0)*Data_NFI_t[[#This Row],[Children Clothes]],0)</f>
        <v>0</v>
      </c>
      <c r="AK445" s="131">
        <f>IF(NFI_Expiration=1,IF($A445&lt;VLOOKUP(V$5,NFI,5,0),1,0)*Data_NFI_t[[#This Row],[Sewing Kit]],0)</f>
        <v>0</v>
      </c>
      <c r="AL445" s="901">
        <f>IF(NFI_Expiration=1,IF($A445&lt;VLOOKUP(V$5,NFI,5,0),1,0)*Data_NFI_t[[#This Row],[Solar Lantern]],0)</f>
        <v>0</v>
      </c>
      <c r="AM445" s="131" t="str">
        <f ca="1">IFERROR(OFFSET(Camp_List[P_Code],MATCH(Data_NFI_t[[#This Row],[Camp Name]],Camp_List[Camp Name],0)-1,0,1,1),"")</f>
        <v>MMR012CMP063</v>
      </c>
      <c r="AN445" s="513" t="str">
        <f ca="1">IFERROR(OFFSET(Camp_List[Status],MATCH(Data_NFI_t[[#This Row],[Camp Name]],Camp_List[Camp Name],0)-1,0,1,1),"")</f>
        <v>Close</v>
      </c>
      <c r="AO445" s="131"/>
    </row>
    <row r="446" spans="1:41" s="90" customFormat="1" ht="19.5" customHeight="1" x14ac:dyDescent="0.25">
      <c r="A446" s="242">
        <f t="shared" si="8"/>
        <v>58.9</v>
      </c>
      <c r="B446" s="242">
        <f>YEAR(Data_NFI_t[[#This Row],[Distribution Date]])</f>
        <v>2012</v>
      </c>
      <c r="C446" s="913">
        <v>41089</v>
      </c>
      <c r="D446" s="489" t="s">
        <v>285</v>
      </c>
      <c r="E446" s="488"/>
      <c r="F446" s="489" t="s">
        <v>7</v>
      </c>
      <c r="G446" s="790" t="s">
        <v>19</v>
      </c>
      <c r="H446" s="790" t="s">
        <v>89</v>
      </c>
      <c r="I446" s="790"/>
      <c r="J446" s="51"/>
      <c r="K446" s="51"/>
      <c r="L446" s="51"/>
      <c r="M446" s="51">
        <v>62</v>
      </c>
      <c r="N446" s="51"/>
      <c r="O446" s="51"/>
      <c r="P446" s="51"/>
      <c r="Q446" s="51"/>
      <c r="R446" s="511"/>
      <c r="S446" s="51"/>
      <c r="T446" s="51"/>
      <c r="U446" s="51"/>
      <c r="V446" s="51"/>
      <c r="W446" s="51"/>
      <c r="X446" s="131">
        <f>IF(NFI_Expiration=1,IF($A446&lt;VLOOKUP(I$5,NFI,5,0),1,0)*Data_NFI_t[[#This Row],[Hygiene Kit]],0)</f>
        <v>0</v>
      </c>
      <c r="Y446" s="131">
        <f>IF(NFI_Expiration=1,IF($A446&lt;VLOOKUP(J$5,NFI,5,0),1,0)*Data_NFI_t[[#This Row],[NFI Core Kit]],0)</f>
        <v>0</v>
      </c>
      <c r="Z446" s="112">
        <f>IF(NFI_Expiration=1,IF($A446&lt;VLOOKUP(K$5,NFI,5,0),1,0)*Data_NFI_t[[#This Row],[Sanitary Kit]],0)</f>
        <v>0</v>
      </c>
      <c r="AA446" s="112">
        <f>IF(NFI_Expiration=1,IF($A446&lt;VLOOKUP(L$5,NFI,5,0),1,0)*Data_NFI_t[[#This Row],[Mosquito net]],0)</f>
        <v>0</v>
      </c>
      <c r="AB446" s="112">
        <f>IF(NFI_Expiration=1,IF($A446&lt;VLOOKUP(M$5,NFI,5,0),1,0)*Data_NFI_t[[#This Row],[Tarpaulin]],0)</f>
        <v>0</v>
      </c>
      <c r="AC446" s="112">
        <f>IF(NFI_Expiration=1,IF($A446&lt;VLOOKUP(N$5,NFI,5,0),1,0)*Data_NFI_t[[#This Row],[Blanket]],0)</f>
        <v>0</v>
      </c>
      <c r="AD446" s="112">
        <f>IF(NFI_Expiration=1,IF($A446&lt;VLOOKUP(O$5,NFI,5,0),1,0)*Data_NFI_t[[#This Row],[Kitchen Set]],0)</f>
        <v>0</v>
      </c>
      <c r="AE446" s="112">
        <f>IF(NFI_Expiration=1,IF($A446&lt;VLOOKUP(P$5,NFI,5,0),1,0)*Data_NFI_t[[#This Row],[Complementary Kit]],0)</f>
        <v>0</v>
      </c>
      <c r="AF446" s="112">
        <f>IF(NFI_Expiration=1,IF($A446&lt;VLOOKUP(Q$5,NFI,5,0),1,0)*Data_NFI_t[[#This Row],[Plastic Bucket]],0)</f>
        <v>0</v>
      </c>
      <c r="AG446" s="112">
        <f>IF(NFI_Expiration=1,IF($A446&lt;VLOOKUP(R$5,NFI,5,0),1,0)*Data_NFI_t[[#This Row],[Jerry Can]],0)</f>
        <v>0</v>
      </c>
      <c r="AH446" s="131">
        <f>IF(NFI_Expiration=1,IF($A446&lt;VLOOKUP(S$5,NFI,5,0),1,0)*Data_NFI_t[[#This Row],[Plastic Mat]],0)*IF(Data_NFI_t[[#This Row],[Distribution Date]]&gt;"01-06-2015",1,2.5)</f>
        <v>0</v>
      </c>
      <c r="AI446" s="901">
        <f>IF(NFI_Expiration=1,IF($A446&lt;VLOOKUP(T$5,NFI,5,0),1,0)*Data_NFI_t[[#This Row],[Adult Clothes]],0)</f>
        <v>0</v>
      </c>
      <c r="AJ446" s="131">
        <f>IF(NFI_Expiration=1,IF($A446&lt;VLOOKUP(U$5,NFI,5,0),1,0)*Data_NFI_t[[#This Row],[Children Clothes]],0)</f>
        <v>0</v>
      </c>
      <c r="AK446" s="131">
        <f>IF(NFI_Expiration=1,IF($A446&lt;VLOOKUP(V$5,NFI,5,0),1,0)*Data_NFI_t[[#This Row],[Sewing Kit]],0)</f>
        <v>0</v>
      </c>
      <c r="AL446" s="901">
        <f>IF(NFI_Expiration=1,IF($A446&lt;VLOOKUP(V$5,NFI,5,0),1,0)*Data_NFI_t[[#This Row],[Solar Lantern]],0)</f>
        <v>0</v>
      </c>
      <c r="AM446" s="131" t="str">
        <f ca="1">IFERROR(OFFSET(Camp_List[P_Code],MATCH(Data_NFI_t[[#This Row],[Camp Name]],Camp_List[Camp Name],0)-1,0,1,1),"")</f>
        <v>MMR012CMP068</v>
      </c>
      <c r="AN446" s="513" t="str">
        <f ca="1">IFERROR(OFFSET(Camp_List[Status],MATCH(Data_NFI_t[[#This Row],[Camp Name]],Camp_List[Camp Name],0)-1,0,1,1),"")</f>
        <v>Close</v>
      </c>
      <c r="AO446" s="131"/>
    </row>
    <row r="447" spans="1:41" s="90" customFormat="1" ht="19.5" customHeight="1" x14ac:dyDescent="0.25">
      <c r="A447" s="242">
        <f t="shared" si="8"/>
        <v>58.9</v>
      </c>
      <c r="B447" s="242">
        <f>YEAR(Data_NFI_t[[#This Row],[Distribution Date]])</f>
        <v>2012</v>
      </c>
      <c r="C447" s="913">
        <v>41089</v>
      </c>
      <c r="D447" s="489" t="s">
        <v>285</v>
      </c>
      <c r="E447" s="488"/>
      <c r="F447" s="489" t="s">
        <v>7</v>
      </c>
      <c r="G447" s="790" t="s">
        <v>19</v>
      </c>
      <c r="H447" s="790" t="s">
        <v>70</v>
      </c>
      <c r="I447" s="790"/>
      <c r="J447" s="51"/>
      <c r="K447" s="51"/>
      <c r="L447" s="51"/>
      <c r="M447" s="51">
        <v>200</v>
      </c>
      <c r="N447" s="51"/>
      <c r="O447" s="51"/>
      <c r="P447" s="51"/>
      <c r="Q447" s="51"/>
      <c r="R447" s="511"/>
      <c r="S447" s="51"/>
      <c r="T447" s="51"/>
      <c r="U447" s="51"/>
      <c r="V447" s="51"/>
      <c r="W447" s="51"/>
      <c r="X447" s="131">
        <f>IF(NFI_Expiration=1,IF($A447&lt;VLOOKUP(I$5,NFI,5,0),1,0)*Data_NFI_t[[#This Row],[Hygiene Kit]],0)</f>
        <v>0</v>
      </c>
      <c r="Y447" s="131">
        <f>IF(NFI_Expiration=1,IF($A447&lt;VLOOKUP(J$5,NFI,5,0),1,0)*Data_NFI_t[[#This Row],[NFI Core Kit]],0)</f>
        <v>0</v>
      </c>
      <c r="Z447" s="112">
        <f>IF(NFI_Expiration=1,IF($A447&lt;VLOOKUP(K$5,NFI,5,0),1,0)*Data_NFI_t[[#This Row],[Sanitary Kit]],0)</f>
        <v>0</v>
      </c>
      <c r="AA447" s="112">
        <f>IF(NFI_Expiration=1,IF($A447&lt;VLOOKUP(L$5,NFI,5,0),1,0)*Data_NFI_t[[#This Row],[Mosquito net]],0)</f>
        <v>0</v>
      </c>
      <c r="AB447" s="112">
        <f>IF(NFI_Expiration=1,IF($A447&lt;VLOOKUP(M$5,NFI,5,0),1,0)*Data_NFI_t[[#This Row],[Tarpaulin]],0)</f>
        <v>0</v>
      </c>
      <c r="AC447" s="112">
        <f>IF(NFI_Expiration=1,IF($A447&lt;VLOOKUP(N$5,NFI,5,0),1,0)*Data_NFI_t[[#This Row],[Blanket]],0)</f>
        <v>0</v>
      </c>
      <c r="AD447" s="112">
        <f>IF(NFI_Expiration=1,IF($A447&lt;VLOOKUP(O$5,NFI,5,0),1,0)*Data_NFI_t[[#This Row],[Kitchen Set]],0)</f>
        <v>0</v>
      </c>
      <c r="AE447" s="112">
        <f>IF(NFI_Expiration=1,IF($A447&lt;VLOOKUP(P$5,NFI,5,0),1,0)*Data_NFI_t[[#This Row],[Complementary Kit]],0)</f>
        <v>0</v>
      </c>
      <c r="AF447" s="112">
        <f>IF(NFI_Expiration=1,IF($A447&lt;VLOOKUP(Q$5,NFI,5,0),1,0)*Data_NFI_t[[#This Row],[Plastic Bucket]],0)</f>
        <v>0</v>
      </c>
      <c r="AG447" s="112">
        <f>IF(NFI_Expiration=1,IF($A447&lt;VLOOKUP(R$5,NFI,5,0),1,0)*Data_NFI_t[[#This Row],[Jerry Can]],0)</f>
        <v>0</v>
      </c>
      <c r="AH447" s="131">
        <f>IF(NFI_Expiration=1,IF($A447&lt;VLOOKUP(S$5,NFI,5,0),1,0)*Data_NFI_t[[#This Row],[Plastic Mat]],0)*IF(Data_NFI_t[[#This Row],[Distribution Date]]&gt;"01-06-2015",1,2.5)</f>
        <v>0</v>
      </c>
      <c r="AI447" s="901">
        <f>IF(NFI_Expiration=1,IF($A447&lt;VLOOKUP(T$5,NFI,5,0),1,0)*Data_NFI_t[[#This Row],[Adult Clothes]],0)</f>
        <v>0</v>
      </c>
      <c r="AJ447" s="131">
        <f>IF(NFI_Expiration=1,IF($A447&lt;VLOOKUP(U$5,NFI,5,0),1,0)*Data_NFI_t[[#This Row],[Children Clothes]],0)</f>
        <v>0</v>
      </c>
      <c r="AK447" s="131">
        <f>IF(NFI_Expiration=1,IF($A447&lt;VLOOKUP(V$5,NFI,5,0),1,0)*Data_NFI_t[[#This Row],[Sewing Kit]],0)</f>
        <v>0</v>
      </c>
      <c r="AL447" s="901">
        <f>IF(NFI_Expiration=1,IF($A447&lt;VLOOKUP(V$5,NFI,5,0),1,0)*Data_NFI_t[[#This Row],[Solar Lantern]],0)</f>
        <v>0</v>
      </c>
      <c r="AM447" s="131" t="str">
        <f ca="1">IFERROR(OFFSET(Camp_List[P_Code],MATCH(Data_NFI_t[[#This Row],[Camp Name]],Camp_List[Camp Name],0)-1,0,1,1),"")</f>
        <v>MMR012CMP048</v>
      </c>
      <c r="AN447" s="513" t="str">
        <f ca="1">IFERROR(OFFSET(Camp_List[Status],MATCH(Data_NFI_t[[#This Row],[Camp Name]],Camp_List[Camp Name],0)-1,0,1,1),"")</f>
        <v>Open</v>
      </c>
      <c r="AO447" s="131"/>
    </row>
    <row r="448" spans="1:41" s="90" customFormat="1" ht="19.5" customHeight="1" x14ac:dyDescent="0.25">
      <c r="A448" s="242">
        <f t="shared" si="8"/>
        <v>58.93333333333333</v>
      </c>
      <c r="B448" s="242">
        <f>YEAR(Data_NFI_t[[#This Row],[Distribution Date]])</f>
        <v>2012</v>
      </c>
      <c r="C448" s="913">
        <v>41088</v>
      </c>
      <c r="D448" s="489" t="s">
        <v>285</v>
      </c>
      <c r="E448" s="488"/>
      <c r="F448" s="489" t="s">
        <v>7</v>
      </c>
      <c r="G448" s="790" t="s">
        <v>19</v>
      </c>
      <c r="H448" s="790" t="s">
        <v>290</v>
      </c>
      <c r="I448" s="790"/>
      <c r="J448" s="51"/>
      <c r="K448" s="51"/>
      <c r="L448" s="51"/>
      <c r="M448" s="51">
        <v>52</v>
      </c>
      <c r="N448" s="51"/>
      <c r="O448" s="51"/>
      <c r="P448" s="51"/>
      <c r="Q448" s="51"/>
      <c r="R448" s="511"/>
      <c r="S448" s="51"/>
      <c r="T448" s="51"/>
      <c r="U448" s="51"/>
      <c r="V448" s="51"/>
      <c r="W448" s="51"/>
      <c r="X448" s="131">
        <f>IF(NFI_Expiration=1,IF($A448&lt;VLOOKUP(I$5,NFI,5,0),1,0)*Data_NFI_t[[#This Row],[Hygiene Kit]],0)</f>
        <v>0</v>
      </c>
      <c r="Y448" s="131">
        <f>IF(NFI_Expiration=1,IF($A448&lt;VLOOKUP(J$5,NFI,5,0),1,0)*Data_NFI_t[[#This Row],[NFI Core Kit]],0)</f>
        <v>0</v>
      </c>
      <c r="Z448" s="112">
        <f>IF(NFI_Expiration=1,IF($A448&lt;VLOOKUP(K$5,NFI,5,0),1,0)*Data_NFI_t[[#This Row],[Sanitary Kit]],0)</f>
        <v>0</v>
      </c>
      <c r="AA448" s="112">
        <f>IF(NFI_Expiration=1,IF($A448&lt;VLOOKUP(L$5,NFI,5,0),1,0)*Data_NFI_t[[#This Row],[Mosquito net]],0)</f>
        <v>0</v>
      </c>
      <c r="AB448" s="112">
        <f>IF(NFI_Expiration=1,IF($A448&lt;VLOOKUP(M$5,NFI,5,0),1,0)*Data_NFI_t[[#This Row],[Tarpaulin]],0)</f>
        <v>0</v>
      </c>
      <c r="AC448" s="112">
        <f>IF(NFI_Expiration=1,IF($A448&lt;VLOOKUP(N$5,NFI,5,0),1,0)*Data_NFI_t[[#This Row],[Blanket]],0)</f>
        <v>0</v>
      </c>
      <c r="AD448" s="112">
        <f>IF(NFI_Expiration=1,IF($A448&lt;VLOOKUP(O$5,NFI,5,0),1,0)*Data_NFI_t[[#This Row],[Kitchen Set]],0)</f>
        <v>0</v>
      </c>
      <c r="AE448" s="112">
        <f>IF(NFI_Expiration=1,IF($A448&lt;VLOOKUP(P$5,NFI,5,0),1,0)*Data_NFI_t[[#This Row],[Complementary Kit]],0)</f>
        <v>0</v>
      </c>
      <c r="AF448" s="112">
        <f>IF(NFI_Expiration=1,IF($A448&lt;VLOOKUP(Q$5,NFI,5,0),1,0)*Data_NFI_t[[#This Row],[Plastic Bucket]],0)</f>
        <v>0</v>
      </c>
      <c r="AG448" s="112">
        <f>IF(NFI_Expiration=1,IF($A448&lt;VLOOKUP(R$5,NFI,5,0),1,0)*Data_NFI_t[[#This Row],[Jerry Can]],0)</f>
        <v>0</v>
      </c>
      <c r="AH448" s="131">
        <f>IF(NFI_Expiration=1,IF($A448&lt;VLOOKUP(S$5,NFI,5,0),1,0)*Data_NFI_t[[#This Row],[Plastic Mat]],0)*IF(Data_NFI_t[[#This Row],[Distribution Date]]&gt;"01-06-2015",1,2.5)</f>
        <v>0</v>
      </c>
      <c r="AI448" s="901">
        <f>IF(NFI_Expiration=1,IF($A448&lt;VLOOKUP(T$5,NFI,5,0),1,0)*Data_NFI_t[[#This Row],[Adult Clothes]],0)</f>
        <v>0</v>
      </c>
      <c r="AJ448" s="131">
        <f>IF(NFI_Expiration=1,IF($A448&lt;VLOOKUP(U$5,NFI,5,0),1,0)*Data_NFI_t[[#This Row],[Children Clothes]],0)</f>
        <v>0</v>
      </c>
      <c r="AK448" s="131">
        <f>IF(NFI_Expiration=1,IF($A448&lt;VLOOKUP(V$5,NFI,5,0),1,0)*Data_NFI_t[[#This Row],[Sewing Kit]],0)</f>
        <v>0</v>
      </c>
      <c r="AL448" s="901">
        <f>IF(NFI_Expiration=1,IF($A448&lt;VLOOKUP(V$5,NFI,5,0),1,0)*Data_NFI_t[[#This Row],[Solar Lantern]],0)</f>
        <v>0</v>
      </c>
      <c r="AM448" s="131" t="str">
        <f ca="1">IFERROR(OFFSET(Camp_List[P_Code],MATCH(Data_NFI_t[[#This Row],[Camp Name]],Camp_List[Camp Name],0)-1,0,1,1),"")</f>
        <v/>
      </c>
      <c r="AN448" s="513" t="str">
        <f ca="1">IFERROR(OFFSET(Camp_List[Status],MATCH(Data_NFI_t[[#This Row],[Camp Name]],Camp_List[Camp Name],0)-1,0,1,1),"")</f>
        <v/>
      </c>
      <c r="AO448" s="131"/>
    </row>
    <row r="449" spans="1:41" s="90" customFormat="1" ht="19.5" customHeight="1" x14ac:dyDescent="0.25">
      <c r="A449" s="242">
        <f t="shared" si="8"/>
        <v>58.93333333333333</v>
      </c>
      <c r="B449" s="242">
        <f>YEAR(Data_NFI_t[[#This Row],[Distribution Date]])</f>
        <v>2012</v>
      </c>
      <c r="C449" s="913">
        <v>41088</v>
      </c>
      <c r="D449" s="489" t="s">
        <v>285</v>
      </c>
      <c r="E449" s="488"/>
      <c r="F449" s="489" t="s">
        <v>7</v>
      </c>
      <c r="G449" s="790" t="s">
        <v>19</v>
      </c>
      <c r="H449" s="790" t="s">
        <v>63</v>
      </c>
      <c r="I449" s="790"/>
      <c r="J449" s="51"/>
      <c r="K449" s="51"/>
      <c r="L449" s="51"/>
      <c r="M449" s="51">
        <v>300</v>
      </c>
      <c r="N449" s="51"/>
      <c r="O449" s="51"/>
      <c r="P449" s="51"/>
      <c r="Q449" s="51"/>
      <c r="R449" s="511"/>
      <c r="S449" s="51"/>
      <c r="T449" s="51"/>
      <c r="U449" s="51"/>
      <c r="V449" s="51"/>
      <c r="W449" s="51"/>
      <c r="X449" s="131">
        <f>IF(NFI_Expiration=1,IF($A449&lt;VLOOKUP(I$5,NFI,5,0),1,0)*Data_NFI_t[[#This Row],[Hygiene Kit]],0)</f>
        <v>0</v>
      </c>
      <c r="Y449" s="131">
        <f>IF(NFI_Expiration=1,IF($A449&lt;VLOOKUP(J$5,NFI,5,0),1,0)*Data_NFI_t[[#This Row],[NFI Core Kit]],0)</f>
        <v>0</v>
      </c>
      <c r="Z449" s="112">
        <f>IF(NFI_Expiration=1,IF($A449&lt;VLOOKUP(K$5,NFI,5,0),1,0)*Data_NFI_t[[#This Row],[Sanitary Kit]],0)</f>
        <v>0</v>
      </c>
      <c r="AA449" s="112">
        <f>IF(NFI_Expiration=1,IF($A449&lt;VLOOKUP(L$5,NFI,5,0),1,0)*Data_NFI_t[[#This Row],[Mosquito net]],0)</f>
        <v>0</v>
      </c>
      <c r="AB449" s="112">
        <f>IF(NFI_Expiration=1,IF($A449&lt;VLOOKUP(M$5,NFI,5,0),1,0)*Data_NFI_t[[#This Row],[Tarpaulin]],0)</f>
        <v>0</v>
      </c>
      <c r="AC449" s="112">
        <f>IF(NFI_Expiration=1,IF($A449&lt;VLOOKUP(N$5,NFI,5,0),1,0)*Data_NFI_t[[#This Row],[Blanket]],0)</f>
        <v>0</v>
      </c>
      <c r="AD449" s="112">
        <f>IF(NFI_Expiration=1,IF($A449&lt;VLOOKUP(O$5,NFI,5,0),1,0)*Data_NFI_t[[#This Row],[Kitchen Set]],0)</f>
        <v>0</v>
      </c>
      <c r="AE449" s="112">
        <f>IF(NFI_Expiration=1,IF($A449&lt;VLOOKUP(P$5,NFI,5,0),1,0)*Data_NFI_t[[#This Row],[Complementary Kit]],0)</f>
        <v>0</v>
      </c>
      <c r="AF449" s="112">
        <f>IF(NFI_Expiration=1,IF($A449&lt;VLOOKUP(Q$5,NFI,5,0),1,0)*Data_NFI_t[[#This Row],[Plastic Bucket]],0)</f>
        <v>0</v>
      </c>
      <c r="AG449" s="112">
        <f>IF(NFI_Expiration=1,IF($A449&lt;VLOOKUP(R$5,NFI,5,0),1,0)*Data_NFI_t[[#This Row],[Jerry Can]],0)</f>
        <v>0</v>
      </c>
      <c r="AH449" s="131">
        <f>IF(NFI_Expiration=1,IF($A449&lt;VLOOKUP(S$5,NFI,5,0),1,0)*Data_NFI_t[[#This Row],[Plastic Mat]],0)*IF(Data_NFI_t[[#This Row],[Distribution Date]]&gt;"01-06-2015",1,2.5)</f>
        <v>0</v>
      </c>
      <c r="AI449" s="901">
        <f>IF(NFI_Expiration=1,IF($A449&lt;VLOOKUP(T$5,NFI,5,0),1,0)*Data_NFI_t[[#This Row],[Adult Clothes]],0)</f>
        <v>0</v>
      </c>
      <c r="AJ449" s="131">
        <f>IF(NFI_Expiration=1,IF($A449&lt;VLOOKUP(U$5,NFI,5,0),1,0)*Data_NFI_t[[#This Row],[Children Clothes]],0)</f>
        <v>0</v>
      </c>
      <c r="AK449" s="131">
        <f>IF(NFI_Expiration=1,IF($A449&lt;VLOOKUP(V$5,NFI,5,0),1,0)*Data_NFI_t[[#This Row],[Sewing Kit]],0)</f>
        <v>0</v>
      </c>
      <c r="AL449" s="901">
        <f>IF(NFI_Expiration=1,IF($A449&lt;VLOOKUP(V$5,NFI,5,0),1,0)*Data_NFI_t[[#This Row],[Solar Lantern]],0)</f>
        <v>0</v>
      </c>
      <c r="AM449" s="131" t="str">
        <f ca="1">IFERROR(OFFSET(Camp_List[P_Code],MATCH(Data_NFI_t[[#This Row],[Camp Name]],Camp_List[Camp Name],0)-1,0,1,1),"")</f>
        <v>MMR012CMP041</v>
      </c>
      <c r="AN449" s="513" t="str">
        <f ca="1">IFERROR(OFFSET(Camp_List[Status],MATCH(Data_NFI_t[[#This Row],[Camp Name]],Camp_List[Camp Name],0)-1,0,1,1),"")</f>
        <v>Open</v>
      </c>
      <c r="AO449" s="131"/>
    </row>
    <row r="450" spans="1:41" s="90" customFormat="1" ht="19.5" customHeight="1" x14ac:dyDescent="0.25">
      <c r="A450" s="242">
        <f t="shared" si="8"/>
        <v>58.93333333333333</v>
      </c>
      <c r="B450" s="242">
        <f>YEAR(Data_NFI_t[[#This Row],[Distribution Date]])</f>
        <v>2012</v>
      </c>
      <c r="C450" s="913">
        <v>41088</v>
      </c>
      <c r="D450" s="489" t="s">
        <v>285</v>
      </c>
      <c r="E450" s="488"/>
      <c r="F450" s="489" t="s">
        <v>7</v>
      </c>
      <c r="G450" s="790" t="s">
        <v>19</v>
      </c>
      <c r="H450" s="790" t="s">
        <v>250</v>
      </c>
      <c r="I450" s="790"/>
      <c r="J450" s="51"/>
      <c r="K450" s="51"/>
      <c r="L450" s="51"/>
      <c r="M450" s="51">
        <v>9</v>
      </c>
      <c r="N450" s="51"/>
      <c r="O450" s="51"/>
      <c r="P450" s="51"/>
      <c r="Q450" s="51"/>
      <c r="R450" s="511"/>
      <c r="S450" s="51"/>
      <c r="T450" s="51"/>
      <c r="U450" s="51"/>
      <c r="V450" s="51"/>
      <c r="W450" s="51"/>
      <c r="X450" s="131">
        <f>IF(NFI_Expiration=1,IF($A450&lt;VLOOKUP(I$5,NFI,5,0),1,0)*Data_NFI_t[[#This Row],[Hygiene Kit]],0)</f>
        <v>0</v>
      </c>
      <c r="Y450" s="131">
        <f>IF(NFI_Expiration=1,IF($A450&lt;VLOOKUP(J$5,NFI,5,0),1,0)*Data_NFI_t[[#This Row],[NFI Core Kit]],0)</f>
        <v>0</v>
      </c>
      <c r="Z450" s="112">
        <f>IF(NFI_Expiration=1,IF($A450&lt;VLOOKUP(K$5,NFI,5,0),1,0)*Data_NFI_t[[#This Row],[Sanitary Kit]],0)</f>
        <v>0</v>
      </c>
      <c r="AA450" s="112">
        <f>IF(NFI_Expiration=1,IF($A450&lt;VLOOKUP(L$5,NFI,5,0),1,0)*Data_NFI_t[[#This Row],[Mosquito net]],0)</f>
        <v>0</v>
      </c>
      <c r="AB450" s="112">
        <f>IF(NFI_Expiration=1,IF($A450&lt;VLOOKUP(M$5,NFI,5,0),1,0)*Data_NFI_t[[#This Row],[Tarpaulin]],0)</f>
        <v>0</v>
      </c>
      <c r="AC450" s="112">
        <f>IF(NFI_Expiration=1,IF($A450&lt;VLOOKUP(N$5,NFI,5,0),1,0)*Data_NFI_t[[#This Row],[Blanket]],0)</f>
        <v>0</v>
      </c>
      <c r="AD450" s="112">
        <f>IF(NFI_Expiration=1,IF($A450&lt;VLOOKUP(O$5,NFI,5,0),1,0)*Data_NFI_t[[#This Row],[Kitchen Set]],0)</f>
        <v>0</v>
      </c>
      <c r="AE450" s="112">
        <f>IF(NFI_Expiration=1,IF($A450&lt;VLOOKUP(P$5,NFI,5,0),1,0)*Data_NFI_t[[#This Row],[Complementary Kit]],0)</f>
        <v>0</v>
      </c>
      <c r="AF450" s="112">
        <f>IF(NFI_Expiration=1,IF($A450&lt;VLOOKUP(Q$5,NFI,5,0),1,0)*Data_NFI_t[[#This Row],[Plastic Bucket]],0)</f>
        <v>0</v>
      </c>
      <c r="AG450" s="112">
        <f>IF(NFI_Expiration=1,IF($A450&lt;VLOOKUP(R$5,NFI,5,0),1,0)*Data_NFI_t[[#This Row],[Jerry Can]],0)</f>
        <v>0</v>
      </c>
      <c r="AH450" s="131">
        <f>IF(NFI_Expiration=1,IF($A450&lt;VLOOKUP(S$5,NFI,5,0),1,0)*Data_NFI_t[[#This Row],[Plastic Mat]],0)*IF(Data_NFI_t[[#This Row],[Distribution Date]]&gt;"01-06-2015",1,2.5)</f>
        <v>0</v>
      </c>
      <c r="AI450" s="901">
        <f>IF(NFI_Expiration=1,IF($A450&lt;VLOOKUP(T$5,NFI,5,0),1,0)*Data_NFI_t[[#This Row],[Adult Clothes]],0)</f>
        <v>0</v>
      </c>
      <c r="AJ450" s="131">
        <f>IF(NFI_Expiration=1,IF($A450&lt;VLOOKUP(U$5,NFI,5,0),1,0)*Data_NFI_t[[#This Row],[Children Clothes]],0)</f>
        <v>0</v>
      </c>
      <c r="AK450" s="131">
        <f>IF(NFI_Expiration=1,IF($A450&lt;VLOOKUP(V$5,NFI,5,0),1,0)*Data_NFI_t[[#This Row],[Sewing Kit]],0)</f>
        <v>0</v>
      </c>
      <c r="AL450" s="901">
        <f>IF(NFI_Expiration=1,IF($A450&lt;VLOOKUP(V$5,NFI,5,0),1,0)*Data_NFI_t[[#This Row],[Solar Lantern]],0)</f>
        <v>0</v>
      </c>
      <c r="AM450" s="131" t="str">
        <f ca="1">IFERROR(OFFSET(Camp_List[P_Code],MATCH(Data_NFI_t[[#This Row],[Camp Name]],Camp_List[Camp Name],0)-1,0,1,1),"")</f>
        <v/>
      </c>
      <c r="AN450" s="513" t="str">
        <f ca="1">IFERROR(OFFSET(Camp_List[Status],MATCH(Data_NFI_t[[#This Row],[Camp Name]],Camp_List[Camp Name],0)-1,0,1,1),"")</f>
        <v/>
      </c>
      <c r="AO450" s="131"/>
    </row>
    <row r="451" spans="1:41" s="90" customFormat="1" ht="19.5" customHeight="1" x14ac:dyDescent="0.25">
      <c r="A451" s="242">
        <f t="shared" si="8"/>
        <v>58.93333333333333</v>
      </c>
      <c r="B451" s="242">
        <f>YEAR(Data_NFI_t[[#This Row],[Distribution Date]])</f>
        <v>2012</v>
      </c>
      <c r="C451" s="913">
        <v>41088</v>
      </c>
      <c r="D451" s="489" t="s">
        <v>285</v>
      </c>
      <c r="E451" s="488"/>
      <c r="F451" s="489" t="s">
        <v>7</v>
      </c>
      <c r="G451" s="790" t="s">
        <v>19</v>
      </c>
      <c r="H451" s="790" t="s">
        <v>249</v>
      </c>
      <c r="I451" s="790"/>
      <c r="J451" s="51"/>
      <c r="K451" s="51"/>
      <c r="L451" s="51"/>
      <c r="M451" s="51">
        <v>11</v>
      </c>
      <c r="N451" s="51"/>
      <c r="O451" s="51"/>
      <c r="P451" s="51"/>
      <c r="Q451" s="51"/>
      <c r="R451" s="511"/>
      <c r="S451" s="51"/>
      <c r="T451" s="51"/>
      <c r="U451" s="51"/>
      <c r="V451" s="51"/>
      <c r="W451" s="51"/>
      <c r="X451" s="131">
        <f>IF(NFI_Expiration=1,IF($A451&lt;VLOOKUP(I$5,NFI,5,0),1,0)*Data_NFI_t[[#This Row],[Hygiene Kit]],0)</f>
        <v>0</v>
      </c>
      <c r="Y451" s="131">
        <f>IF(NFI_Expiration=1,IF($A451&lt;VLOOKUP(J$5,NFI,5,0),1,0)*Data_NFI_t[[#This Row],[NFI Core Kit]],0)</f>
        <v>0</v>
      </c>
      <c r="Z451" s="112">
        <f>IF(NFI_Expiration=1,IF($A451&lt;VLOOKUP(K$5,NFI,5,0),1,0)*Data_NFI_t[[#This Row],[Sanitary Kit]],0)</f>
        <v>0</v>
      </c>
      <c r="AA451" s="112">
        <f>IF(NFI_Expiration=1,IF($A451&lt;VLOOKUP(L$5,NFI,5,0),1,0)*Data_NFI_t[[#This Row],[Mosquito net]],0)</f>
        <v>0</v>
      </c>
      <c r="AB451" s="112">
        <f>IF(NFI_Expiration=1,IF($A451&lt;VLOOKUP(M$5,NFI,5,0),1,0)*Data_NFI_t[[#This Row],[Tarpaulin]],0)</f>
        <v>0</v>
      </c>
      <c r="AC451" s="112">
        <f>IF(NFI_Expiration=1,IF($A451&lt;VLOOKUP(N$5,NFI,5,0),1,0)*Data_NFI_t[[#This Row],[Blanket]],0)</f>
        <v>0</v>
      </c>
      <c r="AD451" s="112">
        <f>IF(NFI_Expiration=1,IF($A451&lt;VLOOKUP(O$5,NFI,5,0),1,0)*Data_NFI_t[[#This Row],[Kitchen Set]],0)</f>
        <v>0</v>
      </c>
      <c r="AE451" s="112">
        <f>IF(NFI_Expiration=1,IF($A451&lt;VLOOKUP(P$5,NFI,5,0),1,0)*Data_NFI_t[[#This Row],[Complementary Kit]],0)</f>
        <v>0</v>
      </c>
      <c r="AF451" s="112">
        <f>IF(NFI_Expiration=1,IF($A451&lt;VLOOKUP(Q$5,NFI,5,0),1,0)*Data_NFI_t[[#This Row],[Plastic Bucket]],0)</f>
        <v>0</v>
      </c>
      <c r="AG451" s="112">
        <f>IF(NFI_Expiration=1,IF($A451&lt;VLOOKUP(R$5,NFI,5,0),1,0)*Data_NFI_t[[#This Row],[Jerry Can]],0)</f>
        <v>0</v>
      </c>
      <c r="AH451" s="131">
        <f>IF(NFI_Expiration=1,IF($A451&lt;VLOOKUP(S$5,NFI,5,0),1,0)*Data_NFI_t[[#This Row],[Plastic Mat]],0)*IF(Data_NFI_t[[#This Row],[Distribution Date]]&gt;"01-06-2015",1,2.5)</f>
        <v>0</v>
      </c>
      <c r="AI451" s="901">
        <f>IF(NFI_Expiration=1,IF($A451&lt;VLOOKUP(T$5,NFI,5,0),1,0)*Data_NFI_t[[#This Row],[Adult Clothes]],0)</f>
        <v>0</v>
      </c>
      <c r="AJ451" s="131">
        <f>IF(NFI_Expiration=1,IF($A451&lt;VLOOKUP(U$5,NFI,5,0),1,0)*Data_NFI_t[[#This Row],[Children Clothes]],0)</f>
        <v>0</v>
      </c>
      <c r="AK451" s="131">
        <f>IF(NFI_Expiration=1,IF($A451&lt;VLOOKUP(V$5,NFI,5,0),1,0)*Data_NFI_t[[#This Row],[Sewing Kit]],0)</f>
        <v>0</v>
      </c>
      <c r="AL451" s="901">
        <f>IF(NFI_Expiration=1,IF($A451&lt;VLOOKUP(V$5,NFI,5,0),1,0)*Data_NFI_t[[#This Row],[Solar Lantern]],0)</f>
        <v>0</v>
      </c>
      <c r="AM451" s="131" t="str">
        <f ca="1">IFERROR(OFFSET(Camp_List[P_Code],MATCH(Data_NFI_t[[#This Row],[Camp Name]],Camp_List[Camp Name],0)-1,0,1,1),"")</f>
        <v/>
      </c>
      <c r="AN451" s="513" t="str">
        <f ca="1">IFERROR(OFFSET(Camp_List[Status],MATCH(Data_NFI_t[[#This Row],[Camp Name]],Camp_List[Camp Name],0)-1,0,1,1),"")</f>
        <v/>
      </c>
      <c r="AO451" s="131"/>
    </row>
    <row r="452" spans="1:41" ht="19.5" customHeight="1" x14ac:dyDescent="0.25">
      <c r="A452" s="242">
        <f t="shared" si="8"/>
        <v>58.93333333333333</v>
      </c>
      <c r="B452" s="522">
        <f>YEAR(Data_NFI_t[[#This Row],[Distribution Date]])</f>
        <v>2012</v>
      </c>
      <c r="C452" s="913">
        <v>41088</v>
      </c>
      <c r="D452" s="489" t="s">
        <v>285</v>
      </c>
      <c r="E452" s="488"/>
      <c r="F452" s="489" t="s">
        <v>7</v>
      </c>
      <c r="G452" s="790" t="s">
        <v>19</v>
      </c>
      <c r="H452" s="790" t="s">
        <v>248</v>
      </c>
      <c r="I452" s="790"/>
      <c r="J452" s="51"/>
      <c r="K452" s="51"/>
      <c r="L452" s="119"/>
      <c r="M452" s="119">
        <v>89</v>
      </c>
      <c r="N452" s="119"/>
      <c r="O452" s="119"/>
      <c r="P452" s="119"/>
      <c r="Q452" s="119"/>
      <c r="R452" s="512"/>
      <c r="S452" s="119"/>
      <c r="T452" s="119"/>
      <c r="U452" s="119"/>
      <c r="V452" s="119"/>
      <c r="W452" s="119"/>
      <c r="X452" s="131">
        <f>IF(NFI_Expiration=1,IF($A452&lt;VLOOKUP(I$5,NFI,5,0),1,0)*Data_NFI_t[[#This Row],[Hygiene Kit]],0)</f>
        <v>0</v>
      </c>
      <c r="Y452" s="131">
        <f>IF(NFI_Expiration=1,IF($A452&lt;VLOOKUP(J$5,NFI,5,0),1,0)*Data_NFI_t[[#This Row],[NFI Core Kit]],0)</f>
        <v>0</v>
      </c>
      <c r="Z452" s="112">
        <f>IF(NFI_Expiration=1,IF($A452&lt;VLOOKUP(K$5,NFI,5,0),1,0)*Data_NFI_t[[#This Row],[Sanitary Kit]],0)</f>
        <v>0</v>
      </c>
      <c r="AA452" s="112">
        <f>IF(NFI_Expiration=1,IF($A452&lt;VLOOKUP(L$5,NFI,5,0),1,0)*Data_NFI_t[[#This Row],[Mosquito net]],0)</f>
        <v>0</v>
      </c>
      <c r="AB452" s="112">
        <f>IF(NFI_Expiration=1,IF($A452&lt;VLOOKUP(M$5,NFI,5,0),1,0)*Data_NFI_t[[#This Row],[Tarpaulin]],0)</f>
        <v>0</v>
      </c>
      <c r="AC452" s="112">
        <f>IF(NFI_Expiration=1,IF($A452&lt;VLOOKUP(N$5,NFI,5,0),1,0)*Data_NFI_t[[#This Row],[Blanket]],0)</f>
        <v>0</v>
      </c>
      <c r="AD452" s="112">
        <f>IF(NFI_Expiration=1,IF($A452&lt;VLOOKUP(O$5,NFI,5,0),1,0)*Data_NFI_t[[#This Row],[Kitchen Set]],0)</f>
        <v>0</v>
      </c>
      <c r="AE452" s="112">
        <f>IF(NFI_Expiration=1,IF($A452&lt;VLOOKUP(P$5,NFI,5,0),1,0)*Data_NFI_t[[#This Row],[Complementary Kit]],0)</f>
        <v>0</v>
      </c>
      <c r="AF452" s="112">
        <f>IF(NFI_Expiration=1,IF($A452&lt;VLOOKUP(Q$5,NFI,5,0),1,0)*Data_NFI_t[[#This Row],[Plastic Bucket]],0)</f>
        <v>0</v>
      </c>
      <c r="AG452" s="112">
        <f>IF(NFI_Expiration=1,IF($A452&lt;VLOOKUP(R$5,NFI,5,0),1,0)*Data_NFI_t[[#This Row],[Jerry Can]],0)</f>
        <v>0</v>
      </c>
      <c r="AH452" s="131">
        <f>IF(NFI_Expiration=1,IF($A452&lt;VLOOKUP(S$5,NFI,5,0),1,0)*Data_NFI_t[[#This Row],[Plastic Mat]],0)*IF(Data_NFI_t[[#This Row],[Distribution Date]]&gt;"01-06-2015",1,2.5)</f>
        <v>0</v>
      </c>
      <c r="AI452" s="901">
        <f>IF(NFI_Expiration=1,IF($A452&lt;VLOOKUP(T$5,NFI,5,0),1,0)*Data_NFI_t[[#This Row],[Adult Clothes]],0)</f>
        <v>0</v>
      </c>
      <c r="AJ452" s="131">
        <f>IF(NFI_Expiration=1,IF($A452&lt;VLOOKUP(U$5,NFI,5,0),1,0)*Data_NFI_t[[#This Row],[Children Clothes]],0)</f>
        <v>0</v>
      </c>
      <c r="AK452" s="131">
        <f>IF(NFI_Expiration=1,IF($A452&lt;VLOOKUP(V$5,NFI,5,0),1,0)*Data_NFI_t[[#This Row],[Sewing Kit]],0)</f>
        <v>0</v>
      </c>
      <c r="AL452" s="901">
        <f>IF(NFI_Expiration=1,IF($A452&lt;VLOOKUP(V$5,NFI,5,0),1,0)*Data_NFI_t[[#This Row],[Solar Lantern]],0)</f>
        <v>0</v>
      </c>
      <c r="AM452" s="131" t="str">
        <f ca="1">IFERROR(OFFSET(Camp_List[P_Code],MATCH(Data_NFI_t[[#This Row],[Camp Name]],Camp_List[Camp Name],0)-1,0,1,1),"")</f>
        <v/>
      </c>
      <c r="AN452" s="513" t="str">
        <f ca="1">IFERROR(OFFSET(Camp_List[Status],MATCH(Data_NFI_t[[#This Row],[Camp Name]],Camp_List[Camp Name],0)-1,0,1,1),"")</f>
        <v/>
      </c>
      <c r="AO452" s="131"/>
    </row>
    <row r="453" spans="1:41" ht="19.5" customHeight="1" x14ac:dyDescent="0.25">
      <c r="A453" s="242">
        <f t="shared" si="8"/>
        <v>58.966666666666669</v>
      </c>
      <c r="B453" s="522">
        <f>YEAR(Data_NFI_t[[#This Row],[Distribution Date]])</f>
        <v>2012</v>
      </c>
      <c r="C453" s="913">
        <v>41087</v>
      </c>
      <c r="D453" s="489" t="s">
        <v>285</v>
      </c>
      <c r="E453" s="488"/>
      <c r="F453" s="489" t="s">
        <v>7</v>
      </c>
      <c r="G453" s="790" t="s">
        <v>19</v>
      </c>
      <c r="H453" s="790" t="s">
        <v>93</v>
      </c>
      <c r="I453" s="790"/>
      <c r="J453" s="51"/>
      <c r="K453" s="51"/>
      <c r="L453" s="119"/>
      <c r="M453" s="119">
        <v>120</v>
      </c>
      <c r="N453" s="119"/>
      <c r="O453" s="119"/>
      <c r="P453" s="119"/>
      <c r="Q453" s="119"/>
      <c r="R453" s="512"/>
      <c r="S453" s="119"/>
      <c r="T453" s="119"/>
      <c r="U453" s="119"/>
      <c r="V453" s="119"/>
      <c r="W453" s="119"/>
      <c r="X453" s="131">
        <f>IF(NFI_Expiration=1,IF($A453&lt;VLOOKUP(I$5,NFI,5,0),1,0)*Data_NFI_t[[#This Row],[Hygiene Kit]],0)</f>
        <v>0</v>
      </c>
      <c r="Y453" s="131">
        <f>IF(NFI_Expiration=1,IF($A453&lt;VLOOKUP(J$5,NFI,5,0),1,0)*Data_NFI_t[[#This Row],[NFI Core Kit]],0)</f>
        <v>0</v>
      </c>
      <c r="Z453" s="112">
        <f>IF(NFI_Expiration=1,IF($A453&lt;VLOOKUP(K$5,NFI,5,0),1,0)*Data_NFI_t[[#This Row],[Sanitary Kit]],0)</f>
        <v>0</v>
      </c>
      <c r="AA453" s="112">
        <f>IF(NFI_Expiration=1,IF($A453&lt;VLOOKUP(L$5,NFI,5,0),1,0)*Data_NFI_t[[#This Row],[Mosquito net]],0)</f>
        <v>0</v>
      </c>
      <c r="AB453" s="112">
        <f>IF(NFI_Expiration=1,IF($A453&lt;VLOOKUP(M$5,NFI,5,0),1,0)*Data_NFI_t[[#This Row],[Tarpaulin]],0)</f>
        <v>0</v>
      </c>
      <c r="AC453" s="112">
        <f>IF(NFI_Expiration=1,IF($A453&lt;VLOOKUP(N$5,NFI,5,0),1,0)*Data_NFI_t[[#This Row],[Blanket]],0)</f>
        <v>0</v>
      </c>
      <c r="AD453" s="112">
        <f>IF(NFI_Expiration=1,IF($A453&lt;VLOOKUP(O$5,NFI,5,0),1,0)*Data_NFI_t[[#This Row],[Kitchen Set]],0)</f>
        <v>0</v>
      </c>
      <c r="AE453" s="112">
        <f>IF(NFI_Expiration=1,IF($A453&lt;VLOOKUP(P$5,NFI,5,0),1,0)*Data_NFI_t[[#This Row],[Complementary Kit]],0)</f>
        <v>0</v>
      </c>
      <c r="AF453" s="112">
        <f>IF(NFI_Expiration=1,IF($A453&lt;VLOOKUP(Q$5,NFI,5,0),1,0)*Data_NFI_t[[#This Row],[Plastic Bucket]],0)</f>
        <v>0</v>
      </c>
      <c r="AG453" s="112">
        <f>IF(NFI_Expiration=1,IF($A453&lt;VLOOKUP(R$5,NFI,5,0),1,0)*Data_NFI_t[[#This Row],[Jerry Can]],0)</f>
        <v>0</v>
      </c>
      <c r="AH453" s="131">
        <f>IF(NFI_Expiration=1,IF($A453&lt;VLOOKUP(S$5,NFI,5,0),1,0)*Data_NFI_t[[#This Row],[Plastic Mat]],0)*IF(Data_NFI_t[[#This Row],[Distribution Date]]&gt;"01-06-2015",1,2.5)</f>
        <v>0</v>
      </c>
      <c r="AI453" s="901">
        <f>IF(NFI_Expiration=1,IF($A453&lt;VLOOKUP(T$5,NFI,5,0),1,0)*Data_NFI_t[[#This Row],[Adult Clothes]],0)</f>
        <v>0</v>
      </c>
      <c r="AJ453" s="131">
        <f>IF(NFI_Expiration=1,IF($A453&lt;VLOOKUP(U$5,NFI,5,0),1,0)*Data_NFI_t[[#This Row],[Children Clothes]],0)</f>
        <v>0</v>
      </c>
      <c r="AK453" s="131">
        <f>IF(NFI_Expiration=1,IF($A453&lt;VLOOKUP(V$5,NFI,5,0),1,0)*Data_NFI_t[[#This Row],[Sewing Kit]],0)</f>
        <v>0</v>
      </c>
      <c r="AL453" s="901">
        <f>IF(NFI_Expiration=1,IF($A453&lt;VLOOKUP(V$5,NFI,5,0),1,0)*Data_NFI_t[[#This Row],[Solar Lantern]],0)</f>
        <v>0</v>
      </c>
      <c r="AM453" s="131" t="str">
        <f ca="1">IFERROR(OFFSET(Camp_List[P_Code],MATCH(Data_NFI_t[[#This Row],[Camp Name]],Camp_List[Camp Name],0)-1,0,1,1),"")</f>
        <v>MMR012CMP072</v>
      </c>
      <c r="AN453" s="513" t="str">
        <f ca="1">IFERROR(OFFSET(Camp_List[Status],MATCH(Data_NFI_t[[#This Row],[Camp Name]],Camp_List[Camp Name],0)-1,0,1,1),"")</f>
        <v>Close</v>
      </c>
      <c r="AO453" s="131"/>
    </row>
    <row r="454" spans="1:41" ht="19.5" customHeight="1" x14ac:dyDescent="0.25">
      <c r="A454" s="242">
        <f t="shared" si="8"/>
        <v>58.966666666666669</v>
      </c>
      <c r="B454" s="522">
        <f>YEAR(Data_NFI_t[[#This Row],[Distribution Date]])</f>
        <v>2012</v>
      </c>
      <c r="C454" s="913">
        <v>41087</v>
      </c>
      <c r="D454" s="489" t="s">
        <v>285</v>
      </c>
      <c r="E454" s="488"/>
      <c r="F454" s="489" t="s">
        <v>7</v>
      </c>
      <c r="G454" s="790" t="s">
        <v>19</v>
      </c>
      <c r="H454" s="790" t="s">
        <v>246</v>
      </c>
      <c r="I454" s="790"/>
      <c r="J454" s="51"/>
      <c r="K454" s="51"/>
      <c r="L454" s="119"/>
      <c r="M454" s="119">
        <v>11</v>
      </c>
      <c r="N454" s="119"/>
      <c r="O454" s="119"/>
      <c r="P454" s="119"/>
      <c r="Q454" s="119"/>
      <c r="R454" s="512"/>
      <c r="S454" s="119"/>
      <c r="T454" s="119"/>
      <c r="U454" s="119"/>
      <c r="V454" s="119"/>
      <c r="W454" s="119"/>
      <c r="X454" s="131">
        <f>IF(NFI_Expiration=1,IF($A454&lt;VLOOKUP(I$5,NFI,5,0),1,0)*Data_NFI_t[[#This Row],[Hygiene Kit]],0)</f>
        <v>0</v>
      </c>
      <c r="Y454" s="131">
        <f>IF(NFI_Expiration=1,IF($A454&lt;VLOOKUP(J$5,NFI,5,0),1,0)*Data_NFI_t[[#This Row],[NFI Core Kit]],0)</f>
        <v>0</v>
      </c>
      <c r="Z454" s="112">
        <f>IF(NFI_Expiration=1,IF($A454&lt;VLOOKUP(K$5,NFI,5,0),1,0)*Data_NFI_t[[#This Row],[Sanitary Kit]],0)</f>
        <v>0</v>
      </c>
      <c r="AA454" s="112">
        <f>IF(NFI_Expiration=1,IF($A454&lt;VLOOKUP(L$5,NFI,5,0),1,0)*Data_NFI_t[[#This Row],[Mosquito net]],0)</f>
        <v>0</v>
      </c>
      <c r="AB454" s="112">
        <f>IF(NFI_Expiration=1,IF($A454&lt;VLOOKUP(M$5,NFI,5,0),1,0)*Data_NFI_t[[#This Row],[Tarpaulin]],0)</f>
        <v>0</v>
      </c>
      <c r="AC454" s="112">
        <f>IF(NFI_Expiration=1,IF($A454&lt;VLOOKUP(N$5,NFI,5,0),1,0)*Data_NFI_t[[#This Row],[Blanket]],0)</f>
        <v>0</v>
      </c>
      <c r="AD454" s="112">
        <f>IF(NFI_Expiration=1,IF($A454&lt;VLOOKUP(O$5,NFI,5,0),1,0)*Data_NFI_t[[#This Row],[Kitchen Set]],0)</f>
        <v>0</v>
      </c>
      <c r="AE454" s="112">
        <f>IF(NFI_Expiration=1,IF($A454&lt;VLOOKUP(P$5,NFI,5,0),1,0)*Data_NFI_t[[#This Row],[Complementary Kit]],0)</f>
        <v>0</v>
      </c>
      <c r="AF454" s="112">
        <f>IF(NFI_Expiration=1,IF($A454&lt;VLOOKUP(Q$5,NFI,5,0),1,0)*Data_NFI_t[[#This Row],[Plastic Bucket]],0)</f>
        <v>0</v>
      </c>
      <c r="AG454" s="112">
        <f>IF(NFI_Expiration=1,IF($A454&lt;VLOOKUP(R$5,NFI,5,0),1,0)*Data_NFI_t[[#This Row],[Jerry Can]],0)</f>
        <v>0</v>
      </c>
      <c r="AH454" s="131">
        <f>IF(NFI_Expiration=1,IF($A454&lt;VLOOKUP(S$5,NFI,5,0),1,0)*Data_NFI_t[[#This Row],[Plastic Mat]],0)*IF(Data_NFI_t[[#This Row],[Distribution Date]]&gt;"01-06-2015",1,2.5)</f>
        <v>0</v>
      </c>
      <c r="AI454" s="901">
        <f>IF(NFI_Expiration=1,IF($A454&lt;VLOOKUP(T$5,NFI,5,0),1,0)*Data_NFI_t[[#This Row],[Adult Clothes]],0)</f>
        <v>0</v>
      </c>
      <c r="AJ454" s="131">
        <f>IF(NFI_Expiration=1,IF($A454&lt;VLOOKUP(U$5,NFI,5,0),1,0)*Data_NFI_t[[#This Row],[Children Clothes]],0)</f>
        <v>0</v>
      </c>
      <c r="AK454" s="131">
        <f>IF(NFI_Expiration=1,IF($A454&lt;VLOOKUP(V$5,NFI,5,0),1,0)*Data_NFI_t[[#This Row],[Sewing Kit]],0)</f>
        <v>0</v>
      </c>
      <c r="AL454" s="901">
        <f>IF(NFI_Expiration=1,IF($A454&lt;VLOOKUP(V$5,NFI,5,0),1,0)*Data_NFI_t[[#This Row],[Solar Lantern]],0)</f>
        <v>0</v>
      </c>
      <c r="AM454" s="131" t="str">
        <f ca="1">IFERROR(OFFSET(Camp_List[P_Code],MATCH(Data_NFI_t[[#This Row],[Camp Name]],Camp_List[Camp Name],0)-1,0,1,1),"")</f>
        <v/>
      </c>
      <c r="AN454" s="513" t="str">
        <f ca="1">IFERROR(OFFSET(Camp_List[Status],MATCH(Data_NFI_t[[#This Row],[Camp Name]],Camp_List[Camp Name],0)-1,0,1,1),"")</f>
        <v/>
      </c>
      <c r="AO454" s="131"/>
    </row>
    <row r="455" spans="1:41" ht="19.5" customHeight="1" x14ac:dyDescent="0.25">
      <c r="A455" s="242">
        <f t="shared" si="8"/>
        <v>58.966666666666669</v>
      </c>
      <c r="B455" s="522">
        <f>YEAR(Data_NFI_t[[#This Row],[Distribution Date]])</f>
        <v>2012</v>
      </c>
      <c r="C455" s="913">
        <v>41087</v>
      </c>
      <c r="D455" s="489" t="s">
        <v>285</v>
      </c>
      <c r="E455" s="488"/>
      <c r="F455" s="489" t="s">
        <v>7</v>
      </c>
      <c r="G455" s="790" t="s">
        <v>19</v>
      </c>
      <c r="H455" s="790" t="s">
        <v>247</v>
      </c>
      <c r="I455" s="790"/>
      <c r="J455" s="51"/>
      <c r="K455" s="51"/>
      <c r="L455" s="119"/>
      <c r="M455" s="119">
        <v>200</v>
      </c>
      <c r="N455" s="119"/>
      <c r="O455" s="119"/>
      <c r="P455" s="119"/>
      <c r="Q455" s="119"/>
      <c r="R455" s="512"/>
      <c r="S455" s="119"/>
      <c r="T455" s="119"/>
      <c r="U455" s="119"/>
      <c r="V455" s="119"/>
      <c r="W455" s="119"/>
      <c r="X455" s="131">
        <f>IF(NFI_Expiration=1,IF($A455&lt;VLOOKUP(I$5,NFI,5,0),1,0)*Data_NFI_t[[#This Row],[Hygiene Kit]],0)</f>
        <v>0</v>
      </c>
      <c r="Y455" s="131">
        <f>IF(NFI_Expiration=1,IF($A455&lt;VLOOKUP(J$5,NFI,5,0),1,0)*Data_NFI_t[[#This Row],[NFI Core Kit]],0)</f>
        <v>0</v>
      </c>
      <c r="Z455" s="112">
        <f>IF(NFI_Expiration=1,IF($A455&lt;VLOOKUP(K$5,NFI,5,0),1,0)*Data_NFI_t[[#This Row],[Sanitary Kit]],0)</f>
        <v>0</v>
      </c>
      <c r="AA455" s="112">
        <f>IF(NFI_Expiration=1,IF($A455&lt;VLOOKUP(L$5,NFI,5,0),1,0)*Data_NFI_t[[#This Row],[Mosquito net]],0)</f>
        <v>0</v>
      </c>
      <c r="AB455" s="112">
        <f>IF(NFI_Expiration=1,IF($A455&lt;VLOOKUP(M$5,NFI,5,0),1,0)*Data_NFI_t[[#This Row],[Tarpaulin]],0)</f>
        <v>0</v>
      </c>
      <c r="AC455" s="112">
        <f>IF(NFI_Expiration=1,IF($A455&lt;VLOOKUP(N$5,NFI,5,0),1,0)*Data_NFI_t[[#This Row],[Blanket]],0)</f>
        <v>0</v>
      </c>
      <c r="AD455" s="112">
        <f>IF(NFI_Expiration=1,IF($A455&lt;VLOOKUP(O$5,NFI,5,0),1,0)*Data_NFI_t[[#This Row],[Kitchen Set]],0)</f>
        <v>0</v>
      </c>
      <c r="AE455" s="112">
        <f>IF(NFI_Expiration=1,IF($A455&lt;VLOOKUP(P$5,NFI,5,0),1,0)*Data_NFI_t[[#This Row],[Complementary Kit]],0)</f>
        <v>0</v>
      </c>
      <c r="AF455" s="112">
        <f>IF(NFI_Expiration=1,IF($A455&lt;VLOOKUP(Q$5,NFI,5,0),1,0)*Data_NFI_t[[#This Row],[Plastic Bucket]],0)</f>
        <v>0</v>
      </c>
      <c r="AG455" s="112">
        <f>IF(NFI_Expiration=1,IF($A455&lt;VLOOKUP(R$5,NFI,5,0),1,0)*Data_NFI_t[[#This Row],[Jerry Can]],0)</f>
        <v>0</v>
      </c>
      <c r="AH455" s="131">
        <f>IF(NFI_Expiration=1,IF($A455&lt;VLOOKUP(S$5,NFI,5,0),1,0)*Data_NFI_t[[#This Row],[Plastic Mat]],0)*IF(Data_NFI_t[[#This Row],[Distribution Date]]&gt;"01-06-2015",1,2.5)</f>
        <v>0</v>
      </c>
      <c r="AI455" s="901">
        <f>IF(NFI_Expiration=1,IF($A455&lt;VLOOKUP(T$5,NFI,5,0),1,0)*Data_NFI_t[[#This Row],[Adult Clothes]],0)</f>
        <v>0</v>
      </c>
      <c r="AJ455" s="131">
        <f>IF(NFI_Expiration=1,IF($A455&lt;VLOOKUP(U$5,NFI,5,0),1,0)*Data_NFI_t[[#This Row],[Children Clothes]],0)</f>
        <v>0</v>
      </c>
      <c r="AK455" s="131">
        <f>IF(NFI_Expiration=1,IF($A455&lt;VLOOKUP(V$5,NFI,5,0),1,0)*Data_NFI_t[[#This Row],[Sewing Kit]],0)</f>
        <v>0</v>
      </c>
      <c r="AL455" s="901">
        <f>IF(NFI_Expiration=1,IF($A455&lt;VLOOKUP(V$5,NFI,5,0),1,0)*Data_NFI_t[[#This Row],[Solar Lantern]],0)</f>
        <v>0</v>
      </c>
      <c r="AM455" s="131" t="str">
        <f ca="1">IFERROR(OFFSET(Camp_List[P_Code],MATCH(Data_NFI_t[[#This Row],[Camp Name]],Camp_List[Camp Name],0)-1,0,1,1),"")</f>
        <v/>
      </c>
      <c r="AN455" s="513" t="str">
        <f ca="1">IFERROR(OFFSET(Camp_List[Status],MATCH(Data_NFI_t[[#This Row],[Camp Name]],Camp_List[Camp Name],0)-1,0,1,1),"")</f>
        <v/>
      </c>
      <c r="AO455" s="131"/>
    </row>
    <row r="456" spans="1:41" ht="19.5" customHeight="1" x14ac:dyDescent="0.25">
      <c r="A456" s="242"/>
      <c r="B456" s="522"/>
      <c r="C456" s="913"/>
      <c r="D456" s="489"/>
      <c r="E456" s="488"/>
      <c r="F456" s="489"/>
      <c r="G456" s="790"/>
      <c r="H456" s="790"/>
      <c r="I456" s="790"/>
      <c r="J456" s="51"/>
      <c r="K456" s="51"/>
      <c r="L456" s="119"/>
      <c r="M456" s="119"/>
      <c r="N456" s="119"/>
      <c r="O456" s="119"/>
      <c r="P456" s="119"/>
      <c r="Q456" s="119"/>
      <c r="R456" s="512"/>
      <c r="S456" s="119"/>
      <c r="T456" s="119"/>
      <c r="U456" s="119"/>
      <c r="V456" s="119"/>
      <c r="W456" s="119"/>
      <c r="X456" s="131"/>
      <c r="Y456" s="131"/>
      <c r="Z456" s="112"/>
      <c r="AA456" s="112"/>
      <c r="AB456" s="112"/>
      <c r="AC456" s="112"/>
      <c r="AD456" s="112"/>
      <c r="AE456" s="112"/>
      <c r="AF456" s="112"/>
      <c r="AG456" s="131"/>
      <c r="AH456" s="131"/>
      <c r="AI456" s="901">
        <f>IF(NFI_Expiration=1,IF($A456&lt;VLOOKUP(T$5,NFI,5,0),1,0)*Data_NFI_t[[#This Row],[Adult Clothes]],0)</f>
        <v>0</v>
      </c>
      <c r="AJ456" s="131">
        <f>IF(NFI_Expiration=1,IF($A456&lt;VLOOKUP(U$5,NFI,5,0),1,0)*Data_NFI_t[[#This Row],[Children Clothes]],0)</f>
        <v>0</v>
      </c>
      <c r="AK456" s="131">
        <f>IF(NFI_Expiration=1,IF($A456&lt;VLOOKUP(V$5,NFI,5,0),1,0)*Data_NFI_t[[#This Row],[Sewing Kit]],0)</f>
        <v>0</v>
      </c>
      <c r="AL456" s="901">
        <f>IF(NFI_Expiration=1,IF($A456&lt;VLOOKUP(V$5,NFI,5,0),1,0)*Data_NFI_t[[#This Row],[Solar Lantern]],0)</f>
        <v>0</v>
      </c>
      <c r="AM456" s="131"/>
      <c r="AN456" s="513"/>
      <c r="AO456" s="131"/>
    </row>
    <row r="457" spans="1:41" s="789" customFormat="1" ht="19.5" customHeight="1" x14ac:dyDescent="0.25">
      <c r="A457" s="242" t="str">
        <f t="shared" ref="A457:A488" si="9">IF(ISBLANK(C457),"",(Report_Date-C457)/30)</f>
        <v/>
      </c>
      <c r="B457" s="522">
        <f>YEAR(Data_NFI_t[[#This Row],[Distribution Date]])</f>
        <v>1900</v>
      </c>
      <c r="C457" s="913"/>
      <c r="D457" s="489"/>
      <c r="E457" s="488"/>
      <c r="F457" s="489"/>
      <c r="G457" s="790"/>
      <c r="H457" s="790"/>
      <c r="I457" s="790"/>
      <c r="J457" s="51"/>
      <c r="K457" s="51"/>
      <c r="L457" s="119"/>
      <c r="M457" s="119"/>
      <c r="N457" s="119"/>
      <c r="O457" s="119"/>
      <c r="P457" s="119"/>
      <c r="Q457" s="119"/>
      <c r="R457" s="512"/>
      <c r="S457" s="119"/>
      <c r="T457" s="119"/>
      <c r="U457" s="119"/>
      <c r="V457" s="119"/>
      <c r="W457" s="119"/>
      <c r="X457" s="131">
        <f>IF(NFI_Expiration=1,IF($A457&lt;VLOOKUP(I$5,NFI,5,0),1,0)*Data_NFI_t[[#This Row],[Hygiene Kit]],0)</f>
        <v>0</v>
      </c>
      <c r="Y457" s="131">
        <f>IF(NFI_Expiration=1,IF($A457&lt;VLOOKUP(J$5,NFI,5,0),1,0)*Data_NFI_t[[#This Row],[NFI Core Kit]],0)</f>
        <v>0</v>
      </c>
      <c r="Z457" s="112">
        <f>IF(NFI_Expiration=1,IF($A457&lt;VLOOKUP(K$5,NFI,5,0),1,0)*Data_NFI_t[[#This Row],[Sanitary Kit]],0)</f>
        <v>0</v>
      </c>
      <c r="AA457" s="112">
        <f>IF(NFI_Expiration=1,IF($A457&lt;VLOOKUP(L$5,NFI,5,0),1,0)*Data_NFI_t[[#This Row],[Mosquito net]],0)</f>
        <v>0</v>
      </c>
      <c r="AB457" s="112">
        <f>IF(NFI_Expiration=1,IF($A457&lt;VLOOKUP(M$5,NFI,5,0),1,0)*Data_NFI_t[[#This Row],[Tarpaulin]],0)</f>
        <v>0</v>
      </c>
      <c r="AC457" s="112">
        <f>IF(NFI_Expiration=1,IF($A457&lt;VLOOKUP(N$5,NFI,5,0),1,0)*Data_NFI_t[[#This Row],[Blanket]],0)</f>
        <v>0</v>
      </c>
      <c r="AD457" s="112">
        <f>IF(NFI_Expiration=1,IF($A457&lt;VLOOKUP(O$5,NFI,5,0),1,0)*Data_NFI_t[[#This Row],[Kitchen Set]],0)</f>
        <v>0</v>
      </c>
      <c r="AE457" s="112">
        <f>IF(NFI_Expiration=1,IF($A457&lt;VLOOKUP(P$5,NFI,5,0),1,0)*Data_NFI_t[[#This Row],[Complementary Kit]],0)</f>
        <v>0</v>
      </c>
      <c r="AF457" s="112">
        <f>IF(NFI_Expiration=1,IF($A457&lt;VLOOKUP(Q$5,NFI,5,0),1,0)*Data_NFI_t[[#This Row],[Plastic Bucket]],0)</f>
        <v>0</v>
      </c>
      <c r="AG457" s="131">
        <f>IF(NFI_Expiration=1,IF($A457&lt;VLOOKUP(R$5,NFI,5,0),1,0)*Data_NFI_t[[#This Row],[Jerry Can]],0)</f>
        <v>0</v>
      </c>
      <c r="AH457" s="131">
        <f>IF(NFI_Expiration=1,IF($A457&lt;VLOOKUP(S$5,NFI,5,0),1,0)*Data_NFI_t[[#This Row],[Plastic Mat]],0)*IF(Data_NFI_t[[#This Row],[Distribution Date]]&gt;"01-06-2015",1,2.5)</f>
        <v>0</v>
      </c>
      <c r="AI457" s="901">
        <f>IF(NFI_Expiration=1,IF($A457&lt;VLOOKUP(T$5,NFI,5,0),1,0)*Data_NFI_t[[#This Row],[Adult Clothes]],0)</f>
        <v>0</v>
      </c>
      <c r="AJ457" s="131">
        <f>IF(NFI_Expiration=1,IF($A457&lt;VLOOKUP(U$5,NFI,5,0),1,0)*Data_NFI_t[[#This Row],[Children Clothes]],0)</f>
        <v>0</v>
      </c>
      <c r="AK457" s="131">
        <f>IF(NFI_Expiration=1,IF($A457&lt;VLOOKUP(V$5,NFI,5,0),1,0)*Data_NFI_t[[#This Row],[Sewing Kit]],0)</f>
        <v>0</v>
      </c>
      <c r="AL457" s="901">
        <f>IF(NFI_Expiration=1,IF($A457&lt;VLOOKUP(V$5,NFI,5,0),1,0)*Data_NFI_t[[#This Row],[Solar Lantern]],0)</f>
        <v>0</v>
      </c>
      <c r="AM457" s="131" t="str">
        <f ca="1">IFERROR(OFFSET(Camp_List[P_Code],MATCH(Data_NFI_t[[#This Row],[Camp Name]],Camp_List[Camp Name],0)-1,0,1,1),"")</f>
        <v/>
      </c>
      <c r="AN457" s="513" t="str">
        <f ca="1">IFERROR(OFFSET(Camp_List[Status],MATCH(Data_NFI_t[[#This Row],[Camp Name]],Camp_List[Camp Name],0)-1,0,1,1),"")</f>
        <v/>
      </c>
      <c r="AO457" s="131"/>
    </row>
    <row r="458" spans="1:41" s="789" customFormat="1" ht="19.5" customHeight="1" x14ac:dyDescent="0.25">
      <c r="A458" s="242" t="str">
        <f t="shared" si="9"/>
        <v/>
      </c>
      <c r="B458" s="522">
        <f>YEAR(Data_NFI_t[[#This Row],[Distribution Date]])</f>
        <v>1900</v>
      </c>
      <c r="C458" s="913"/>
      <c r="D458" s="489"/>
      <c r="E458" s="488"/>
      <c r="F458" s="489"/>
      <c r="G458" s="790"/>
      <c r="H458" s="790"/>
      <c r="I458" s="790"/>
      <c r="J458" s="51"/>
      <c r="K458" s="51"/>
      <c r="L458" s="119"/>
      <c r="M458" s="119"/>
      <c r="N458" s="119"/>
      <c r="O458" s="119"/>
      <c r="P458" s="119"/>
      <c r="Q458" s="119"/>
      <c r="R458" s="512"/>
      <c r="S458" s="119"/>
      <c r="T458" s="119"/>
      <c r="U458" s="119"/>
      <c r="V458" s="119"/>
      <c r="W458" s="119"/>
      <c r="X458" s="131">
        <f>IF(NFI_Expiration=1,IF($A458&lt;VLOOKUP(I$5,NFI,5,0),1,0)*Data_NFI_t[[#This Row],[Hygiene Kit]],0)</f>
        <v>0</v>
      </c>
      <c r="Y458" s="131">
        <f>IF(NFI_Expiration=1,IF($A458&lt;VLOOKUP(J$5,NFI,5,0),1,0)*Data_NFI_t[[#This Row],[NFI Core Kit]],0)</f>
        <v>0</v>
      </c>
      <c r="Z458" s="112">
        <f>IF(NFI_Expiration=1,IF($A458&lt;VLOOKUP(K$5,NFI,5,0),1,0)*Data_NFI_t[[#This Row],[Sanitary Kit]],0)</f>
        <v>0</v>
      </c>
      <c r="AA458" s="112">
        <f>IF(NFI_Expiration=1,IF($A458&lt;VLOOKUP(L$5,NFI,5,0),1,0)*Data_NFI_t[[#This Row],[Mosquito net]],0)</f>
        <v>0</v>
      </c>
      <c r="AB458" s="112">
        <f>IF(NFI_Expiration=1,IF($A458&lt;VLOOKUP(M$5,NFI,5,0),1,0)*Data_NFI_t[[#This Row],[Tarpaulin]],0)</f>
        <v>0</v>
      </c>
      <c r="AC458" s="112">
        <f>IF(NFI_Expiration=1,IF($A458&lt;VLOOKUP(N$5,NFI,5,0),1,0)*Data_NFI_t[[#This Row],[Blanket]],0)</f>
        <v>0</v>
      </c>
      <c r="AD458" s="112">
        <f>IF(NFI_Expiration=1,IF($A458&lt;VLOOKUP(O$5,NFI,5,0),1,0)*Data_NFI_t[[#This Row],[Kitchen Set]],0)</f>
        <v>0</v>
      </c>
      <c r="AE458" s="112">
        <f>IF(NFI_Expiration=1,IF($A458&lt;VLOOKUP(P$5,NFI,5,0),1,0)*Data_NFI_t[[#This Row],[Complementary Kit]],0)</f>
        <v>0</v>
      </c>
      <c r="AF458" s="112">
        <f>IF(NFI_Expiration=1,IF($A458&lt;VLOOKUP(Q$5,NFI,5,0),1,0)*Data_NFI_t[[#This Row],[Plastic Bucket]],0)</f>
        <v>0</v>
      </c>
      <c r="AG458" s="131">
        <f>IF(NFI_Expiration=1,IF($A458&lt;VLOOKUP(R$5,NFI,5,0),1,0)*Data_NFI_t[[#This Row],[Jerry Can]],0)</f>
        <v>0</v>
      </c>
      <c r="AH458" s="131">
        <f>IF(NFI_Expiration=1,IF($A458&lt;VLOOKUP(S$5,NFI,5,0),1,0)*Data_NFI_t[[#This Row],[Plastic Mat]],0)*IF(Data_NFI_t[[#This Row],[Distribution Date]]&gt;"01-06-2015",1,2.5)</f>
        <v>0</v>
      </c>
      <c r="AI458" s="901">
        <f>IF(NFI_Expiration=1,IF($A458&lt;VLOOKUP(T$5,NFI,5,0),1,0)*Data_NFI_t[[#This Row],[Adult Clothes]],0)</f>
        <v>0</v>
      </c>
      <c r="AJ458" s="131">
        <f>IF(NFI_Expiration=1,IF($A458&lt;VLOOKUP(U$5,NFI,5,0),1,0)*Data_NFI_t[[#This Row],[Children Clothes]],0)</f>
        <v>0</v>
      </c>
      <c r="AK458" s="131">
        <f>IF(NFI_Expiration=1,IF($A458&lt;VLOOKUP(V$5,NFI,5,0),1,0)*Data_NFI_t[[#This Row],[Sewing Kit]],0)</f>
        <v>0</v>
      </c>
      <c r="AL458" s="901">
        <f>IF(NFI_Expiration=1,IF($A458&lt;VLOOKUP(V$5,NFI,5,0),1,0)*Data_NFI_t[[#This Row],[Solar Lantern]],0)</f>
        <v>0</v>
      </c>
      <c r="AM458" s="131" t="str">
        <f ca="1">IFERROR(OFFSET(Camp_List[P_Code],MATCH(Data_NFI_t[[#This Row],[Camp Name]],Camp_List[Camp Name],0)-1,0,1,1),"")</f>
        <v/>
      </c>
      <c r="AN458" s="513" t="str">
        <f ca="1">IFERROR(OFFSET(Camp_List[Status],MATCH(Data_NFI_t[[#This Row],[Camp Name]],Camp_List[Camp Name],0)-1,0,1,1),"")</f>
        <v/>
      </c>
      <c r="AO458" s="131"/>
    </row>
    <row r="459" spans="1:41" s="789" customFormat="1" ht="19.5" customHeight="1" x14ac:dyDescent="0.25">
      <c r="A459" s="242" t="str">
        <f t="shared" si="9"/>
        <v/>
      </c>
      <c r="B459" s="522">
        <f>YEAR(Data_NFI_t[[#This Row],[Distribution Date]])</f>
        <v>1900</v>
      </c>
      <c r="C459" s="913"/>
      <c r="D459" s="489"/>
      <c r="E459" s="488"/>
      <c r="F459" s="489"/>
      <c r="G459" s="790"/>
      <c r="H459" s="790"/>
      <c r="I459" s="790"/>
      <c r="J459" s="51"/>
      <c r="K459" s="51"/>
      <c r="L459" s="119"/>
      <c r="M459" s="119"/>
      <c r="N459" s="119"/>
      <c r="O459" s="119"/>
      <c r="P459" s="119"/>
      <c r="Q459" s="119"/>
      <c r="R459" s="512"/>
      <c r="S459" s="119"/>
      <c r="T459" s="119"/>
      <c r="U459" s="119"/>
      <c r="V459" s="119"/>
      <c r="W459" s="119"/>
      <c r="X459" s="131">
        <f>IF(NFI_Expiration=1,IF($A459&lt;VLOOKUP(I$5,NFI,5,0),1,0)*Data_NFI_t[[#This Row],[Hygiene Kit]],0)</f>
        <v>0</v>
      </c>
      <c r="Y459" s="131">
        <f>IF(NFI_Expiration=1,IF($A459&lt;VLOOKUP(J$5,NFI,5,0),1,0)*Data_NFI_t[[#This Row],[NFI Core Kit]],0)</f>
        <v>0</v>
      </c>
      <c r="Z459" s="112">
        <f>IF(NFI_Expiration=1,IF($A459&lt;VLOOKUP(K$5,NFI,5,0),1,0)*Data_NFI_t[[#This Row],[Sanitary Kit]],0)</f>
        <v>0</v>
      </c>
      <c r="AA459" s="112">
        <f>IF(NFI_Expiration=1,IF($A459&lt;VLOOKUP(L$5,NFI,5,0),1,0)*Data_NFI_t[[#This Row],[Mosquito net]],0)</f>
        <v>0</v>
      </c>
      <c r="AB459" s="112">
        <f>IF(NFI_Expiration=1,IF($A459&lt;VLOOKUP(M$5,NFI,5,0),1,0)*Data_NFI_t[[#This Row],[Tarpaulin]],0)</f>
        <v>0</v>
      </c>
      <c r="AC459" s="112">
        <f>IF(NFI_Expiration=1,IF($A459&lt;VLOOKUP(N$5,NFI,5,0),1,0)*Data_NFI_t[[#This Row],[Blanket]],0)</f>
        <v>0</v>
      </c>
      <c r="AD459" s="112">
        <f>IF(NFI_Expiration=1,IF($A459&lt;VLOOKUP(O$5,NFI,5,0),1,0)*Data_NFI_t[[#This Row],[Kitchen Set]],0)</f>
        <v>0</v>
      </c>
      <c r="AE459" s="112">
        <f>IF(NFI_Expiration=1,IF($A459&lt;VLOOKUP(P$5,NFI,5,0),1,0)*Data_NFI_t[[#This Row],[Complementary Kit]],0)</f>
        <v>0</v>
      </c>
      <c r="AF459" s="112">
        <f>IF(NFI_Expiration=1,IF($A459&lt;VLOOKUP(Q$5,NFI,5,0),1,0)*Data_NFI_t[[#This Row],[Plastic Bucket]],0)</f>
        <v>0</v>
      </c>
      <c r="AG459" s="131">
        <f>IF(NFI_Expiration=1,IF($A459&lt;VLOOKUP(R$5,NFI,5,0),1,0)*Data_NFI_t[[#This Row],[Jerry Can]],0)</f>
        <v>0</v>
      </c>
      <c r="AH459" s="131">
        <f>IF(NFI_Expiration=1,IF($A459&lt;VLOOKUP(S$5,NFI,5,0),1,0)*Data_NFI_t[[#This Row],[Plastic Mat]],0)*IF(Data_NFI_t[[#This Row],[Distribution Date]]&gt;"01-06-2015",1,2.5)</f>
        <v>0</v>
      </c>
      <c r="AI459" s="901">
        <f>IF(NFI_Expiration=1,IF($A459&lt;VLOOKUP(T$5,NFI,5,0),1,0)*Data_NFI_t[[#This Row],[Adult Clothes]],0)</f>
        <v>0</v>
      </c>
      <c r="AJ459" s="131">
        <f>IF(NFI_Expiration=1,IF($A459&lt;VLOOKUP(U$5,NFI,5,0),1,0)*Data_NFI_t[[#This Row],[Children Clothes]],0)</f>
        <v>0</v>
      </c>
      <c r="AK459" s="131">
        <f>IF(NFI_Expiration=1,IF($A459&lt;VLOOKUP(V$5,NFI,5,0),1,0)*Data_NFI_t[[#This Row],[Sewing Kit]],0)</f>
        <v>0</v>
      </c>
      <c r="AL459" s="901">
        <f>IF(NFI_Expiration=1,IF($A459&lt;VLOOKUP(V$5,NFI,5,0),1,0)*Data_NFI_t[[#This Row],[Solar Lantern]],0)</f>
        <v>0</v>
      </c>
      <c r="AM459" s="131" t="str">
        <f ca="1">IFERROR(OFFSET(Camp_List[P_Code],MATCH(Data_NFI_t[[#This Row],[Camp Name]],Camp_List[Camp Name],0)-1,0,1,1),"")</f>
        <v/>
      </c>
      <c r="AN459" s="513" t="str">
        <f ca="1">IFERROR(OFFSET(Camp_List[Status],MATCH(Data_NFI_t[[#This Row],[Camp Name]],Camp_List[Camp Name],0)-1,0,1,1),"")</f>
        <v/>
      </c>
      <c r="AO459" s="131"/>
    </row>
    <row r="460" spans="1:41" s="789" customFormat="1" ht="19.5" customHeight="1" x14ac:dyDescent="0.25">
      <c r="A460" s="242" t="str">
        <f t="shared" si="9"/>
        <v/>
      </c>
      <c r="B460" s="522">
        <f>YEAR(Data_NFI_t[[#This Row],[Distribution Date]])</f>
        <v>1900</v>
      </c>
      <c r="C460" s="913"/>
      <c r="D460" s="489"/>
      <c r="E460" s="488"/>
      <c r="F460" s="489"/>
      <c r="G460" s="790"/>
      <c r="H460" s="790"/>
      <c r="I460" s="790"/>
      <c r="J460" s="51"/>
      <c r="K460" s="51"/>
      <c r="L460" s="119"/>
      <c r="M460" s="119"/>
      <c r="N460" s="119"/>
      <c r="O460" s="119"/>
      <c r="P460" s="119"/>
      <c r="Q460" s="119"/>
      <c r="R460" s="512"/>
      <c r="S460" s="119"/>
      <c r="T460" s="119"/>
      <c r="U460" s="119"/>
      <c r="V460" s="119"/>
      <c r="W460" s="119"/>
      <c r="X460" s="131">
        <f>IF(NFI_Expiration=1,IF($A460&lt;VLOOKUP(I$5,NFI,5,0),1,0)*Data_NFI_t[[#This Row],[Hygiene Kit]],0)</f>
        <v>0</v>
      </c>
      <c r="Y460" s="131">
        <f>IF(NFI_Expiration=1,IF($A460&lt;VLOOKUP(J$5,NFI,5,0),1,0)*Data_NFI_t[[#This Row],[NFI Core Kit]],0)</f>
        <v>0</v>
      </c>
      <c r="Z460" s="112">
        <f>IF(NFI_Expiration=1,IF($A460&lt;VLOOKUP(K$5,NFI,5,0),1,0)*Data_NFI_t[[#This Row],[Sanitary Kit]],0)</f>
        <v>0</v>
      </c>
      <c r="AA460" s="112">
        <f>IF(NFI_Expiration=1,IF($A460&lt;VLOOKUP(L$5,NFI,5,0),1,0)*Data_NFI_t[[#This Row],[Mosquito net]],0)</f>
        <v>0</v>
      </c>
      <c r="AB460" s="112">
        <f>IF(NFI_Expiration=1,IF($A460&lt;VLOOKUP(M$5,NFI,5,0),1,0)*Data_NFI_t[[#This Row],[Tarpaulin]],0)</f>
        <v>0</v>
      </c>
      <c r="AC460" s="112">
        <f>IF(NFI_Expiration=1,IF($A460&lt;VLOOKUP(N$5,NFI,5,0),1,0)*Data_NFI_t[[#This Row],[Blanket]],0)</f>
        <v>0</v>
      </c>
      <c r="AD460" s="112">
        <f>IF(NFI_Expiration=1,IF($A460&lt;VLOOKUP(O$5,NFI,5,0),1,0)*Data_NFI_t[[#This Row],[Kitchen Set]],0)</f>
        <v>0</v>
      </c>
      <c r="AE460" s="112">
        <f>IF(NFI_Expiration=1,IF($A460&lt;VLOOKUP(P$5,NFI,5,0),1,0)*Data_NFI_t[[#This Row],[Complementary Kit]],0)</f>
        <v>0</v>
      </c>
      <c r="AF460" s="112">
        <f>IF(NFI_Expiration=1,IF($A460&lt;VLOOKUP(Q$5,NFI,5,0),1,0)*Data_NFI_t[[#This Row],[Plastic Bucket]],0)</f>
        <v>0</v>
      </c>
      <c r="AG460" s="131">
        <f>IF(NFI_Expiration=1,IF($A460&lt;VLOOKUP(R$5,NFI,5,0),1,0)*Data_NFI_t[[#This Row],[Jerry Can]],0)</f>
        <v>0</v>
      </c>
      <c r="AH460" s="131">
        <f>IF(NFI_Expiration=1,IF($A460&lt;VLOOKUP(S$5,NFI,5,0),1,0)*Data_NFI_t[[#This Row],[Plastic Mat]],0)*IF(Data_NFI_t[[#This Row],[Distribution Date]]&gt;"01-06-2015",1,2.5)</f>
        <v>0</v>
      </c>
      <c r="AI460" s="901">
        <f>IF(NFI_Expiration=1,IF($A460&lt;VLOOKUP(T$5,NFI,5,0),1,0)*Data_NFI_t[[#This Row],[Adult Clothes]],0)</f>
        <v>0</v>
      </c>
      <c r="AJ460" s="131">
        <f>IF(NFI_Expiration=1,IF($A460&lt;VLOOKUP(U$5,NFI,5,0),1,0)*Data_NFI_t[[#This Row],[Children Clothes]],0)</f>
        <v>0</v>
      </c>
      <c r="AK460" s="131">
        <f>IF(NFI_Expiration=1,IF($A460&lt;VLOOKUP(V$5,NFI,5,0),1,0)*Data_NFI_t[[#This Row],[Sewing Kit]],0)</f>
        <v>0</v>
      </c>
      <c r="AL460" s="901">
        <f>IF(NFI_Expiration=1,IF($A460&lt;VLOOKUP(V$5,NFI,5,0),1,0)*Data_NFI_t[[#This Row],[Solar Lantern]],0)</f>
        <v>0</v>
      </c>
      <c r="AM460" s="131" t="str">
        <f ca="1">IFERROR(OFFSET(Camp_List[P_Code],MATCH(Data_NFI_t[[#This Row],[Camp Name]],Camp_List[Camp Name],0)-1,0,1,1),"")</f>
        <v/>
      </c>
      <c r="AN460" s="513" t="str">
        <f ca="1">IFERROR(OFFSET(Camp_List[Status],MATCH(Data_NFI_t[[#This Row],[Camp Name]],Camp_List[Camp Name],0)-1,0,1,1),"")</f>
        <v/>
      </c>
      <c r="AO460" s="131"/>
    </row>
    <row r="461" spans="1:41" s="789" customFormat="1" ht="19.5" customHeight="1" x14ac:dyDescent="0.25">
      <c r="A461" s="242" t="str">
        <f t="shared" si="9"/>
        <v/>
      </c>
      <c r="B461" s="522">
        <f>YEAR(Data_NFI_t[[#This Row],[Distribution Date]])</f>
        <v>1900</v>
      </c>
      <c r="C461" s="913"/>
      <c r="D461" s="489"/>
      <c r="E461" s="488"/>
      <c r="F461" s="489"/>
      <c r="G461" s="790"/>
      <c r="H461" s="790"/>
      <c r="I461" s="790"/>
      <c r="J461" s="51"/>
      <c r="K461" s="51"/>
      <c r="L461" s="119"/>
      <c r="M461" s="119"/>
      <c r="N461" s="119"/>
      <c r="O461" s="119"/>
      <c r="P461" s="119"/>
      <c r="Q461" s="119"/>
      <c r="R461" s="512"/>
      <c r="S461" s="119"/>
      <c r="T461" s="119"/>
      <c r="U461" s="119"/>
      <c r="V461" s="119"/>
      <c r="W461" s="119"/>
      <c r="X461" s="131">
        <f>IF(NFI_Expiration=1,IF($A461&lt;VLOOKUP(I$5,NFI,5,0),1,0)*Data_NFI_t[[#This Row],[Hygiene Kit]],0)</f>
        <v>0</v>
      </c>
      <c r="Y461" s="131">
        <f>IF(NFI_Expiration=1,IF($A461&lt;VLOOKUP(J$5,NFI,5,0),1,0)*Data_NFI_t[[#This Row],[NFI Core Kit]],0)</f>
        <v>0</v>
      </c>
      <c r="Z461" s="112">
        <f>IF(NFI_Expiration=1,IF($A461&lt;VLOOKUP(K$5,NFI,5,0),1,0)*Data_NFI_t[[#This Row],[Sanitary Kit]],0)</f>
        <v>0</v>
      </c>
      <c r="AA461" s="112">
        <f>IF(NFI_Expiration=1,IF($A461&lt;VLOOKUP(L$5,NFI,5,0),1,0)*Data_NFI_t[[#This Row],[Mosquito net]],0)</f>
        <v>0</v>
      </c>
      <c r="AB461" s="112">
        <f>IF(NFI_Expiration=1,IF($A461&lt;VLOOKUP(M$5,NFI,5,0),1,0)*Data_NFI_t[[#This Row],[Tarpaulin]],0)</f>
        <v>0</v>
      </c>
      <c r="AC461" s="112">
        <f>IF(NFI_Expiration=1,IF($A461&lt;VLOOKUP(N$5,NFI,5,0),1,0)*Data_NFI_t[[#This Row],[Blanket]],0)</f>
        <v>0</v>
      </c>
      <c r="AD461" s="112">
        <f>IF(NFI_Expiration=1,IF($A461&lt;VLOOKUP(O$5,NFI,5,0),1,0)*Data_NFI_t[[#This Row],[Kitchen Set]],0)</f>
        <v>0</v>
      </c>
      <c r="AE461" s="112">
        <f>IF(NFI_Expiration=1,IF($A461&lt;VLOOKUP(P$5,NFI,5,0),1,0)*Data_NFI_t[[#This Row],[Complementary Kit]],0)</f>
        <v>0</v>
      </c>
      <c r="AF461" s="112">
        <f>IF(NFI_Expiration=1,IF($A461&lt;VLOOKUP(Q$5,NFI,5,0),1,0)*Data_NFI_t[[#This Row],[Plastic Bucket]],0)</f>
        <v>0</v>
      </c>
      <c r="AG461" s="131">
        <f>IF(NFI_Expiration=1,IF($A461&lt;VLOOKUP(R$5,NFI,5,0),1,0)*Data_NFI_t[[#This Row],[Jerry Can]],0)</f>
        <v>0</v>
      </c>
      <c r="AH461" s="131">
        <f>IF(NFI_Expiration=1,IF($A461&lt;VLOOKUP(S$5,NFI,5,0),1,0)*Data_NFI_t[[#This Row],[Plastic Mat]],0)*IF(Data_NFI_t[[#This Row],[Distribution Date]]&gt;"01-06-2015",1,2.5)</f>
        <v>0</v>
      </c>
      <c r="AI461" s="901">
        <f>IF(NFI_Expiration=1,IF($A461&lt;VLOOKUP(T$5,NFI,5,0),1,0)*Data_NFI_t[[#This Row],[Adult Clothes]],0)</f>
        <v>0</v>
      </c>
      <c r="AJ461" s="131">
        <f>IF(NFI_Expiration=1,IF($A461&lt;VLOOKUP(U$5,NFI,5,0),1,0)*Data_NFI_t[[#This Row],[Children Clothes]],0)</f>
        <v>0</v>
      </c>
      <c r="AK461" s="131">
        <f>IF(NFI_Expiration=1,IF($A461&lt;VLOOKUP(V$5,NFI,5,0),1,0)*Data_NFI_t[[#This Row],[Sewing Kit]],0)</f>
        <v>0</v>
      </c>
      <c r="AL461" s="901">
        <f>IF(NFI_Expiration=1,IF($A461&lt;VLOOKUP(V$5,NFI,5,0),1,0)*Data_NFI_t[[#This Row],[Solar Lantern]],0)</f>
        <v>0</v>
      </c>
      <c r="AM461" s="131" t="str">
        <f ca="1">IFERROR(OFFSET(Camp_List[P_Code],MATCH(Data_NFI_t[[#This Row],[Camp Name]],Camp_List[Camp Name],0)-1,0,1,1),"")</f>
        <v/>
      </c>
      <c r="AN461" s="513" t="str">
        <f ca="1">IFERROR(OFFSET(Camp_List[Status],MATCH(Data_NFI_t[[#This Row],[Camp Name]],Camp_List[Camp Name],0)-1,0,1,1),"")</f>
        <v/>
      </c>
      <c r="AO461" s="131"/>
    </row>
    <row r="462" spans="1:41" s="789" customFormat="1" ht="19.5" customHeight="1" x14ac:dyDescent="0.25">
      <c r="A462" s="242" t="str">
        <f t="shared" si="9"/>
        <v/>
      </c>
      <c r="B462" s="522">
        <f>YEAR(Data_NFI_t[[#This Row],[Distribution Date]])</f>
        <v>1900</v>
      </c>
      <c r="C462" s="913"/>
      <c r="D462" s="489"/>
      <c r="E462" s="488"/>
      <c r="F462" s="489"/>
      <c r="G462" s="790"/>
      <c r="H462" s="790"/>
      <c r="I462" s="790"/>
      <c r="J462" s="51"/>
      <c r="K462" s="51"/>
      <c r="L462" s="119"/>
      <c r="M462" s="119"/>
      <c r="N462" s="119"/>
      <c r="O462" s="119"/>
      <c r="P462" s="119"/>
      <c r="Q462" s="119"/>
      <c r="R462" s="512"/>
      <c r="S462" s="119"/>
      <c r="T462" s="119"/>
      <c r="U462" s="119"/>
      <c r="V462" s="119"/>
      <c r="W462" s="119"/>
      <c r="X462" s="131">
        <f>IF(NFI_Expiration=1,IF($A462&lt;VLOOKUP(I$5,NFI,5,0),1,0)*Data_NFI_t[[#This Row],[Hygiene Kit]],0)</f>
        <v>0</v>
      </c>
      <c r="Y462" s="131">
        <f>IF(NFI_Expiration=1,IF($A462&lt;VLOOKUP(J$5,NFI,5,0),1,0)*Data_NFI_t[[#This Row],[NFI Core Kit]],0)</f>
        <v>0</v>
      </c>
      <c r="Z462" s="112">
        <f>IF(NFI_Expiration=1,IF($A462&lt;VLOOKUP(K$5,NFI,5,0),1,0)*Data_NFI_t[[#This Row],[Sanitary Kit]],0)</f>
        <v>0</v>
      </c>
      <c r="AA462" s="112">
        <f>IF(NFI_Expiration=1,IF($A462&lt;VLOOKUP(L$5,NFI,5,0),1,0)*Data_NFI_t[[#This Row],[Mosquito net]],0)</f>
        <v>0</v>
      </c>
      <c r="AB462" s="112">
        <f>IF(NFI_Expiration=1,IF($A462&lt;VLOOKUP(M$5,NFI,5,0),1,0)*Data_NFI_t[[#This Row],[Tarpaulin]],0)</f>
        <v>0</v>
      </c>
      <c r="AC462" s="112">
        <f>IF(NFI_Expiration=1,IF($A462&lt;VLOOKUP(N$5,NFI,5,0),1,0)*Data_NFI_t[[#This Row],[Blanket]],0)</f>
        <v>0</v>
      </c>
      <c r="AD462" s="112">
        <f>IF(NFI_Expiration=1,IF($A462&lt;VLOOKUP(O$5,NFI,5,0),1,0)*Data_NFI_t[[#This Row],[Kitchen Set]],0)</f>
        <v>0</v>
      </c>
      <c r="AE462" s="112">
        <f>IF(NFI_Expiration=1,IF($A462&lt;VLOOKUP(P$5,NFI,5,0),1,0)*Data_NFI_t[[#This Row],[Complementary Kit]],0)</f>
        <v>0</v>
      </c>
      <c r="AF462" s="112">
        <f>IF(NFI_Expiration=1,IF($A462&lt;VLOOKUP(Q$5,NFI,5,0),1,0)*Data_NFI_t[[#This Row],[Plastic Bucket]],0)</f>
        <v>0</v>
      </c>
      <c r="AG462" s="131">
        <f>IF(NFI_Expiration=1,IF($A462&lt;VLOOKUP(R$5,NFI,5,0),1,0)*Data_NFI_t[[#This Row],[Jerry Can]],0)</f>
        <v>0</v>
      </c>
      <c r="AH462" s="131">
        <f>IF(NFI_Expiration=1,IF($A462&lt;VLOOKUP(S$5,NFI,5,0),1,0)*Data_NFI_t[[#This Row],[Plastic Mat]],0)*IF(Data_NFI_t[[#This Row],[Distribution Date]]&gt;"01-06-2015",1,2.5)</f>
        <v>0</v>
      </c>
      <c r="AI462" s="901">
        <f>IF(NFI_Expiration=1,IF($A462&lt;VLOOKUP(T$5,NFI,5,0),1,0)*Data_NFI_t[[#This Row],[Adult Clothes]],0)</f>
        <v>0</v>
      </c>
      <c r="AJ462" s="131">
        <f>IF(NFI_Expiration=1,IF($A462&lt;VLOOKUP(U$5,NFI,5,0),1,0)*Data_NFI_t[[#This Row],[Children Clothes]],0)</f>
        <v>0</v>
      </c>
      <c r="AK462" s="131">
        <f>IF(NFI_Expiration=1,IF($A462&lt;VLOOKUP(V$5,NFI,5,0),1,0)*Data_NFI_t[[#This Row],[Sewing Kit]],0)</f>
        <v>0</v>
      </c>
      <c r="AL462" s="901">
        <f>IF(NFI_Expiration=1,IF($A462&lt;VLOOKUP(V$5,NFI,5,0),1,0)*Data_NFI_t[[#This Row],[Solar Lantern]],0)</f>
        <v>0</v>
      </c>
      <c r="AM462" s="131" t="str">
        <f ca="1">IFERROR(OFFSET(Camp_List[P_Code],MATCH(Data_NFI_t[[#This Row],[Camp Name]],Camp_List[Camp Name],0)-1,0,1,1),"")</f>
        <v/>
      </c>
      <c r="AN462" s="513" t="str">
        <f ca="1">IFERROR(OFFSET(Camp_List[Status],MATCH(Data_NFI_t[[#This Row],[Camp Name]],Camp_List[Camp Name],0)-1,0,1,1),"")</f>
        <v/>
      </c>
      <c r="AO462" s="131"/>
    </row>
    <row r="463" spans="1:41" s="789" customFormat="1" ht="19.5" customHeight="1" x14ac:dyDescent="0.25">
      <c r="A463" s="242" t="str">
        <f t="shared" si="9"/>
        <v/>
      </c>
      <c r="B463" s="522">
        <f>YEAR(Data_NFI_t[[#This Row],[Distribution Date]])</f>
        <v>1900</v>
      </c>
      <c r="C463" s="913"/>
      <c r="D463" s="489"/>
      <c r="E463" s="488"/>
      <c r="F463" s="489"/>
      <c r="G463" s="790"/>
      <c r="H463" s="790"/>
      <c r="I463" s="790"/>
      <c r="J463" s="51"/>
      <c r="K463" s="51"/>
      <c r="L463" s="119"/>
      <c r="M463" s="119"/>
      <c r="N463" s="119"/>
      <c r="O463" s="119"/>
      <c r="P463" s="119"/>
      <c r="Q463" s="119"/>
      <c r="R463" s="512"/>
      <c r="S463" s="119"/>
      <c r="T463" s="119"/>
      <c r="U463" s="119"/>
      <c r="V463" s="119"/>
      <c r="W463" s="119"/>
      <c r="X463" s="131">
        <f>IF(NFI_Expiration=1,IF($A463&lt;VLOOKUP(I$5,NFI,5,0),1,0)*Data_NFI_t[[#This Row],[Hygiene Kit]],0)</f>
        <v>0</v>
      </c>
      <c r="Y463" s="131">
        <f>IF(NFI_Expiration=1,IF($A463&lt;VLOOKUP(J$5,NFI,5,0),1,0)*Data_NFI_t[[#This Row],[NFI Core Kit]],0)</f>
        <v>0</v>
      </c>
      <c r="Z463" s="112">
        <f>IF(NFI_Expiration=1,IF($A463&lt;VLOOKUP(K$5,NFI,5,0),1,0)*Data_NFI_t[[#This Row],[Sanitary Kit]],0)</f>
        <v>0</v>
      </c>
      <c r="AA463" s="112">
        <f>IF(NFI_Expiration=1,IF($A463&lt;VLOOKUP(L$5,NFI,5,0),1,0)*Data_NFI_t[[#This Row],[Mosquito net]],0)</f>
        <v>0</v>
      </c>
      <c r="AB463" s="112">
        <f>IF(NFI_Expiration=1,IF($A463&lt;VLOOKUP(M$5,NFI,5,0),1,0)*Data_NFI_t[[#This Row],[Tarpaulin]],0)</f>
        <v>0</v>
      </c>
      <c r="AC463" s="112">
        <f>IF(NFI_Expiration=1,IF($A463&lt;VLOOKUP(N$5,NFI,5,0),1,0)*Data_NFI_t[[#This Row],[Blanket]],0)</f>
        <v>0</v>
      </c>
      <c r="AD463" s="112">
        <f>IF(NFI_Expiration=1,IF($A463&lt;VLOOKUP(O$5,NFI,5,0),1,0)*Data_NFI_t[[#This Row],[Kitchen Set]],0)</f>
        <v>0</v>
      </c>
      <c r="AE463" s="112">
        <f>IF(NFI_Expiration=1,IF($A463&lt;VLOOKUP(P$5,NFI,5,0),1,0)*Data_NFI_t[[#This Row],[Complementary Kit]],0)</f>
        <v>0</v>
      </c>
      <c r="AF463" s="112">
        <f>IF(NFI_Expiration=1,IF($A463&lt;VLOOKUP(Q$5,NFI,5,0),1,0)*Data_NFI_t[[#This Row],[Plastic Bucket]],0)</f>
        <v>0</v>
      </c>
      <c r="AG463" s="131">
        <f>IF(NFI_Expiration=1,IF($A463&lt;VLOOKUP(R$5,NFI,5,0),1,0)*Data_NFI_t[[#This Row],[Jerry Can]],0)</f>
        <v>0</v>
      </c>
      <c r="AH463" s="131">
        <f>IF(NFI_Expiration=1,IF($A463&lt;VLOOKUP(S$5,NFI,5,0),1,0)*Data_NFI_t[[#This Row],[Plastic Mat]],0)*IF(Data_NFI_t[[#This Row],[Distribution Date]]&gt;"01-06-2015",1,2.5)</f>
        <v>0</v>
      </c>
      <c r="AI463" s="901">
        <f>IF(NFI_Expiration=1,IF($A463&lt;VLOOKUP(T$5,NFI,5,0),1,0)*Data_NFI_t[[#This Row],[Adult Clothes]],0)</f>
        <v>0</v>
      </c>
      <c r="AJ463" s="131">
        <f>IF(NFI_Expiration=1,IF($A463&lt;VLOOKUP(U$5,NFI,5,0),1,0)*Data_NFI_t[[#This Row],[Children Clothes]],0)</f>
        <v>0</v>
      </c>
      <c r="AK463" s="131">
        <f>IF(NFI_Expiration=1,IF($A463&lt;VLOOKUP(V$5,NFI,5,0),1,0)*Data_NFI_t[[#This Row],[Sewing Kit]],0)</f>
        <v>0</v>
      </c>
      <c r="AL463" s="901">
        <f>IF(NFI_Expiration=1,IF($A463&lt;VLOOKUP(V$5,NFI,5,0),1,0)*Data_NFI_t[[#This Row],[Solar Lantern]],0)</f>
        <v>0</v>
      </c>
      <c r="AM463" s="131" t="str">
        <f ca="1">IFERROR(OFFSET(Camp_List[P_Code],MATCH(Data_NFI_t[[#This Row],[Camp Name]],Camp_List[Camp Name],0)-1,0,1,1),"")</f>
        <v/>
      </c>
      <c r="AN463" s="513" t="str">
        <f ca="1">IFERROR(OFFSET(Camp_List[Status],MATCH(Data_NFI_t[[#This Row],[Camp Name]],Camp_List[Camp Name],0)-1,0,1,1),"")</f>
        <v/>
      </c>
      <c r="AO463" s="131"/>
    </row>
    <row r="464" spans="1:41" s="789" customFormat="1" ht="19.5" customHeight="1" x14ac:dyDescent="0.25">
      <c r="A464" s="242" t="str">
        <f t="shared" si="9"/>
        <v/>
      </c>
      <c r="B464" s="522">
        <f>YEAR(Data_NFI_t[[#This Row],[Distribution Date]])</f>
        <v>1900</v>
      </c>
      <c r="C464" s="913"/>
      <c r="D464" s="489"/>
      <c r="E464" s="488"/>
      <c r="F464" s="489"/>
      <c r="G464" s="790"/>
      <c r="H464" s="790"/>
      <c r="I464" s="790"/>
      <c r="J464" s="51"/>
      <c r="K464" s="51"/>
      <c r="L464" s="119"/>
      <c r="M464" s="119"/>
      <c r="N464" s="119"/>
      <c r="O464" s="119"/>
      <c r="P464" s="119"/>
      <c r="Q464" s="119"/>
      <c r="R464" s="512"/>
      <c r="S464" s="119"/>
      <c r="T464" s="119"/>
      <c r="U464" s="119"/>
      <c r="V464" s="119"/>
      <c r="W464" s="119"/>
      <c r="X464" s="131">
        <f>IF(NFI_Expiration=1,IF($A464&lt;VLOOKUP(I$5,NFI,5,0),1,0)*Data_NFI_t[[#This Row],[Hygiene Kit]],0)</f>
        <v>0</v>
      </c>
      <c r="Y464" s="131">
        <f>IF(NFI_Expiration=1,IF($A464&lt;VLOOKUP(J$5,NFI,5,0),1,0)*Data_NFI_t[[#This Row],[NFI Core Kit]],0)</f>
        <v>0</v>
      </c>
      <c r="Z464" s="112">
        <f>IF(NFI_Expiration=1,IF($A464&lt;VLOOKUP(K$5,NFI,5,0),1,0)*Data_NFI_t[[#This Row],[Sanitary Kit]],0)</f>
        <v>0</v>
      </c>
      <c r="AA464" s="112">
        <f>IF(NFI_Expiration=1,IF($A464&lt;VLOOKUP(L$5,NFI,5,0),1,0)*Data_NFI_t[[#This Row],[Mosquito net]],0)</f>
        <v>0</v>
      </c>
      <c r="AB464" s="112">
        <f>IF(NFI_Expiration=1,IF($A464&lt;VLOOKUP(M$5,NFI,5,0),1,0)*Data_NFI_t[[#This Row],[Tarpaulin]],0)</f>
        <v>0</v>
      </c>
      <c r="AC464" s="112">
        <f>IF(NFI_Expiration=1,IF($A464&lt;VLOOKUP(N$5,NFI,5,0),1,0)*Data_NFI_t[[#This Row],[Blanket]],0)</f>
        <v>0</v>
      </c>
      <c r="AD464" s="112">
        <f>IF(NFI_Expiration=1,IF($A464&lt;VLOOKUP(O$5,NFI,5,0),1,0)*Data_NFI_t[[#This Row],[Kitchen Set]],0)</f>
        <v>0</v>
      </c>
      <c r="AE464" s="112">
        <f>IF(NFI_Expiration=1,IF($A464&lt;VLOOKUP(P$5,NFI,5,0),1,0)*Data_NFI_t[[#This Row],[Complementary Kit]],0)</f>
        <v>0</v>
      </c>
      <c r="AF464" s="112">
        <f>IF(NFI_Expiration=1,IF($A464&lt;VLOOKUP(Q$5,NFI,5,0),1,0)*Data_NFI_t[[#This Row],[Plastic Bucket]],0)</f>
        <v>0</v>
      </c>
      <c r="AG464" s="131">
        <f>IF(NFI_Expiration=1,IF($A464&lt;VLOOKUP(R$5,NFI,5,0),1,0)*Data_NFI_t[[#This Row],[Jerry Can]],0)</f>
        <v>0</v>
      </c>
      <c r="AH464" s="131">
        <f>IF(NFI_Expiration=1,IF($A464&lt;VLOOKUP(S$5,NFI,5,0),1,0)*Data_NFI_t[[#This Row],[Plastic Mat]],0)*IF(Data_NFI_t[[#This Row],[Distribution Date]]&gt;"01-06-2015",1,2.5)</f>
        <v>0</v>
      </c>
      <c r="AI464" s="901">
        <f>IF(NFI_Expiration=1,IF($A464&lt;VLOOKUP(T$5,NFI,5,0),1,0)*Data_NFI_t[[#This Row],[Adult Clothes]],0)</f>
        <v>0</v>
      </c>
      <c r="AJ464" s="131">
        <f>IF(NFI_Expiration=1,IF($A464&lt;VLOOKUP(U$5,NFI,5,0),1,0)*Data_NFI_t[[#This Row],[Children Clothes]],0)</f>
        <v>0</v>
      </c>
      <c r="AK464" s="131">
        <f>IF(NFI_Expiration=1,IF($A464&lt;VLOOKUP(V$5,NFI,5,0),1,0)*Data_NFI_t[[#This Row],[Sewing Kit]],0)</f>
        <v>0</v>
      </c>
      <c r="AL464" s="901">
        <f>IF(NFI_Expiration=1,IF($A464&lt;VLOOKUP(V$5,NFI,5,0),1,0)*Data_NFI_t[[#This Row],[Solar Lantern]],0)</f>
        <v>0</v>
      </c>
      <c r="AM464" s="131" t="str">
        <f ca="1">IFERROR(OFFSET(Camp_List[P_Code],MATCH(Data_NFI_t[[#This Row],[Camp Name]],Camp_List[Camp Name],0)-1,0,1,1),"")</f>
        <v/>
      </c>
      <c r="AN464" s="513" t="str">
        <f ca="1">IFERROR(OFFSET(Camp_List[Status],MATCH(Data_NFI_t[[#This Row],[Camp Name]],Camp_List[Camp Name],0)-1,0,1,1),"")</f>
        <v/>
      </c>
      <c r="AO464" s="131"/>
    </row>
    <row r="465" spans="1:41" s="789" customFormat="1" ht="19.5" customHeight="1" x14ac:dyDescent="0.25">
      <c r="A465" s="242" t="str">
        <f t="shared" si="9"/>
        <v/>
      </c>
      <c r="B465" s="522">
        <f>YEAR(Data_NFI_t[[#This Row],[Distribution Date]])</f>
        <v>1900</v>
      </c>
      <c r="C465" s="913"/>
      <c r="D465" s="489"/>
      <c r="E465" s="488"/>
      <c r="F465" s="489"/>
      <c r="G465" s="790"/>
      <c r="H465" s="790"/>
      <c r="I465" s="790"/>
      <c r="J465" s="51"/>
      <c r="K465" s="51"/>
      <c r="L465" s="119"/>
      <c r="M465" s="119"/>
      <c r="N465" s="119"/>
      <c r="O465" s="119"/>
      <c r="P465" s="119"/>
      <c r="Q465" s="119"/>
      <c r="R465" s="512"/>
      <c r="S465" s="119"/>
      <c r="T465" s="119"/>
      <c r="U465" s="119"/>
      <c r="V465" s="119"/>
      <c r="W465" s="119"/>
      <c r="X465" s="131">
        <f>IF(NFI_Expiration=1,IF($A465&lt;VLOOKUP(I$5,NFI,5,0),1,0)*Data_NFI_t[[#This Row],[Hygiene Kit]],0)</f>
        <v>0</v>
      </c>
      <c r="Y465" s="131">
        <f>IF(NFI_Expiration=1,IF($A465&lt;VLOOKUP(J$5,NFI,5,0),1,0)*Data_NFI_t[[#This Row],[NFI Core Kit]],0)</f>
        <v>0</v>
      </c>
      <c r="Z465" s="112">
        <f>IF(NFI_Expiration=1,IF($A465&lt;VLOOKUP(K$5,NFI,5,0),1,0)*Data_NFI_t[[#This Row],[Sanitary Kit]],0)</f>
        <v>0</v>
      </c>
      <c r="AA465" s="112">
        <f>IF(NFI_Expiration=1,IF($A465&lt;VLOOKUP(L$5,NFI,5,0),1,0)*Data_NFI_t[[#This Row],[Mosquito net]],0)</f>
        <v>0</v>
      </c>
      <c r="AB465" s="112">
        <f>IF(NFI_Expiration=1,IF($A465&lt;VLOOKUP(M$5,NFI,5,0),1,0)*Data_NFI_t[[#This Row],[Tarpaulin]],0)</f>
        <v>0</v>
      </c>
      <c r="AC465" s="112">
        <f>IF(NFI_Expiration=1,IF($A465&lt;VLOOKUP(N$5,NFI,5,0),1,0)*Data_NFI_t[[#This Row],[Blanket]],0)</f>
        <v>0</v>
      </c>
      <c r="AD465" s="112">
        <f>IF(NFI_Expiration=1,IF($A465&lt;VLOOKUP(O$5,NFI,5,0),1,0)*Data_NFI_t[[#This Row],[Kitchen Set]],0)</f>
        <v>0</v>
      </c>
      <c r="AE465" s="112">
        <f>IF(NFI_Expiration=1,IF($A465&lt;VLOOKUP(P$5,NFI,5,0),1,0)*Data_NFI_t[[#This Row],[Complementary Kit]],0)</f>
        <v>0</v>
      </c>
      <c r="AF465" s="112">
        <f>IF(NFI_Expiration=1,IF($A465&lt;VLOOKUP(Q$5,NFI,5,0),1,0)*Data_NFI_t[[#This Row],[Plastic Bucket]],0)</f>
        <v>0</v>
      </c>
      <c r="AG465" s="131">
        <f>IF(NFI_Expiration=1,IF($A465&lt;VLOOKUP(R$5,NFI,5,0),1,0)*Data_NFI_t[[#This Row],[Jerry Can]],0)</f>
        <v>0</v>
      </c>
      <c r="AH465" s="131">
        <f>IF(NFI_Expiration=1,IF($A465&lt;VLOOKUP(S$5,NFI,5,0),1,0)*Data_NFI_t[[#This Row],[Plastic Mat]],0)*IF(Data_NFI_t[[#This Row],[Distribution Date]]&gt;"01-06-2015",1,2.5)</f>
        <v>0</v>
      </c>
      <c r="AI465" s="901">
        <f>IF(NFI_Expiration=1,IF($A465&lt;VLOOKUP(T$5,NFI,5,0),1,0)*Data_NFI_t[[#This Row],[Adult Clothes]],0)</f>
        <v>0</v>
      </c>
      <c r="AJ465" s="131">
        <f>IF(NFI_Expiration=1,IF($A465&lt;VLOOKUP(U$5,NFI,5,0),1,0)*Data_NFI_t[[#This Row],[Children Clothes]],0)</f>
        <v>0</v>
      </c>
      <c r="AK465" s="131">
        <f>IF(NFI_Expiration=1,IF($A465&lt;VLOOKUP(V$5,NFI,5,0),1,0)*Data_NFI_t[[#This Row],[Sewing Kit]],0)</f>
        <v>0</v>
      </c>
      <c r="AL465" s="901">
        <f>IF(NFI_Expiration=1,IF($A465&lt;VLOOKUP(V$5,NFI,5,0),1,0)*Data_NFI_t[[#This Row],[Solar Lantern]],0)</f>
        <v>0</v>
      </c>
      <c r="AM465" s="131" t="str">
        <f ca="1">IFERROR(OFFSET(Camp_List[P_Code],MATCH(Data_NFI_t[[#This Row],[Camp Name]],Camp_List[Camp Name],0)-1,0,1,1),"")</f>
        <v/>
      </c>
      <c r="AN465" s="513" t="str">
        <f ca="1">IFERROR(OFFSET(Camp_List[Status],MATCH(Data_NFI_t[[#This Row],[Camp Name]],Camp_List[Camp Name],0)-1,0,1,1),"")</f>
        <v/>
      </c>
      <c r="AO465" s="131"/>
    </row>
    <row r="466" spans="1:41" s="789" customFormat="1" ht="19.5" customHeight="1" x14ac:dyDescent="0.25">
      <c r="A466" s="242" t="str">
        <f t="shared" si="9"/>
        <v/>
      </c>
      <c r="B466" s="522">
        <f>YEAR(Data_NFI_t[[#This Row],[Distribution Date]])</f>
        <v>1900</v>
      </c>
      <c r="C466" s="913"/>
      <c r="D466" s="489"/>
      <c r="E466" s="488"/>
      <c r="F466" s="489"/>
      <c r="G466" s="790"/>
      <c r="H466" s="790"/>
      <c r="I466" s="790"/>
      <c r="J466" s="51"/>
      <c r="K466" s="51"/>
      <c r="L466" s="119"/>
      <c r="M466" s="119"/>
      <c r="N466" s="119"/>
      <c r="O466" s="119"/>
      <c r="P466" s="119"/>
      <c r="Q466" s="119"/>
      <c r="R466" s="512"/>
      <c r="S466" s="119"/>
      <c r="T466" s="119"/>
      <c r="U466" s="119"/>
      <c r="V466" s="119"/>
      <c r="W466" s="119"/>
      <c r="X466" s="131">
        <f>IF(NFI_Expiration=1,IF($A466&lt;VLOOKUP(I$5,NFI,5,0),1,0)*Data_NFI_t[[#This Row],[Hygiene Kit]],0)</f>
        <v>0</v>
      </c>
      <c r="Y466" s="131">
        <f>IF(NFI_Expiration=1,IF($A466&lt;VLOOKUP(J$5,NFI,5,0),1,0)*Data_NFI_t[[#This Row],[NFI Core Kit]],0)</f>
        <v>0</v>
      </c>
      <c r="Z466" s="112">
        <f>IF(NFI_Expiration=1,IF($A466&lt;VLOOKUP(K$5,NFI,5,0),1,0)*Data_NFI_t[[#This Row],[Sanitary Kit]],0)</f>
        <v>0</v>
      </c>
      <c r="AA466" s="112">
        <f>IF(NFI_Expiration=1,IF($A466&lt;VLOOKUP(L$5,NFI,5,0),1,0)*Data_NFI_t[[#This Row],[Mosquito net]],0)</f>
        <v>0</v>
      </c>
      <c r="AB466" s="112">
        <f>IF(NFI_Expiration=1,IF($A466&lt;VLOOKUP(M$5,NFI,5,0),1,0)*Data_NFI_t[[#This Row],[Tarpaulin]],0)</f>
        <v>0</v>
      </c>
      <c r="AC466" s="112">
        <f>IF(NFI_Expiration=1,IF($A466&lt;VLOOKUP(N$5,NFI,5,0),1,0)*Data_NFI_t[[#This Row],[Blanket]],0)</f>
        <v>0</v>
      </c>
      <c r="AD466" s="112">
        <f>IF(NFI_Expiration=1,IF($A466&lt;VLOOKUP(O$5,NFI,5,0),1,0)*Data_NFI_t[[#This Row],[Kitchen Set]],0)</f>
        <v>0</v>
      </c>
      <c r="AE466" s="112">
        <f>IF(NFI_Expiration=1,IF($A466&lt;VLOOKUP(P$5,NFI,5,0),1,0)*Data_NFI_t[[#This Row],[Complementary Kit]],0)</f>
        <v>0</v>
      </c>
      <c r="AF466" s="112">
        <f>IF(NFI_Expiration=1,IF($A466&lt;VLOOKUP(Q$5,NFI,5,0),1,0)*Data_NFI_t[[#This Row],[Plastic Bucket]],0)</f>
        <v>0</v>
      </c>
      <c r="AG466" s="131">
        <f>IF(NFI_Expiration=1,IF($A466&lt;VLOOKUP(R$5,NFI,5,0),1,0)*Data_NFI_t[[#This Row],[Jerry Can]],0)</f>
        <v>0</v>
      </c>
      <c r="AH466" s="131">
        <f>IF(NFI_Expiration=1,IF($A466&lt;VLOOKUP(S$5,NFI,5,0),1,0)*Data_NFI_t[[#This Row],[Plastic Mat]],0)*IF(Data_NFI_t[[#This Row],[Distribution Date]]&gt;"01-06-2015",1,2.5)</f>
        <v>0</v>
      </c>
      <c r="AI466" s="901">
        <f>IF(NFI_Expiration=1,IF($A466&lt;VLOOKUP(T$5,NFI,5,0),1,0)*Data_NFI_t[[#This Row],[Adult Clothes]],0)</f>
        <v>0</v>
      </c>
      <c r="AJ466" s="131">
        <f>IF(NFI_Expiration=1,IF($A466&lt;VLOOKUP(U$5,NFI,5,0),1,0)*Data_NFI_t[[#This Row],[Children Clothes]],0)</f>
        <v>0</v>
      </c>
      <c r="AK466" s="131">
        <f>IF(NFI_Expiration=1,IF($A466&lt;VLOOKUP(V$5,NFI,5,0),1,0)*Data_NFI_t[[#This Row],[Sewing Kit]],0)</f>
        <v>0</v>
      </c>
      <c r="AL466" s="901">
        <f>IF(NFI_Expiration=1,IF($A466&lt;VLOOKUP(V$5,NFI,5,0),1,0)*Data_NFI_t[[#This Row],[Solar Lantern]],0)</f>
        <v>0</v>
      </c>
      <c r="AM466" s="131" t="str">
        <f ca="1">IFERROR(OFFSET(Camp_List[P_Code],MATCH(Data_NFI_t[[#This Row],[Camp Name]],Camp_List[Camp Name],0)-1,0,1,1),"")</f>
        <v/>
      </c>
      <c r="AN466" s="513" t="str">
        <f ca="1">IFERROR(OFFSET(Camp_List[Status],MATCH(Data_NFI_t[[#This Row],[Camp Name]],Camp_List[Camp Name],0)-1,0,1,1),"")</f>
        <v/>
      </c>
      <c r="AO466" s="131"/>
    </row>
    <row r="467" spans="1:41" s="789" customFormat="1" ht="19.5" customHeight="1" x14ac:dyDescent="0.25">
      <c r="A467" s="242" t="str">
        <f t="shared" si="9"/>
        <v/>
      </c>
      <c r="B467" s="522">
        <f>YEAR(Data_NFI_t[[#This Row],[Distribution Date]])</f>
        <v>1900</v>
      </c>
      <c r="C467" s="913"/>
      <c r="D467" s="489"/>
      <c r="E467" s="488"/>
      <c r="F467" s="489"/>
      <c r="G467" s="790"/>
      <c r="H467" s="790"/>
      <c r="I467" s="790"/>
      <c r="J467" s="51"/>
      <c r="K467" s="51"/>
      <c r="L467" s="119"/>
      <c r="M467" s="119"/>
      <c r="N467" s="119"/>
      <c r="O467" s="119"/>
      <c r="P467" s="119"/>
      <c r="Q467" s="119"/>
      <c r="R467" s="512"/>
      <c r="S467" s="119"/>
      <c r="T467" s="119"/>
      <c r="U467" s="119"/>
      <c r="V467" s="119"/>
      <c r="W467" s="119"/>
      <c r="X467" s="131">
        <f>IF(NFI_Expiration=1,IF($A467&lt;VLOOKUP(I$5,NFI,5,0),1,0)*Data_NFI_t[[#This Row],[Hygiene Kit]],0)</f>
        <v>0</v>
      </c>
      <c r="Y467" s="131">
        <f>IF(NFI_Expiration=1,IF($A467&lt;VLOOKUP(J$5,NFI,5,0),1,0)*Data_NFI_t[[#This Row],[NFI Core Kit]],0)</f>
        <v>0</v>
      </c>
      <c r="Z467" s="112">
        <f>IF(NFI_Expiration=1,IF($A467&lt;VLOOKUP(K$5,NFI,5,0),1,0)*Data_NFI_t[[#This Row],[Sanitary Kit]],0)</f>
        <v>0</v>
      </c>
      <c r="AA467" s="112">
        <f>IF(NFI_Expiration=1,IF($A467&lt;VLOOKUP(L$5,NFI,5,0),1,0)*Data_NFI_t[[#This Row],[Mosquito net]],0)</f>
        <v>0</v>
      </c>
      <c r="AB467" s="112">
        <f>IF(NFI_Expiration=1,IF($A467&lt;VLOOKUP(M$5,NFI,5,0),1,0)*Data_NFI_t[[#This Row],[Tarpaulin]],0)</f>
        <v>0</v>
      </c>
      <c r="AC467" s="112">
        <f>IF(NFI_Expiration=1,IF($A467&lt;VLOOKUP(N$5,NFI,5,0),1,0)*Data_NFI_t[[#This Row],[Blanket]],0)</f>
        <v>0</v>
      </c>
      <c r="AD467" s="112">
        <f>IF(NFI_Expiration=1,IF($A467&lt;VLOOKUP(O$5,NFI,5,0),1,0)*Data_NFI_t[[#This Row],[Kitchen Set]],0)</f>
        <v>0</v>
      </c>
      <c r="AE467" s="112">
        <f>IF(NFI_Expiration=1,IF($A467&lt;VLOOKUP(P$5,NFI,5,0),1,0)*Data_NFI_t[[#This Row],[Complementary Kit]],0)</f>
        <v>0</v>
      </c>
      <c r="AF467" s="112">
        <f>IF(NFI_Expiration=1,IF($A467&lt;VLOOKUP(Q$5,NFI,5,0),1,0)*Data_NFI_t[[#This Row],[Plastic Bucket]],0)</f>
        <v>0</v>
      </c>
      <c r="AG467" s="131">
        <f>IF(NFI_Expiration=1,IF($A467&lt;VLOOKUP(R$5,NFI,5,0),1,0)*Data_NFI_t[[#This Row],[Jerry Can]],0)</f>
        <v>0</v>
      </c>
      <c r="AH467" s="131">
        <f>IF(NFI_Expiration=1,IF($A467&lt;VLOOKUP(S$5,NFI,5,0),1,0)*Data_NFI_t[[#This Row],[Plastic Mat]],0)*IF(Data_NFI_t[[#This Row],[Distribution Date]]&gt;"01-06-2015",1,2.5)</f>
        <v>0</v>
      </c>
      <c r="AI467" s="901">
        <f>IF(NFI_Expiration=1,IF($A467&lt;VLOOKUP(T$5,NFI,5,0),1,0)*Data_NFI_t[[#This Row],[Adult Clothes]],0)</f>
        <v>0</v>
      </c>
      <c r="AJ467" s="131">
        <f>IF(NFI_Expiration=1,IF($A467&lt;VLOOKUP(U$5,NFI,5,0),1,0)*Data_NFI_t[[#This Row],[Children Clothes]],0)</f>
        <v>0</v>
      </c>
      <c r="AK467" s="131">
        <f>IF(NFI_Expiration=1,IF($A467&lt;VLOOKUP(V$5,NFI,5,0),1,0)*Data_NFI_t[[#This Row],[Sewing Kit]],0)</f>
        <v>0</v>
      </c>
      <c r="AL467" s="901">
        <f>IF(NFI_Expiration=1,IF($A467&lt;VLOOKUP(V$5,NFI,5,0),1,0)*Data_NFI_t[[#This Row],[Solar Lantern]],0)</f>
        <v>0</v>
      </c>
      <c r="AM467" s="131" t="str">
        <f ca="1">IFERROR(OFFSET(Camp_List[P_Code],MATCH(Data_NFI_t[[#This Row],[Camp Name]],Camp_List[Camp Name],0)-1,0,1,1),"")</f>
        <v/>
      </c>
      <c r="AN467" s="513" t="str">
        <f ca="1">IFERROR(OFFSET(Camp_List[Status],MATCH(Data_NFI_t[[#This Row],[Camp Name]],Camp_List[Camp Name],0)-1,0,1,1),"")</f>
        <v/>
      </c>
      <c r="AO467" s="131"/>
    </row>
    <row r="468" spans="1:41" s="789" customFormat="1" ht="19.5" customHeight="1" x14ac:dyDescent="0.25">
      <c r="A468" s="242" t="str">
        <f t="shared" si="9"/>
        <v/>
      </c>
      <c r="B468" s="522">
        <f>YEAR(Data_NFI_t[[#This Row],[Distribution Date]])</f>
        <v>1900</v>
      </c>
      <c r="C468" s="913"/>
      <c r="D468" s="489"/>
      <c r="E468" s="488"/>
      <c r="F468" s="489"/>
      <c r="G468" s="790"/>
      <c r="H468" s="790"/>
      <c r="I468" s="790"/>
      <c r="J468" s="51"/>
      <c r="K468" s="51"/>
      <c r="L468" s="119"/>
      <c r="M468" s="119"/>
      <c r="N468" s="119"/>
      <c r="O468" s="119"/>
      <c r="P468" s="119"/>
      <c r="Q468" s="119"/>
      <c r="R468" s="512"/>
      <c r="S468" s="119"/>
      <c r="T468" s="119"/>
      <c r="U468" s="119"/>
      <c r="V468" s="119"/>
      <c r="W468" s="119"/>
      <c r="X468" s="131">
        <f>IF(NFI_Expiration=1,IF($A468&lt;VLOOKUP(I$5,NFI,5,0),1,0)*Data_NFI_t[[#This Row],[Hygiene Kit]],0)</f>
        <v>0</v>
      </c>
      <c r="Y468" s="131">
        <f>IF(NFI_Expiration=1,IF($A468&lt;VLOOKUP(J$5,NFI,5,0),1,0)*Data_NFI_t[[#This Row],[NFI Core Kit]],0)</f>
        <v>0</v>
      </c>
      <c r="Z468" s="112">
        <f>IF(NFI_Expiration=1,IF($A468&lt;VLOOKUP(K$5,NFI,5,0),1,0)*Data_NFI_t[[#This Row],[Sanitary Kit]],0)</f>
        <v>0</v>
      </c>
      <c r="AA468" s="112">
        <f>IF(NFI_Expiration=1,IF($A468&lt;VLOOKUP(L$5,NFI,5,0),1,0)*Data_NFI_t[[#This Row],[Mosquito net]],0)</f>
        <v>0</v>
      </c>
      <c r="AB468" s="112">
        <f>IF(NFI_Expiration=1,IF($A468&lt;VLOOKUP(M$5,NFI,5,0),1,0)*Data_NFI_t[[#This Row],[Tarpaulin]],0)</f>
        <v>0</v>
      </c>
      <c r="AC468" s="112">
        <f>IF(NFI_Expiration=1,IF($A468&lt;VLOOKUP(N$5,NFI,5,0),1,0)*Data_NFI_t[[#This Row],[Blanket]],0)</f>
        <v>0</v>
      </c>
      <c r="AD468" s="112">
        <f>IF(NFI_Expiration=1,IF($A468&lt;VLOOKUP(O$5,NFI,5,0),1,0)*Data_NFI_t[[#This Row],[Kitchen Set]],0)</f>
        <v>0</v>
      </c>
      <c r="AE468" s="112">
        <f>IF(NFI_Expiration=1,IF($A468&lt;VLOOKUP(P$5,NFI,5,0),1,0)*Data_NFI_t[[#This Row],[Complementary Kit]],0)</f>
        <v>0</v>
      </c>
      <c r="AF468" s="112">
        <f>IF(NFI_Expiration=1,IF($A468&lt;VLOOKUP(Q$5,NFI,5,0),1,0)*Data_NFI_t[[#This Row],[Plastic Bucket]],0)</f>
        <v>0</v>
      </c>
      <c r="AG468" s="131">
        <f>IF(NFI_Expiration=1,IF($A468&lt;VLOOKUP(R$5,NFI,5,0),1,0)*Data_NFI_t[[#This Row],[Jerry Can]],0)</f>
        <v>0</v>
      </c>
      <c r="AH468" s="131">
        <f>IF(NFI_Expiration=1,IF($A468&lt;VLOOKUP(S$5,NFI,5,0),1,0)*Data_NFI_t[[#This Row],[Plastic Mat]],0)*IF(Data_NFI_t[[#This Row],[Distribution Date]]&gt;"01-06-2015",1,2.5)</f>
        <v>0</v>
      </c>
      <c r="AI468" s="901">
        <f>IF(NFI_Expiration=1,IF($A468&lt;VLOOKUP(T$5,NFI,5,0),1,0)*Data_NFI_t[[#This Row],[Adult Clothes]],0)</f>
        <v>0</v>
      </c>
      <c r="AJ468" s="131">
        <f>IF(NFI_Expiration=1,IF($A468&lt;VLOOKUP(U$5,NFI,5,0),1,0)*Data_NFI_t[[#This Row],[Children Clothes]],0)</f>
        <v>0</v>
      </c>
      <c r="AK468" s="131">
        <f>IF(NFI_Expiration=1,IF($A468&lt;VLOOKUP(V$5,NFI,5,0),1,0)*Data_NFI_t[[#This Row],[Sewing Kit]],0)</f>
        <v>0</v>
      </c>
      <c r="AL468" s="901">
        <f>IF(NFI_Expiration=1,IF($A468&lt;VLOOKUP(V$5,NFI,5,0),1,0)*Data_NFI_t[[#This Row],[Solar Lantern]],0)</f>
        <v>0</v>
      </c>
      <c r="AM468" s="131" t="str">
        <f ca="1">IFERROR(OFFSET(Camp_List[P_Code],MATCH(Data_NFI_t[[#This Row],[Camp Name]],Camp_List[Camp Name],0)-1,0,1,1),"")</f>
        <v/>
      </c>
      <c r="AN468" s="513" t="str">
        <f ca="1">IFERROR(OFFSET(Camp_List[Status],MATCH(Data_NFI_t[[#This Row],[Camp Name]],Camp_List[Camp Name],0)-1,0,1,1),"")</f>
        <v/>
      </c>
      <c r="AO468" s="131"/>
    </row>
    <row r="469" spans="1:41" s="789" customFormat="1" ht="19.5" customHeight="1" x14ac:dyDescent="0.25">
      <c r="A469" s="242" t="str">
        <f t="shared" si="9"/>
        <v/>
      </c>
      <c r="B469" s="522">
        <f>YEAR(Data_NFI_t[[#This Row],[Distribution Date]])</f>
        <v>1900</v>
      </c>
      <c r="C469" s="913"/>
      <c r="D469" s="489"/>
      <c r="E469" s="488"/>
      <c r="F469" s="489"/>
      <c r="G469" s="790"/>
      <c r="H469" s="790"/>
      <c r="I469" s="790"/>
      <c r="J469" s="51"/>
      <c r="K469" s="51"/>
      <c r="L469" s="119"/>
      <c r="M469" s="119"/>
      <c r="N469" s="119"/>
      <c r="O469" s="119"/>
      <c r="P469" s="119"/>
      <c r="Q469" s="119"/>
      <c r="R469" s="512"/>
      <c r="S469" s="119"/>
      <c r="T469" s="119"/>
      <c r="U469" s="119"/>
      <c r="V469" s="119"/>
      <c r="W469" s="119"/>
      <c r="X469" s="131">
        <f>IF(NFI_Expiration=1,IF($A469&lt;VLOOKUP(I$5,NFI,5,0),1,0)*Data_NFI_t[[#This Row],[Hygiene Kit]],0)</f>
        <v>0</v>
      </c>
      <c r="Y469" s="131">
        <f>IF(NFI_Expiration=1,IF($A469&lt;VLOOKUP(J$5,NFI,5,0),1,0)*Data_NFI_t[[#This Row],[NFI Core Kit]],0)</f>
        <v>0</v>
      </c>
      <c r="Z469" s="112">
        <f>IF(NFI_Expiration=1,IF($A469&lt;VLOOKUP(K$5,NFI,5,0),1,0)*Data_NFI_t[[#This Row],[Sanitary Kit]],0)</f>
        <v>0</v>
      </c>
      <c r="AA469" s="112">
        <f>IF(NFI_Expiration=1,IF($A469&lt;VLOOKUP(L$5,NFI,5,0),1,0)*Data_NFI_t[[#This Row],[Mosquito net]],0)</f>
        <v>0</v>
      </c>
      <c r="AB469" s="112">
        <f>IF(NFI_Expiration=1,IF($A469&lt;VLOOKUP(M$5,NFI,5,0),1,0)*Data_NFI_t[[#This Row],[Tarpaulin]],0)</f>
        <v>0</v>
      </c>
      <c r="AC469" s="112">
        <f>IF(NFI_Expiration=1,IF($A469&lt;VLOOKUP(N$5,NFI,5,0),1,0)*Data_NFI_t[[#This Row],[Blanket]],0)</f>
        <v>0</v>
      </c>
      <c r="AD469" s="112">
        <f>IF(NFI_Expiration=1,IF($A469&lt;VLOOKUP(O$5,NFI,5,0),1,0)*Data_NFI_t[[#This Row],[Kitchen Set]],0)</f>
        <v>0</v>
      </c>
      <c r="AE469" s="112">
        <f>IF(NFI_Expiration=1,IF($A469&lt;VLOOKUP(P$5,NFI,5,0),1,0)*Data_NFI_t[[#This Row],[Complementary Kit]],0)</f>
        <v>0</v>
      </c>
      <c r="AF469" s="112">
        <f>IF(NFI_Expiration=1,IF($A469&lt;VLOOKUP(Q$5,NFI,5,0),1,0)*Data_NFI_t[[#This Row],[Plastic Bucket]],0)</f>
        <v>0</v>
      </c>
      <c r="AG469" s="131">
        <f>IF(NFI_Expiration=1,IF($A469&lt;VLOOKUP(R$5,NFI,5,0),1,0)*Data_NFI_t[[#This Row],[Jerry Can]],0)</f>
        <v>0</v>
      </c>
      <c r="AH469" s="131">
        <f>IF(NFI_Expiration=1,IF($A469&lt;VLOOKUP(S$5,NFI,5,0),1,0)*Data_NFI_t[[#This Row],[Plastic Mat]],0)*IF(Data_NFI_t[[#This Row],[Distribution Date]]&gt;"01-06-2015",1,2.5)</f>
        <v>0</v>
      </c>
      <c r="AI469" s="901">
        <f>IF(NFI_Expiration=1,IF($A469&lt;VLOOKUP(T$5,NFI,5,0),1,0)*Data_NFI_t[[#This Row],[Adult Clothes]],0)</f>
        <v>0</v>
      </c>
      <c r="AJ469" s="131">
        <f>IF(NFI_Expiration=1,IF($A469&lt;VLOOKUP(U$5,NFI,5,0),1,0)*Data_NFI_t[[#This Row],[Children Clothes]],0)</f>
        <v>0</v>
      </c>
      <c r="AK469" s="131">
        <f>IF(NFI_Expiration=1,IF($A469&lt;VLOOKUP(V$5,NFI,5,0),1,0)*Data_NFI_t[[#This Row],[Sewing Kit]],0)</f>
        <v>0</v>
      </c>
      <c r="AL469" s="901">
        <f>IF(NFI_Expiration=1,IF($A469&lt;VLOOKUP(V$5,NFI,5,0),1,0)*Data_NFI_t[[#This Row],[Solar Lantern]],0)</f>
        <v>0</v>
      </c>
      <c r="AM469" s="131" t="str">
        <f ca="1">IFERROR(OFFSET(Camp_List[P_Code],MATCH(Data_NFI_t[[#This Row],[Camp Name]],Camp_List[Camp Name],0)-1,0,1,1),"")</f>
        <v/>
      </c>
      <c r="AN469" s="513" t="str">
        <f ca="1">IFERROR(OFFSET(Camp_List[Status],MATCH(Data_NFI_t[[#This Row],[Camp Name]],Camp_List[Camp Name],0)-1,0,1,1),"")</f>
        <v/>
      </c>
      <c r="AO469" s="131"/>
    </row>
    <row r="470" spans="1:41" s="789" customFormat="1" ht="19.5" customHeight="1" x14ac:dyDescent="0.25">
      <c r="A470" s="242" t="str">
        <f t="shared" si="9"/>
        <v/>
      </c>
      <c r="B470" s="522">
        <f>YEAR(Data_NFI_t[[#This Row],[Distribution Date]])</f>
        <v>1900</v>
      </c>
      <c r="C470" s="913"/>
      <c r="D470" s="489"/>
      <c r="E470" s="488"/>
      <c r="F470" s="489"/>
      <c r="G470" s="790"/>
      <c r="H470" s="790"/>
      <c r="I470" s="790"/>
      <c r="J470" s="51"/>
      <c r="K470" s="51"/>
      <c r="L470" s="119"/>
      <c r="M470" s="119"/>
      <c r="N470" s="119"/>
      <c r="O470" s="119"/>
      <c r="P470" s="119"/>
      <c r="Q470" s="119"/>
      <c r="R470" s="512"/>
      <c r="S470" s="119"/>
      <c r="T470" s="119"/>
      <c r="U470" s="119"/>
      <c r="V470" s="119"/>
      <c r="W470" s="119"/>
      <c r="X470" s="131">
        <f>IF(NFI_Expiration=1,IF($A470&lt;VLOOKUP(I$5,NFI,5,0),1,0)*Data_NFI_t[[#This Row],[Hygiene Kit]],0)</f>
        <v>0</v>
      </c>
      <c r="Y470" s="131">
        <f>IF(NFI_Expiration=1,IF($A470&lt;VLOOKUP(J$5,NFI,5,0),1,0)*Data_NFI_t[[#This Row],[NFI Core Kit]],0)</f>
        <v>0</v>
      </c>
      <c r="Z470" s="112">
        <f>IF(NFI_Expiration=1,IF($A470&lt;VLOOKUP(K$5,NFI,5,0),1,0)*Data_NFI_t[[#This Row],[Sanitary Kit]],0)</f>
        <v>0</v>
      </c>
      <c r="AA470" s="112">
        <f>IF(NFI_Expiration=1,IF($A470&lt;VLOOKUP(L$5,NFI,5,0),1,0)*Data_NFI_t[[#This Row],[Mosquito net]],0)</f>
        <v>0</v>
      </c>
      <c r="AB470" s="112">
        <f>IF(NFI_Expiration=1,IF($A470&lt;VLOOKUP(M$5,NFI,5,0),1,0)*Data_NFI_t[[#This Row],[Tarpaulin]],0)</f>
        <v>0</v>
      </c>
      <c r="AC470" s="112">
        <f>IF(NFI_Expiration=1,IF($A470&lt;VLOOKUP(N$5,NFI,5,0),1,0)*Data_NFI_t[[#This Row],[Blanket]],0)</f>
        <v>0</v>
      </c>
      <c r="AD470" s="112">
        <f>IF(NFI_Expiration=1,IF($A470&lt;VLOOKUP(O$5,NFI,5,0),1,0)*Data_NFI_t[[#This Row],[Kitchen Set]],0)</f>
        <v>0</v>
      </c>
      <c r="AE470" s="112">
        <f>IF(NFI_Expiration=1,IF($A470&lt;VLOOKUP(P$5,NFI,5,0),1,0)*Data_NFI_t[[#This Row],[Complementary Kit]],0)</f>
        <v>0</v>
      </c>
      <c r="AF470" s="112">
        <f>IF(NFI_Expiration=1,IF($A470&lt;VLOOKUP(Q$5,NFI,5,0),1,0)*Data_NFI_t[[#This Row],[Plastic Bucket]],0)</f>
        <v>0</v>
      </c>
      <c r="AG470" s="131">
        <f>IF(NFI_Expiration=1,IF($A470&lt;VLOOKUP(R$5,NFI,5,0),1,0)*Data_NFI_t[[#This Row],[Jerry Can]],0)</f>
        <v>0</v>
      </c>
      <c r="AH470" s="131">
        <f>IF(NFI_Expiration=1,IF($A470&lt;VLOOKUP(S$5,NFI,5,0),1,0)*Data_NFI_t[[#This Row],[Plastic Mat]],0)*IF(Data_NFI_t[[#This Row],[Distribution Date]]&gt;"01-06-2015",1,2.5)</f>
        <v>0</v>
      </c>
      <c r="AI470" s="901">
        <f>IF(NFI_Expiration=1,IF($A470&lt;VLOOKUP(T$5,NFI,5,0),1,0)*Data_NFI_t[[#This Row],[Adult Clothes]],0)</f>
        <v>0</v>
      </c>
      <c r="AJ470" s="131">
        <f>IF(NFI_Expiration=1,IF($A470&lt;VLOOKUP(U$5,NFI,5,0),1,0)*Data_NFI_t[[#This Row],[Children Clothes]],0)</f>
        <v>0</v>
      </c>
      <c r="AK470" s="131">
        <f>IF(NFI_Expiration=1,IF($A470&lt;VLOOKUP(V$5,NFI,5,0),1,0)*Data_NFI_t[[#This Row],[Sewing Kit]],0)</f>
        <v>0</v>
      </c>
      <c r="AL470" s="901">
        <f>IF(NFI_Expiration=1,IF($A470&lt;VLOOKUP(V$5,NFI,5,0),1,0)*Data_NFI_t[[#This Row],[Solar Lantern]],0)</f>
        <v>0</v>
      </c>
      <c r="AM470" s="131" t="str">
        <f ca="1">IFERROR(OFFSET(Camp_List[P_Code],MATCH(Data_NFI_t[[#This Row],[Camp Name]],Camp_List[Camp Name],0)-1,0,1,1),"")</f>
        <v/>
      </c>
      <c r="AN470" s="513" t="str">
        <f ca="1">IFERROR(OFFSET(Camp_List[Status],MATCH(Data_NFI_t[[#This Row],[Camp Name]],Camp_List[Camp Name],0)-1,0,1,1),"")</f>
        <v/>
      </c>
      <c r="AO470" s="131"/>
    </row>
    <row r="471" spans="1:41" s="789" customFormat="1" ht="19.5" customHeight="1" x14ac:dyDescent="0.25">
      <c r="A471" s="242" t="str">
        <f t="shared" si="9"/>
        <v/>
      </c>
      <c r="B471" s="522">
        <f>YEAR(Data_NFI_t[[#This Row],[Distribution Date]])</f>
        <v>1900</v>
      </c>
      <c r="C471" s="913"/>
      <c r="D471" s="489"/>
      <c r="E471" s="488"/>
      <c r="F471" s="489"/>
      <c r="G471" s="790"/>
      <c r="H471" s="790"/>
      <c r="I471" s="790"/>
      <c r="J471" s="51"/>
      <c r="K471" s="51"/>
      <c r="L471" s="119"/>
      <c r="M471" s="119"/>
      <c r="N471" s="119"/>
      <c r="O471" s="119"/>
      <c r="P471" s="119"/>
      <c r="Q471" s="119"/>
      <c r="R471" s="512"/>
      <c r="S471" s="119"/>
      <c r="T471" s="119"/>
      <c r="U471" s="119"/>
      <c r="V471" s="119"/>
      <c r="W471" s="119"/>
      <c r="X471" s="131">
        <f>IF(NFI_Expiration=1,IF($A471&lt;VLOOKUP(I$5,NFI,5,0),1,0)*Data_NFI_t[[#This Row],[Hygiene Kit]],0)</f>
        <v>0</v>
      </c>
      <c r="Y471" s="131">
        <f>IF(NFI_Expiration=1,IF($A471&lt;VLOOKUP(J$5,NFI,5,0),1,0)*Data_NFI_t[[#This Row],[NFI Core Kit]],0)</f>
        <v>0</v>
      </c>
      <c r="Z471" s="112">
        <f>IF(NFI_Expiration=1,IF($A471&lt;VLOOKUP(K$5,NFI,5,0),1,0)*Data_NFI_t[[#This Row],[Sanitary Kit]],0)</f>
        <v>0</v>
      </c>
      <c r="AA471" s="112">
        <f>IF(NFI_Expiration=1,IF($A471&lt;VLOOKUP(L$5,NFI,5,0),1,0)*Data_NFI_t[[#This Row],[Mosquito net]],0)</f>
        <v>0</v>
      </c>
      <c r="AB471" s="112">
        <f>IF(NFI_Expiration=1,IF($A471&lt;VLOOKUP(M$5,NFI,5,0),1,0)*Data_NFI_t[[#This Row],[Tarpaulin]],0)</f>
        <v>0</v>
      </c>
      <c r="AC471" s="112">
        <f>IF(NFI_Expiration=1,IF($A471&lt;VLOOKUP(N$5,NFI,5,0),1,0)*Data_NFI_t[[#This Row],[Blanket]],0)</f>
        <v>0</v>
      </c>
      <c r="AD471" s="112">
        <f>IF(NFI_Expiration=1,IF($A471&lt;VLOOKUP(O$5,NFI,5,0),1,0)*Data_NFI_t[[#This Row],[Kitchen Set]],0)</f>
        <v>0</v>
      </c>
      <c r="AE471" s="112">
        <f>IF(NFI_Expiration=1,IF($A471&lt;VLOOKUP(P$5,NFI,5,0),1,0)*Data_NFI_t[[#This Row],[Complementary Kit]],0)</f>
        <v>0</v>
      </c>
      <c r="AF471" s="112">
        <f>IF(NFI_Expiration=1,IF($A471&lt;VLOOKUP(Q$5,NFI,5,0),1,0)*Data_NFI_t[[#This Row],[Plastic Bucket]],0)</f>
        <v>0</v>
      </c>
      <c r="AG471" s="131">
        <f>IF(NFI_Expiration=1,IF($A471&lt;VLOOKUP(R$5,NFI,5,0),1,0)*Data_NFI_t[[#This Row],[Jerry Can]],0)</f>
        <v>0</v>
      </c>
      <c r="AH471" s="131">
        <f>IF(NFI_Expiration=1,IF($A471&lt;VLOOKUP(S$5,NFI,5,0),1,0)*Data_NFI_t[[#This Row],[Plastic Mat]],0)*IF(Data_NFI_t[[#This Row],[Distribution Date]]&gt;"01-06-2015",1,2.5)</f>
        <v>0</v>
      </c>
      <c r="AI471" s="901">
        <f>IF(NFI_Expiration=1,IF($A471&lt;VLOOKUP(T$5,NFI,5,0),1,0)*Data_NFI_t[[#This Row],[Adult Clothes]],0)</f>
        <v>0</v>
      </c>
      <c r="AJ471" s="131">
        <f>IF(NFI_Expiration=1,IF($A471&lt;VLOOKUP(U$5,NFI,5,0),1,0)*Data_NFI_t[[#This Row],[Children Clothes]],0)</f>
        <v>0</v>
      </c>
      <c r="AK471" s="131">
        <f>IF(NFI_Expiration=1,IF($A471&lt;VLOOKUP(V$5,NFI,5,0),1,0)*Data_NFI_t[[#This Row],[Sewing Kit]],0)</f>
        <v>0</v>
      </c>
      <c r="AL471" s="901">
        <f>IF(NFI_Expiration=1,IF($A471&lt;VLOOKUP(V$5,NFI,5,0),1,0)*Data_NFI_t[[#This Row],[Solar Lantern]],0)</f>
        <v>0</v>
      </c>
      <c r="AM471" s="131" t="str">
        <f ca="1">IFERROR(OFFSET(Camp_List[P_Code],MATCH(Data_NFI_t[[#This Row],[Camp Name]],Camp_List[Camp Name],0)-1,0,1,1),"")</f>
        <v/>
      </c>
      <c r="AN471" s="513" t="str">
        <f ca="1">IFERROR(OFFSET(Camp_List[Status],MATCH(Data_NFI_t[[#This Row],[Camp Name]],Camp_List[Camp Name],0)-1,0,1,1),"")</f>
        <v/>
      </c>
      <c r="AO471" s="131"/>
    </row>
    <row r="472" spans="1:41" s="789" customFormat="1" ht="19.5" customHeight="1" x14ac:dyDescent="0.25">
      <c r="A472" s="242" t="str">
        <f t="shared" si="9"/>
        <v/>
      </c>
      <c r="B472" s="522">
        <f>YEAR(Data_NFI_t[[#This Row],[Distribution Date]])</f>
        <v>1900</v>
      </c>
      <c r="C472" s="913"/>
      <c r="D472" s="489"/>
      <c r="E472" s="488"/>
      <c r="F472" s="489"/>
      <c r="G472" s="790"/>
      <c r="H472" s="790"/>
      <c r="I472" s="790"/>
      <c r="J472" s="51"/>
      <c r="K472" s="51"/>
      <c r="L472" s="119"/>
      <c r="M472" s="119"/>
      <c r="N472" s="119"/>
      <c r="O472" s="119"/>
      <c r="P472" s="119"/>
      <c r="Q472" s="119"/>
      <c r="R472" s="512"/>
      <c r="S472" s="119"/>
      <c r="T472" s="119"/>
      <c r="U472" s="119"/>
      <c r="V472" s="119"/>
      <c r="W472" s="119"/>
      <c r="X472" s="131">
        <f>IF(NFI_Expiration=1,IF($A472&lt;VLOOKUP(I$5,NFI,5,0),1,0)*Data_NFI_t[[#This Row],[Hygiene Kit]],0)</f>
        <v>0</v>
      </c>
      <c r="Y472" s="131">
        <f>IF(NFI_Expiration=1,IF($A472&lt;VLOOKUP(J$5,NFI,5,0),1,0)*Data_NFI_t[[#This Row],[NFI Core Kit]],0)</f>
        <v>0</v>
      </c>
      <c r="Z472" s="112">
        <f>IF(NFI_Expiration=1,IF($A472&lt;VLOOKUP(K$5,NFI,5,0),1,0)*Data_NFI_t[[#This Row],[Sanitary Kit]],0)</f>
        <v>0</v>
      </c>
      <c r="AA472" s="112">
        <f>IF(NFI_Expiration=1,IF($A472&lt;VLOOKUP(L$5,NFI,5,0),1,0)*Data_NFI_t[[#This Row],[Mosquito net]],0)</f>
        <v>0</v>
      </c>
      <c r="AB472" s="112">
        <f>IF(NFI_Expiration=1,IF($A472&lt;VLOOKUP(M$5,NFI,5,0),1,0)*Data_NFI_t[[#This Row],[Tarpaulin]],0)</f>
        <v>0</v>
      </c>
      <c r="AC472" s="112">
        <f>IF(NFI_Expiration=1,IF($A472&lt;VLOOKUP(N$5,NFI,5,0),1,0)*Data_NFI_t[[#This Row],[Blanket]],0)</f>
        <v>0</v>
      </c>
      <c r="AD472" s="112">
        <f>IF(NFI_Expiration=1,IF($A472&lt;VLOOKUP(O$5,NFI,5,0),1,0)*Data_NFI_t[[#This Row],[Kitchen Set]],0)</f>
        <v>0</v>
      </c>
      <c r="AE472" s="112">
        <f>IF(NFI_Expiration=1,IF($A472&lt;VLOOKUP(P$5,NFI,5,0),1,0)*Data_NFI_t[[#This Row],[Complementary Kit]],0)</f>
        <v>0</v>
      </c>
      <c r="AF472" s="112">
        <f>IF(NFI_Expiration=1,IF($A472&lt;VLOOKUP(Q$5,NFI,5,0),1,0)*Data_NFI_t[[#This Row],[Plastic Bucket]],0)</f>
        <v>0</v>
      </c>
      <c r="AG472" s="131">
        <f>IF(NFI_Expiration=1,IF($A472&lt;VLOOKUP(R$5,NFI,5,0),1,0)*Data_NFI_t[[#This Row],[Jerry Can]],0)</f>
        <v>0</v>
      </c>
      <c r="AH472" s="131">
        <f>IF(NFI_Expiration=1,IF($A472&lt;VLOOKUP(S$5,NFI,5,0),1,0)*Data_NFI_t[[#This Row],[Plastic Mat]],0)*IF(Data_NFI_t[[#This Row],[Distribution Date]]&gt;"01-06-2015",1,2.5)</f>
        <v>0</v>
      </c>
      <c r="AI472" s="901">
        <f>IF(NFI_Expiration=1,IF($A472&lt;VLOOKUP(T$5,NFI,5,0),1,0)*Data_NFI_t[[#This Row],[Adult Clothes]],0)</f>
        <v>0</v>
      </c>
      <c r="AJ472" s="131">
        <f>IF(NFI_Expiration=1,IF($A472&lt;VLOOKUP(U$5,NFI,5,0),1,0)*Data_NFI_t[[#This Row],[Children Clothes]],0)</f>
        <v>0</v>
      </c>
      <c r="AK472" s="131">
        <f>IF(NFI_Expiration=1,IF($A472&lt;VLOOKUP(V$5,NFI,5,0),1,0)*Data_NFI_t[[#This Row],[Sewing Kit]],0)</f>
        <v>0</v>
      </c>
      <c r="AL472" s="901">
        <f>IF(NFI_Expiration=1,IF($A472&lt;VLOOKUP(V$5,NFI,5,0),1,0)*Data_NFI_t[[#This Row],[Solar Lantern]],0)</f>
        <v>0</v>
      </c>
      <c r="AM472" s="131" t="str">
        <f ca="1">IFERROR(OFFSET(Camp_List[P_Code],MATCH(Data_NFI_t[[#This Row],[Camp Name]],Camp_List[Camp Name],0)-1,0,1,1),"")</f>
        <v/>
      </c>
      <c r="AN472" s="513" t="str">
        <f ca="1">IFERROR(OFFSET(Camp_List[Status],MATCH(Data_NFI_t[[#This Row],[Camp Name]],Camp_List[Camp Name],0)-1,0,1,1),"")</f>
        <v/>
      </c>
      <c r="AO472" s="131"/>
    </row>
    <row r="473" spans="1:41" s="789" customFormat="1" ht="19.5" customHeight="1" x14ac:dyDescent="0.25">
      <c r="A473" s="242" t="str">
        <f t="shared" si="9"/>
        <v/>
      </c>
      <c r="B473" s="522">
        <f>YEAR(Data_NFI_t[[#This Row],[Distribution Date]])</f>
        <v>1900</v>
      </c>
      <c r="C473" s="913"/>
      <c r="D473" s="489"/>
      <c r="E473" s="488"/>
      <c r="F473" s="489"/>
      <c r="G473" s="790"/>
      <c r="H473" s="790"/>
      <c r="I473" s="790"/>
      <c r="J473" s="51"/>
      <c r="K473" s="51"/>
      <c r="L473" s="119"/>
      <c r="M473" s="119"/>
      <c r="N473" s="119"/>
      <c r="O473" s="119"/>
      <c r="P473" s="119"/>
      <c r="Q473" s="119"/>
      <c r="R473" s="512"/>
      <c r="S473" s="119"/>
      <c r="T473" s="119"/>
      <c r="U473" s="119"/>
      <c r="V473" s="119"/>
      <c r="W473" s="119"/>
      <c r="X473" s="131">
        <f>IF(NFI_Expiration=1,IF($A473&lt;VLOOKUP(I$5,NFI,5,0),1,0)*Data_NFI_t[[#This Row],[Hygiene Kit]],0)</f>
        <v>0</v>
      </c>
      <c r="Y473" s="131">
        <f>IF(NFI_Expiration=1,IF($A473&lt;VLOOKUP(J$5,NFI,5,0),1,0)*Data_NFI_t[[#This Row],[NFI Core Kit]],0)</f>
        <v>0</v>
      </c>
      <c r="Z473" s="112">
        <f>IF(NFI_Expiration=1,IF($A473&lt;VLOOKUP(K$5,NFI,5,0),1,0)*Data_NFI_t[[#This Row],[Sanitary Kit]],0)</f>
        <v>0</v>
      </c>
      <c r="AA473" s="112">
        <f>IF(NFI_Expiration=1,IF($A473&lt;VLOOKUP(L$5,NFI,5,0),1,0)*Data_NFI_t[[#This Row],[Mosquito net]],0)</f>
        <v>0</v>
      </c>
      <c r="AB473" s="112">
        <f>IF(NFI_Expiration=1,IF($A473&lt;VLOOKUP(M$5,NFI,5,0),1,0)*Data_NFI_t[[#This Row],[Tarpaulin]],0)</f>
        <v>0</v>
      </c>
      <c r="AC473" s="112">
        <f>IF(NFI_Expiration=1,IF($A473&lt;VLOOKUP(N$5,NFI,5,0),1,0)*Data_NFI_t[[#This Row],[Blanket]],0)</f>
        <v>0</v>
      </c>
      <c r="AD473" s="112">
        <f>IF(NFI_Expiration=1,IF($A473&lt;VLOOKUP(O$5,NFI,5,0),1,0)*Data_NFI_t[[#This Row],[Kitchen Set]],0)</f>
        <v>0</v>
      </c>
      <c r="AE473" s="112">
        <f>IF(NFI_Expiration=1,IF($A473&lt;VLOOKUP(P$5,NFI,5,0),1,0)*Data_NFI_t[[#This Row],[Complementary Kit]],0)</f>
        <v>0</v>
      </c>
      <c r="AF473" s="112">
        <f>IF(NFI_Expiration=1,IF($A473&lt;VLOOKUP(Q$5,NFI,5,0),1,0)*Data_NFI_t[[#This Row],[Plastic Bucket]],0)</f>
        <v>0</v>
      </c>
      <c r="AG473" s="131">
        <f>IF(NFI_Expiration=1,IF($A473&lt;VLOOKUP(R$5,NFI,5,0),1,0)*Data_NFI_t[[#This Row],[Jerry Can]],0)</f>
        <v>0</v>
      </c>
      <c r="AH473" s="131">
        <f>IF(NFI_Expiration=1,IF($A473&lt;VLOOKUP(S$5,NFI,5,0),1,0)*Data_NFI_t[[#This Row],[Plastic Mat]],0)*IF(Data_NFI_t[[#This Row],[Distribution Date]]&gt;"01-06-2015",1,2.5)</f>
        <v>0</v>
      </c>
      <c r="AI473" s="901">
        <f>IF(NFI_Expiration=1,IF($A473&lt;VLOOKUP(T$5,NFI,5,0),1,0)*Data_NFI_t[[#This Row],[Adult Clothes]],0)</f>
        <v>0</v>
      </c>
      <c r="AJ473" s="131">
        <f>IF(NFI_Expiration=1,IF($A473&lt;VLOOKUP(U$5,NFI,5,0),1,0)*Data_NFI_t[[#This Row],[Children Clothes]],0)</f>
        <v>0</v>
      </c>
      <c r="AK473" s="131">
        <f>IF(NFI_Expiration=1,IF($A473&lt;VLOOKUP(V$5,NFI,5,0),1,0)*Data_NFI_t[[#This Row],[Sewing Kit]],0)</f>
        <v>0</v>
      </c>
      <c r="AL473" s="901">
        <f>IF(NFI_Expiration=1,IF($A473&lt;VLOOKUP(V$5,NFI,5,0),1,0)*Data_NFI_t[[#This Row],[Solar Lantern]],0)</f>
        <v>0</v>
      </c>
      <c r="AM473" s="131" t="str">
        <f ca="1">IFERROR(OFFSET(Camp_List[P_Code],MATCH(Data_NFI_t[[#This Row],[Camp Name]],Camp_List[Camp Name],0)-1,0,1,1),"")</f>
        <v/>
      </c>
      <c r="AN473" s="513" t="str">
        <f ca="1">IFERROR(OFFSET(Camp_List[Status],MATCH(Data_NFI_t[[#This Row],[Camp Name]],Camp_List[Camp Name],0)-1,0,1,1),"")</f>
        <v/>
      </c>
      <c r="AO473" s="131"/>
    </row>
    <row r="474" spans="1:41" s="789" customFormat="1" ht="19.5" customHeight="1" x14ac:dyDescent="0.25">
      <c r="A474" s="242" t="str">
        <f t="shared" si="9"/>
        <v/>
      </c>
      <c r="B474" s="522">
        <f>YEAR(Data_NFI_t[[#This Row],[Distribution Date]])</f>
        <v>1900</v>
      </c>
      <c r="C474" s="913"/>
      <c r="D474" s="489"/>
      <c r="E474" s="488"/>
      <c r="F474" s="489"/>
      <c r="G474" s="790"/>
      <c r="H474" s="790"/>
      <c r="I474" s="790"/>
      <c r="J474" s="51"/>
      <c r="K474" s="51"/>
      <c r="L474" s="119"/>
      <c r="M474" s="119"/>
      <c r="N474" s="119"/>
      <c r="O474" s="119"/>
      <c r="P474" s="119"/>
      <c r="Q474" s="119"/>
      <c r="R474" s="512"/>
      <c r="S474" s="119"/>
      <c r="T474" s="119"/>
      <c r="U474" s="119"/>
      <c r="V474" s="119"/>
      <c r="W474" s="119"/>
      <c r="X474" s="131">
        <f>IF(NFI_Expiration=1,IF($A474&lt;VLOOKUP(I$5,NFI,5,0),1,0)*Data_NFI_t[[#This Row],[Hygiene Kit]],0)</f>
        <v>0</v>
      </c>
      <c r="Y474" s="131">
        <f>IF(NFI_Expiration=1,IF($A474&lt;VLOOKUP(J$5,NFI,5,0),1,0)*Data_NFI_t[[#This Row],[NFI Core Kit]],0)</f>
        <v>0</v>
      </c>
      <c r="Z474" s="112">
        <f>IF(NFI_Expiration=1,IF($A474&lt;VLOOKUP(K$5,NFI,5,0),1,0)*Data_NFI_t[[#This Row],[Sanitary Kit]],0)</f>
        <v>0</v>
      </c>
      <c r="AA474" s="112">
        <f>IF(NFI_Expiration=1,IF($A474&lt;VLOOKUP(L$5,NFI,5,0),1,0)*Data_NFI_t[[#This Row],[Mosquito net]],0)</f>
        <v>0</v>
      </c>
      <c r="AB474" s="112">
        <f>IF(NFI_Expiration=1,IF($A474&lt;VLOOKUP(M$5,NFI,5,0),1,0)*Data_NFI_t[[#This Row],[Tarpaulin]],0)</f>
        <v>0</v>
      </c>
      <c r="AC474" s="112">
        <f>IF(NFI_Expiration=1,IF($A474&lt;VLOOKUP(N$5,NFI,5,0),1,0)*Data_NFI_t[[#This Row],[Blanket]],0)</f>
        <v>0</v>
      </c>
      <c r="AD474" s="112">
        <f>IF(NFI_Expiration=1,IF($A474&lt;VLOOKUP(O$5,NFI,5,0),1,0)*Data_NFI_t[[#This Row],[Kitchen Set]],0)</f>
        <v>0</v>
      </c>
      <c r="AE474" s="112">
        <f>IF(NFI_Expiration=1,IF($A474&lt;VLOOKUP(P$5,NFI,5,0),1,0)*Data_NFI_t[[#This Row],[Complementary Kit]],0)</f>
        <v>0</v>
      </c>
      <c r="AF474" s="112">
        <f>IF(NFI_Expiration=1,IF($A474&lt;VLOOKUP(Q$5,NFI,5,0),1,0)*Data_NFI_t[[#This Row],[Plastic Bucket]],0)</f>
        <v>0</v>
      </c>
      <c r="AG474" s="131">
        <f>IF(NFI_Expiration=1,IF($A474&lt;VLOOKUP(R$5,NFI,5,0),1,0)*Data_NFI_t[[#This Row],[Jerry Can]],0)</f>
        <v>0</v>
      </c>
      <c r="AH474" s="131">
        <f>IF(NFI_Expiration=1,IF($A474&lt;VLOOKUP(S$5,NFI,5,0),1,0)*Data_NFI_t[[#This Row],[Plastic Mat]],0)*IF(Data_NFI_t[[#This Row],[Distribution Date]]&gt;"01-06-2015",1,2.5)</f>
        <v>0</v>
      </c>
      <c r="AI474" s="901">
        <f>IF(NFI_Expiration=1,IF($A474&lt;VLOOKUP(T$5,NFI,5,0),1,0)*Data_NFI_t[[#This Row],[Adult Clothes]],0)</f>
        <v>0</v>
      </c>
      <c r="AJ474" s="131">
        <f>IF(NFI_Expiration=1,IF($A474&lt;VLOOKUP(U$5,NFI,5,0),1,0)*Data_NFI_t[[#This Row],[Children Clothes]],0)</f>
        <v>0</v>
      </c>
      <c r="AK474" s="131">
        <f>IF(NFI_Expiration=1,IF($A474&lt;VLOOKUP(V$5,NFI,5,0),1,0)*Data_NFI_t[[#This Row],[Sewing Kit]],0)</f>
        <v>0</v>
      </c>
      <c r="AL474" s="901">
        <f>IF(NFI_Expiration=1,IF($A474&lt;VLOOKUP(V$5,NFI,5,0),1,0)*Data_NFI_t[[#This Row],[Solar Lantern]],0)</f>
        <v>0</v>
      </c>
      <c r="AM474" s="131" t="str">
        <f ca="1">IFERROR(OFFSET(Camp_List[P_Code],MATCH(Data_NFI_t[[#This Row],[Camp Name]],Camp_List[Camp Name],0)-1,0,1,1),"")</f>
        <v/>
      </c>
      <c r="AN474" s="513" t="str">
        <f ca="1">IFERROR(OFFSET(Camp_List[Status],MATCH(Data_NFI_t[[#This Row],[Camp Name]],Camp_List[Camp Name],0)-1,0,1,1),"")</f>
        <v/>
      </c>
      <c r="AO474" s="131"/>
    </row>
    <row r="475" spans="1:41" s="789" customFormat="1" ht="19.5" customHeight="1" x14ac:dyDescent="0.25">
      <c r="A475" s="242" t="str">
        <f t="shared" si="9"/>
        <v/>
      </c>
      <c r="B475" s="522">
        <f>YEAR(Data_NFI_t[[#This Row],[Distribution Date]])</f>
        <v>1900</v>
      </c>
      <c r="C475" s="913"/>
      <c r="D475" s="489"/>
      <c r="E475" s="488"/>
      <c r="F475" s="489"/>
      <c r="G475" s="790"/>
      <c r="H475" s="790"/>
      <c r="I475" s="790"/>
      <c r="J475" s="51"/>
      <c r="K475" s="51"/>
      <c r="L475" s="119"/>
      <c r="M475" s="119"/>
      <c r="N475" s="119"/>
      <c r="O475" s="119"/>
      <c r="P475" s="119"/>
      <c r="Q475" s="119"/>
      <c r="R475" s="512"/>
      <c r="S475" s="119"/>
      <c r="T475" s="119"/>
      <c r="U475" s="119"/>
      <c r="V475" s="119"/>
      <c r="W475" s="119"/>
      <c r="X475" s="131">
        <f>IF(NFI_Expiration=1,IF($A475&lt;VLOOKUP(I$5,NFI,5,0),1,0)*Data_NFI_t[[#This Row],[Hygiene Kit]],0)</f>
        <v>0</v>
      </c>
      <c r="Y475" s="131">
        <f>IF(NFI_Expiration=1,IF($A475&lt;VLOOKUP(J$5,NFI,5,0),1,0)*Data_NFI_t[[#This Row],[NFI Core Kit]],0)</f>
        <v>0</v>
      </c>
      <c r="Z475" s="112">
        <f>IF(NFI_Expiration=1,IF($A475&lt;VLOOKUP(K$5,NFI,5,0),1,0)*Data_NFI_t[[#This Row],[Sanitary Kit]],0)</f>
        <v>0</v>
      </c>
      <c r="AA475" s="112">
        <f>IF(NFI_Expiration=1,IF($A475&lt;VLOOKUP(L$5,NFI,5,0),1,0)*Data_NFI_t[[#This Row],[Mosquito net]],0)</f>
        <v>0</v>
      </c>
      <c r="AB475" s="112">
        <f>IF(NFI_Expiration=1,IF($A475&lt;VLOOKUP(M$5,NFI,5,0),1,0)*Data_NFI_t[[#This Row],[Tarpaulin]],0)</f>
        <v>0</v>
      </c>
      <c r="AC475" s="112">
        <f>IF(NFI_Expiration=1,IF($A475&lt;VLOOKUP(N$5,NFI,5,0),1,0)*Data_NFI_t[[#This Row],[Blanket]],0)</f>
        <v>0</v>
      </c>
      <c r="AD475" s="112">
        <f>IF(NFI_Expiration=1,IF($A475&lt;VLOOKUP(O$5,NFI,5,0),1,0)*Data_NFI_t[[#This Row],[Kitchen Set]],0)</f>
        <v>0</v>
      </c>
      <c r="AE475" s="112">
        <f>IF(NFI_Expiration=1,IF($A475&lt;VLOOKUP(P$5,NFI,5,0),1,0)*Data_NFI_t[[#This Row],[Complementary Kit]],0)</f>
        <v>0</v>
      </c>
      <c r="AF475" s="112">
        <f>IF(NFI_Expiration=1,IF($A475&lt;VLOOKUP(Q$5,NFI,5,0),1,0)*Data_NFI_t[[#This Row],[Plastic Bucket]],0)</f>
        <v>0</v>
      </c>
      <c r="AG475" s="131">
        <f>IF(NFI_Expiration=1,IF($A475&lt;VLOOKUP(R$5,NFI,5,0),1,0)*Data_NFI_t[[#This Row],[Jerry Can]],0)</f>
        <v>0</v>
      </c>
      <c r="AH475" s="131">
        <f>IF(NFI_Expiration=1,IF($A475&lt;VLOOKUP(S$5,NFI,5,0),1,0)*Data_NFI_t[[#This Row],[Plastic Mat]],0)*IF(Data_NFI_t[[#This Row],[Distribution Date]]&gt;"01-06-2015",1,2.5)</f>
        <v>0</v>
      </c>
      <c r="AI475" s="901">
        <f>IF(NFI_Expiration=1,IF($A475&lt;VLOOKUP(T$5,NFI,5,0),1,0)*Data_NFI_t[[#This Row],[Adult Clothes]],0)</f>
        <v>0</v>
      </c>
      <c r="AJ475" s="131">
        <f>IF(NFI_Expiration=1,IF($A475&lt;VLOOKUP(U$5,NFI,5,0),1,0)*Data_NFI_t[[#This Row],[Children Clothes]],0)</f>
        <v>0</v>
      </c>
      <c r="AK475" s="131">
        <f>IF(NFI_Expiration=1,IF($A475&lt;VLOOKUP(V$5,NFI,5,0),1,0)*Data_NFI_t[[#This Row],[Sewing Kit]],0)</f>
        <v>0</v>
      </c>
      <c r="AL475" s="901">
        <f>IF(NFI_Expiration=1,IF($A475&lt;VLOOKUP(V$5,NFI,5,0),1,0)*Data_NFI_t[[#This Row],[Solar Lantern]],0)</f>
        <v>0</v>
      </c>
      <c r="AM475" s="131" t="str">
        <f ca="1">IFERROR(OFFSET(Camp_List[P_Code],MATCH(Data_NFI_t[[#This Row],[Camp Name]],Camp_List[Camp Name],0)-1,0,1,1),"")</f>
        <v/>
      </c>
      <c r="AN475" s="513" t="str">
        <f ca="1">IFERROR(OFFSET(Camp_List[Status],MATCH(Data_NFI_t[[#This Row],[Camp Name]],Camp_List[Camp Name],0)-1,0,1,1),"")</f>
        <v/>
      </c>
      <c r="AO475" s="131"/>
    </row>
    <row r="476" spans="1:41" s="789" customFormat="1" ht="19.5" customHeight="1" x14ac:dyDescent="0.25">
      <c r="A476" s="242" t="str">
        <f t="shared" si="9"/>
        <v/>
      </c>
      <c r="B476" s="522">
        <f>YEAR(Data_NFI_t[[#This Row],[Distribution Date]])</f>
        <v>1900</v>
      </c>
      <c r="C476" s="913"/>
      <c r="D476" s="489"/>
      <c r="E476" s="488"/>
      <c r="F476" s="489"/>
      <c r="G476" s="790"/>
      <c r="H476" s="790"/>
      <c r="I476" s="790"/>
      <c r="J476" s="51"/>
      <c r="K476" s="51"/>
      <c r="L476" s="119"/>
      <c r="M476" s="119"/>
      <c r="N476" s="119"/>
      <c r="O476" s="119"/>
      <c r="P476" s="119"/>
      <c r="Q476" s="119"/>
      <c r="R476" s="512"/>
      <c r="S476" s="119"/>
      <c r="T476" s="119"/>
      <c r="U476" s="119"/>
      <c r="V476" s="119"/>
      <c r="W476" s="119"/>
      <c r="X476" s="131">
        <f>IF(NFI_Expiration=1,IF($A476&lt;VLOOKUP(I$5,NFI,5,0),1,0)*Data_NFI_t[[#This Row],[Hygiene Kit]],0)</f>
        <v>0</v>
      </c>
      <c r="Y476" s="131">
        <f>IF(NFI_Expiration=1,IF($A476&lt;VLOOKUP(J$5,NFI,5,0),1,0)*Data_NFI_t[[#This Row],[NFI Core Kit]],0)</f>
        <v>0</v>
      </c>
      <c r="Z476" s="112">
        <f>IF(NFI_Expiration=1,IF($A476&lt;VLOOKUP(K$5,NFI,5,0),1,0)*Data_NFI_t[[#This Row],[Sanitary Kit]],0)</f>
        <v>0</v>
      </c>
      <c r="AA476" s="112">
        <f>IF(NFI_Expiration=1,IF($A476&lt;VLOOKUP(L$5,NFI,5,0),1,0)*Data_NFI_t[[#This Row],[Mosquito net]],0)</f>
        <v>0</v>
      </c>
      <c r="AB476" s="112">
        <f>IF(NFI_Expiration=1,IF($A476&lt;VLOOKUP(M$5,NFI,5,0),1,0)*Data_NFI_t[[#This Row],[Tarpaulin]],0)</f>
        <v>0</v>
      </c>
      <c r="AC476" s="112">
        <f>IF(NFI_Expiration=1,IF($A476&lt;VLOOKUP(N$5,NFI,5,0),1,0)*Data_NFI_t[[#This Row],[Blanket]],0)</f>
        <v>0</v>
      </c>
      <c r="AD476" s="112">
        <f>IF(NFI_Expiration=1,IF($A476&lt;VLOOKUP(O$5,NFI,5,0),1,0)*Data_NFI_t[[#This Row],[Kitchen Set]],0)</f>
        <v>0</v>
      </c>
      <c r="AE476" s="112">
        <f>IF(NFI_Expiration=1,IF($A476&lt;VLOOKUP(P$5,NFI,5,0),1,0)*Data_NFI_t[[#This Row],[Complementary Kit]],0)</f>
        <v>0</v>
      </c>
      <c r="AF476" s="112">
        <f>IF(NFI_Expiration=1,IF($A476&lt;VLOOKUP(Q$5,NFI,5,0),1,0)*Data_NFI_t[[#This Row],[Plastic Bucket]],0)</f>
        <v>0</v>
      </c>
      <c r="AG476" s="131">
        <f>IF(NFI_Expiration=1,IF($A476&lt;VLOOKUP(R$5,NFI,5,0),1,0)*Data_NFI_t[[#This Row],[Jerry Can]],0)</f>
        <v>0</v>
      </c>
      <c r="AH476" s="131">
        <f>IF(NFI_Expiration=1,IF($A476&lt;VLOOKUP(S$5,NFI,5,0),1,0)*Data_NFI_t[[#This Row],[Plastic Mat]],0)*IF(Data_NFI_t[[#This Row],[Distribution Date]]&gt;"01-06-2015",1,2.5)</f>
        <v>0</v>
      </c>
      <c r="AI476" s="901">
        <f>IF(NFI_Expiration=1,IF($A476&lt;VLOOKUP(T$5,NFI,5,0),1,0)*Data_NFI_t[[#This Row],[Adult Clothes]],0)</f>
        <v>0</v>
      </c>
      <c r="AJ476" s="131">
        <f>IF(NFI_Expiration=1,IF($A476&lt;VLOOKUP(U$5,NFI,5,0),1,0)*Data_NFI_t[[#This Row],[Children Clothes]],0)</f>
        <v>0</v>
      </c>
      <c r="AK476" s="131">
        <f>IF(NFI_Expiration=1,IF($A476&lt;VLOOKUP(V$5,NFI,5,0),1,0)*Data_NFI_t[[#This Row],[Sewing Kit]],0)</f>
        <v>0</v>
      </c>
      <c r="AL476" s="901">
        <f>IF(NFI_Expiration=1,IF($A476&lt;VLOOKUP(V$5,NFI,5,0),1,0)*Data_NFI_t[[#This Row],[Solar Lantern]],0)</f>
        <v>0</v>
      </c>
      <c r="AM476" s="131" t="str">
        <f ca="1">IFERROR(OFFSET(Camp_List[P_Code],MATCH(Data_NFI_t[[#This Row],[Camp Name]],Camp_List[Camp Name],0)-1,0,1,1),"")</f>
        <v/>
      </c>
      <c r="AN476" s="513" t="str">
        <f ca="1">IFERROR(OFFSET(Camp_List[Status],MATCH(Data_NFI_t[[#This Row],[Camp Name]],Camp_List[Camp Name],0)-1,0,1,1),"")</f>
        <v/>
      </c>
      <c r="AO476" s="131"/>
    </row>
    <row r="477" spans="1:41" s="789" customFormat="1" ht="19.5" customHeight="1" x14ac:dyDescent="0.25">
      <c r="A477" s="242" t="str">
        <f t="shared" si="9"/>
        <v/>
      </c>
      <c r="B477" s="522">
        <f>YEAR(Data_NFI_t[[#This Row],[Distribution Date]])</f>
        <v>1900</v>
      </c>
      <c r="C477" s="913"/>
      <c r="D477" s="489"/>
      <c r="E477" s="488"/>
      <c r="F477" s="489"/>
      <c r="G477" s="790"/>
      <c r="H477" s="790"/>
      <c r="I477" s="790"/>
      <c r="J477" s="51"/>
      <c r="K477" s="51"/>
      <c r="L477" s="119"/>
      <c r="M477" s="119"/>
      <c r="N477" s="119"/>
      <c r="O477" s="119"/>
      <c r="P477" s="119"/>
      <c r="Q477" s="119"/>
      <c r="R477" s="512"/>
      <c r="S477" s="119"/>
      <c r="T477" s="119"/>
      <c r="U477" s="119"/>
      <c r="V477" s="119"/>
      <c r="W477" s="119"/>
      <c r="X477" s="131">
        <f>IF(NFI_Expiration=1,IF($A477&lt;VLOOKUP(I$5,NFI,5,0),1,0)*Data_NFI_t[[#This Row],[Hygiene Kit]],0)</f>
        <v>0</v>
      </c>
      <c r="Y477" s="131">
        <f>IF(NFI_Expiration=1,IF($A477&lt;VLOOKUP(J$5,NFI,5,0),1,0)*Data_NFI_t[[#This Row],[NFI Core Kit]],0)</f>
        <v>0</v>
      </c>
      <c r="Z477" s="112">
        <f>IF(NFI_Expiration=1,IF($A477&lt;VLOOKUP(K$5,NFI,5,0),1,0)*Data_NFI_t[[#This Row],[Sanitary Kit]],0)</f>
        <v>0</v>
      </c>
      <c r="AA477" s="112">
        <f>IF(NFI_Expiration=1,IF($A477&lt;VLOOKUP(L$5,NFI,5,0),1,0)*Data_NFI_t[[#This Row],[Mosquito net]],0)</f>
        <v>0</v>
      </c>
      <c r="AB477" s="112">
        <f>IF(NFI_Expiration=1,IF($A477&lt;VLOOKUP(M$5,NFI,5,0),1,0)*Data_NFI_t[[#This Row],[Tarpaulin]],0)</f>
        <v>0</v>
      </c>
      <c r="AC477" s="112">
        <f>IF(NFI_Expiration=1,IF($A477&lt;VLOOKUP(N$5,NFI,5,0),1,0)*Data_NFI_t[[#This Row],[Blanket]],0)</f>
        <v>0</v>
      </c>
      <c r="AD477" s="112">
        <f>IF(NFI_Expiration=1,IF($A477&lt;VLOOKUP(O$5,NFI,5,0),1,0)*Data_NFI_t[[#This Row],[Kitchen Set]],0)</f>
        <v>0</v>
      </c>
      <c r="AE477" s="112">
        <f>IF(NFI_Expiration=1,IF($A477&lt;VLOOKUP(P$5,NFI,5,0),1,0)*Data_NFI_t[[#This Row],[Complementary Kit]],0)</f>
        <v>0</v>
      </c>
      <c r="AF477" s="112">
        <f>IF(NFI_Expiration=1,IF($A477&lt;VLOOKUP(Q$5,NFI,5,0),1,0)*Data_NFI_t[[#This Row],[Plastic Bucket]],0)</f>
        <v>0</v>
      </c>
      <c r="AG477" s="131">
        <f>IF(NFI_Expiration=1,IF($A477&lt;VLOOKUP(R$5,NFI,5,0),1,0)*Data_NFI_t[[#This Row],[Jerry Can]],0)</f>
        <v>0</v>
      </c>
      <c r="AH477" s="131">
        <f>IF(NFI_Expiration=1,IF($A477&lt;VLOOKUP(S$5,NFI,5,0),1,0)*Data_NFI_t[[#This Row],[Plastic Mat]],0)*IF(Data_NFI_t[[#This Row],[Distribution Date]]&gt;"01-06-2015",1,2.5)</f>
        <v>0</v>
      </c>
      <c r="AI477" s="901">
        <f>IF(NFI_Expiration=1,IF($A477&lt;VLOOKUP(T$5,NFI,5,0),1,0)*Data_NFI_t[[#This Row],[Adult Clothes]],0)</f>
        <v>0</v>
      </c>
      <c r="AJ477" s="131">
        <f>IF(NFI_Expiration=1,IF($A477&lt;VLOOKUP(U$5,NFI,5,0),1,0)*Data_NFI_t[[#This Row],[Children Clothes]],0)</f>
        <v>0</v>
      </c>
      <c r="AK477" s="131">
        <f>IF(NFI_Expiration=1,IF($A477&lt;VLOOKUP(V$5,NFI,5,0),1,0)*Data_NFI_t[[#This Row],[Sewing Kit]],0)</f>
        <v>0</v>
      </c>
      <c r="AL477" s="901">
        <f>IF(NFI_Expiration=1,IF($A477&lt;VLOOKUP(V$5,NFI,5,0),1,0)*Data_NFI_t[[#This Row],[Solar Lantern]],0)</f>
        <v>0</v>
      </c>
      <c r="AM477" s="131" t="str">
        <f ca="1">IFERROR(OFFSET(Camp_List[P_Code],MATCH(Data_NFI_t[[#This Row],[Camp Name]],Camp_List[Camp Name],0)-1,0,1,1),"")</f>
        <v/>
      </c>
      <c r="AN477" s="513" t="str">
        <f ca="1">IFERROR(OFFSET(Camp_List[Status],MATCH(Data_NFI_t[[#This Row],[Camp Name]],Camp_List[Camp Name],0)-1,0,1,1),"")</f>
        <v/>
      </c>
      <c r="AO477" s="131"/>
    </row>
    <row r="478" spans="1:41" s="789" customFormat="1" ht="19.5" customHeight="1" x14ac:dyDescent="0.25">
      <c r="A478" s="242" t="str">
        <f t="shared" si="9"/>
        <v/>
      </c>
      <c r="B478" s="522">
        <f>YEAR(Data_NFI_t[[#This Row],[Distribution Date]])</f>
        <v>1900</v>
      </c>
      <c r="C478" s="913"/>
      <c r="D478" s="489"/>
      <c r="E478" s="488"/>
      <c r="F478" s="489"/>
      <c r="G478" s="790"/>
      <c r="H478" s="790"/>
      <c r="I478" s="790"/>
      <c r="J478" s="51"/>
      <c r="K478" s="51"/>
      <c r="L478" s="119"/>
      <c r="M478" s="119"/>
      <c r="N478" s="119"/>
      <c r="O478" s="119"/>
      <c r="P478" s="119"/>
      <c r="Q478" s="119"/>
      <c r="R478" s="512"/>
      <c r="S478" s="119"/>
      <c r="T478" s="119"/>
      <c r="U478" s="119"/>
      <c r="V478" s="119"/>
      <c r="W478" s="119"/>
      <c r="X478" s="131">
        <f>IF(NFI_Expiration=1,IF($A478&lt;VLOOKUP(I$5,NFI,5,0),1,0)*Data_NFI_t[[#This Row],[Hygiene Kit]],0)</f>
        <v>0</v>
      </c>
      <c r="Y478" s="131">
        <f>IF(NFI_Expiration=1,IF($A478&lt;VLOOKUP(J$5,NFI,5,0),1,0)*Data_NFI_t[[#This Row],[NFI Core Kit]],0)</f>
        <v>0</v>
      </c>
      <c r="Z478" s="112">
        <f>IF(NFI_Expiration=1,IF($A478&lt;VLOOKUP(K$5,NFI,5,0),1,0)*Data_NFI_t[[#This Row],[Sanitary Kit]],0)</f>
        <v>0</v>
      </c>
      <c r="AA478" s="112">
        <f>IF(NFI_Expiration=1,IF($A478&lt;VLOOKUP(L$5,NFI,5,0),1,0)*Data_NFI_t[[#This Row],[Mosquito net]],0)</f>
        <v>0</v>
      </c>
      <c r="AB478" s="112">
        <f>IF(NFI_Expiration=1,IF($A478&lt;VLOOKUP(M$5,NFI,5,0),1,0)*Data_NFI_t[[#This Row],[Tarpaulin]],0)</f>
        <v>0</v>
      </c>
      <c r="AC478" s="112">
        <f>IF(NFI_Expiration=1,IF($A478&lt;VLOOKUP(N$5,NFI,5,0),1,0)*Data_NFI_t[[#This Row],[Blanket]],0)</f>
        <v>0</v>
      </c>
      <c r="AD478" s="112">
        <f>IF(NFI_Expiration=1,IF($A478&lt;VLOOKUP(O$5,NFI,5,0),1,0)*Data_NFI_t[[#This Row],[Kitchen Set]],0)</f>
        <v>0</v>
      </c>
      <c r="AE478" s="112">
        <f>IF(NFI_Expiration=1,IF($A478&lt;VLOOKUP(P$5,NFI,5,0),1,0)*Data_NFI_t[[#This Row],[Complementary Kit]],0)</f>
        <v>0</v>
      </c>
      <c r="AF478" s="112">
        <f>IF(NFI_Expiration=1,IF($A478&lt;VLOOKUP(Q$5,NFI,5,0),1,0)*Data_NFI_t[[#This Row],[Plastic Bucket]],0)</f>
        <v>0</v>
      </c>
      <c r="AG478" s="131">
        <f>IF(NFI_Expiration=1,IF($A478&lt;VLOOKUP(R$5,NFI,5,0),1,0)*Data_NFI_t[[#This Row],[Jerry Can]],0)</f>
        <v>0</v>
      </c>
      <c r="AH478" s="131">
        <f>IF(NFI_Expiration=1,IF($A478&lt;VLOOKUP(S$5,NFI,5,0),1,0)*Data_NFI_t[[#This Row],[Plastic Mat]],0)*IF(Data_NFI_t[[#This Row],[Distribution Date]]&gt;"01-06-2015",1,2.5)</f>
        <v>0</v>
      </c>
      <c r="AI478" s="901">
        <f>IF(NFI_Expiration=1,IF($A478&lt;VLOOKUP(T$5,NFI,5,0),1,0)*Data_NFI_t[[#This Row],[Adult Clothes]],0)</f>
        <v>0</v>
      </c>
      <c r="AJ478" s="131">
        <f>IF(NFI_Expiration=1,IF($A478&lt;VLOOKUP(U$5,NFI,5,0),1,0)*Data_NFI_t[[#This Row],[Children Clothes]],0)</f>
        <v>0</v>
      </c>
      <c r="AK478" s="131">
        <f>IF(NFI_Expiration=1,IF($A478&lt;VLOOKUP(V$5,NFI,5,0),1,0)*Data_NFI_t[[#This Row],[Sewing Kit]],0)</f>
        <v>0</v>
      </c>
      <c r="AL478" s="901">
        <f>IF(NFI_Expiration=1,IF($A478&lt;VLOOKUP(V$5,NFI,5,0),1,0)*Data_NFI_t[[#This Row],[Solar Lantern]],0)</f>
        <v>0</v>
      </c>
      <c r="AM478" s="131" t="str">
        <f ca="1">IFERROR(OFFSET(Camp_List[P_Code],MATCH(Data_NFI_t[[#This Row],[Camp Name]],Camp_List[Camp Name],0)-1,0,1,1),"")</f>
        <v/>
      </c>
      <c r="AN478" s="513" t="str">
        <f ca="1">IFERROR(OFFSET(Camp_List[Status],MATCH(Data_NFI_t[[#This Row],[Camp Name]],Camp_List[Camp Name],0)-1,0,1,1),"")</f>
        <v/>
      </c>
      <c r="AO478" s="131"/>
    </row>
    <row r="479" spans="1:41" s="789" customFormat="1" ht="19.5" customHeight="1" x14ac:dyDescent="0.25">
      <c r="A479" s="242" t="str">
        <f t="shared" si="9"/>
        <v/>
      </c>
      <c r="B479" s="522">
        <f>YEAR(Data_NFI_t[[#This Row],[Distribution Date]])</f>
        <v>1900</v>
      </c>
      <c r="C479" s="913"/>
      <c r="D479" s="489"/>
      <c r="E479" s="488"/>
      <c r="F479" s="489"/>
      <c r="G479" s="790"/>
      <c r="H479" s="790"/>
      <c r="I479" s="790"/>
      <c r="J479" s="51"/>
      <c r="K479" s="51"/>
      <c r="L479" s="119"/>
      <c r="M479" s="119"/>
      <c r="N479" s="119"/>
      <c r="O479" s="119"/>
      <c r="P479" s="119"/>
      <c r="Q479" s="119"/>
      <c r="R479" s="512"/>
      <c r="S479" s="119"/>
      <c r="T479" s="119"/>
      <c r="U479" s="119"/>
      <c r="V479" s="119"/>
      <c r="W479" s="119"/>
      <c r="X479" s="131">
        <f>IF(NFI_Expiration=1,IF($A479&lt;VLOOKUP(I$5,NFI,5,0),1,0)*Data_NFI_t[[#This Row],[Hygiene Kit]],0)</f>
        <v>0</v>
      </c>
      <c r="Y479" s="131">
        <f>IF(NFI_Expiration=1,IF($A479&lt;VLOOKUP(J$5,NFI,5,0),1,0)*Data_NFI_t[[#This Row],[NFI Core Kit]],0)</f>
        <v>0</v>
      </c>
      <c r="Z479" s="112">
        <f>IF(NFI_Expiration=1,IF($A479&lt;VLOOKUP(K$5,NFI,5,0),1,0)*Data_NFI_t[[#This Row],[Sanitary Kit]],0)</f>
        <v>0</v>
      </c>
      <c r="AA479" s="112">
        <f>IF(NFI_Expiration=1,IF($A479&lt;VLOOKUP(L$5,NFI,5,0),1,0)*Data_NFI_t[[#This Row],[Mosquito net]],0)</f>
        <v>0</v>
      </c>
      <c r="AB479" s="112">
        <f>IF(NFI_Expiration=1,IF($A479&lt;VLOOKUP(M$5,NFI,5,0),1,0)*Data_NFI_t[[#This Row],[Tarpaulin]],0)</f>
        <v>0</v>
      </c>
      <c r="AC479" s="112">
        <f>IF(NFI_Expiration=1,IF($A479&lt;VLOOKUP(N$5,NFI,5,0),1,0)*Data_NFI_t[[#This Row],[Blanket]],0)</f>
        <v>0</v>
      </c>
      <c r="AD479" s="112">
        <f>IF(NFI_Expiration=1,IF($A479&lt;VLOOKUP(O$5,NFI,5,0),1,0)*Data_NFI_t[[#This Row],[Kitchen Set]],0)</f>
        <v>0</v>
      </c>
      <c r="AE479" s="112">
        <f>IF(NFI_Expiration=1,IF($A479&lt;VLOOKUP(P$5,NFI,5,0),1,0)*Data_NFI_t[[#This Row],[Complementary Kit]],0)</f>
        <v>0</v>
      </c>
      <c r="AF479" s="112">
        <f>IF(NFI_Expiration=1,IF($A479&lt;VLOOKUP(Q$5,NFI,5,0),1,0)*Data_NFI_t[[#This Row],[Plastic Bucket]],0)</f>
        <v>0</v>
      </c>
      <c r="AG479" s="131">
        <f>IF(NFI_Expiration=1,IF($A479&lt;VLOOKUP(R$5,NFI,5,0),1,0)*Data_NFI_t[[#This Row],[Jerry Can]],0)</f>
        <v>0</v>
      </c>
      <c r="AH479" s="131">
        <f>IF(NFI_Expiration=1,IF($A479&lt;VLOOKUP(S$5,NFI,5,0),1,0)*Data_NFI_t[[#This Row],[Plastic Mat]],0)*IF(Data_NFI_t[[#This Row],[Distribution Date]]&gt;"01-06-2015",1,2.5)</f>
        <v>0</v>
      </c>
      <c r="AI479" s="901">
        <f>IF(NFI_Expiration=1,IF($A479&lt;VLOOKUP(T$5,NFI,5,0),1,0)*Data_NFI_t[[#This Row],[Adult Clothes]],0)</f>
        <v>0</v>
      </c>
      <c r="AJ479" s="131">
        <f>IF(NFI_Expiration=1,IF($A479&lt;VLOOKUP(U$5,NFI,5,0),1,0)*Data_NFI_t[[#This Row],[Children Clothes]],0)</f>
        <v>0</v>
      </c>
      <c r="AK479" s="131">
        <f>IF(NFI_Expiration=1,IF($A479&lt;VLOOKUP(V$5,NFI,5,0),1,0)*Data_NFI_t[[#This Row],[Sewing Kit]],0)</f>
        <v>0</v>
      </c>
      <c r="AL479" s="901">
        <f>IF(NFI_Expiration=1,IF($A479&lt;VLOOKUP(V$5,NFI,5,0),1,0)*Data_NFI_t[[#This Row],[Solar Lantern]],0)</f>
        <v>0</v>
      </c>
      <c r="AM479" s="131" t="str">
        <f ca="1">IFERROR(OFFSET(Camp_List[P_Code],MATCH(Data_NFI_t[[#This Row],[Camp Name]],Camp_List[Camp Name],0)-1,0,1,1),"")</f>
        <v/>
      </c>
      <c r="AN479" s="513" t="str">
        <f ca="1">IFERROR(OFFSET(Camp_List[Status],MATCH(Data_NFI_t[[#This Row],[Camp Name]],Camp_List[Camp Name],0)-1,0,1,1),"")</f>
        <v/>
      </c>
      <c r="AO479" s="131"/>
    </row>
    <row r="480" spans="1:41" s="789" customFormat="1" ht="19.5" customHeight="1" x14ac:dyDescent="0.25">
      <c r="A480" s="242" t="str">
        <f t="shared" si="9"/>
        <v/>
      </c>
      <c r="B480" s="522">
        <f>YEAR(Data_NFI_t[[#This Row],[Distribution Date]])</f>
        <v>1900</v>
      </c>
      <c r="C480" s="913"/>
      <c r="D480" s="489"/>
      <c r="E480" s="488"/>
      <c r="F480" s="489"/>
      <c r="G480" s="790"/>
      <c r="H480" s="790"/>
      <c r="I480" s="790"/>
      <c r="J480" s="51"/>
      <c r="K480" s="51"/>
      <c r="L480" s="119"/>
      <c r="M480" s="119"/>
      <c r="N480" s="119"/>
      <c r="O480" s="119"/>
      <c r="P480" s="119"/>
      <c r="Q480" s="119"/>
      <c r="R480" s="512"/>
      <c r="S480" s="119"/>
      <c r="T480" s="119"/>
      <c r="U480" s="119"/>
      <c r="V480" s="119"/>
      <c r="W480" s="119"/>
      <c r="X480" s="131">
        <f>IF(NFI_Expiration=1,IF($A480&lt;VLOOKUP(I$5,NFI,5,0),1,0)*Data_NFI_t[[#This Row],[Hygiene Kit]],0)</f>
        <v>0</v>
      </c>
      <c r="Y480" s="131">
        <f>IF(NFI_Expiration=1,IF($A480&lt;VLOOKUP(J$5,NFI,5,0),1,0)*Data_NFI_t[[#This Row],[NFI Core Kit]],0)</f>
        <v>0</v>
      </c>
      <c r="Z480" s="112">
        <f>IF(NFI_Expiration=1,IF($A480&lt;VLOOKUP(K$5,NFI,5,0),1,0)*Data_NFI_t[[#This Row],[Sanitary Kit]],0)</f>
        <v>0</v>
      </c>
      <c r="AA480" s="112">
        <f>IF(NFI_Expiration=1,IF($A480&lt;VLOOKUP(L$5,NFI,5,0),1,0)*Data_NFI_t[[#This Row],[Mosquito net]],0)</f>
        <v>0</v>
      </c>
      <c r="AB480" s="112">
        <f>IF(NFI_Expiration=1,IF($A480&lt;VLOOKUP(M$5,NFI,5,0),1,0)*Data_NFI_t[[#This Row],[Tarpaulin]],0)</f>
        <v>0</v>
      </c>
      <c r="AC480" s="112">
        <f>IF(NFI_Expiration=1,IF($A480&lt;VLOOKUP(N$5,NFI,5,0),1,0)*Data_NFI_t[[#This Row],[Blanket]],0)</f>
        <v>0</v>
      </c>
      <c r="AD480" s="112">
        <f>IF(NFI_Expiration=1,IF($A480&lt;VLOOKUP(O$5,NFI,5,0),1,0)*Data_NFI_t[[#This Row],[Kitchen Set]],0)</f>
        <v>0</v>
      </c>
      <c r="AE480" s="112">
        <f>IF(NFI_Expiration=1,IF($A480&lt;VLOOKUP(P$5,NFI,5,0),1,0)*Data_NFI_t[[#This Row],[Complementary Kit]],0)</f>
        <v>0</v>
      </c>
      <c r="AF480" s="112">
        <f>IF(NFI_Expiration=1,IF($A480&lt;VLOOKUP(Q$5,NFI,5,0),1,0)*Data_NFI_t[[#This Row],[Plastic Bucket]],0)</f>
        <v>0</v>
      </c>
      <c r="AG480" s="131">
        <f>IF(NFI_Expiration=1,IF($A480&lt;VLOOKUP(R$5,NFI,5,0),1,0)*Data_NFI_t[[#This Row],[Jerry Can]],0)</f>
        <v>0</v>
      </c>
      <c r="AH480" s="131">
        <f>IF(NFI_Expiration=1,IF($A480&lt;VLOOKUP(S$5,NFI,5,0),1,0)*Data_NFI_t[[#This Row],[Plastic Mat]],0)*IF(Data_NFI_t[[#This Row],[Distribution Date]]&gt;"01-06-2015",1,2.5)</f>
        <v>0</v>
      </c>
      <c r="AI480" s="901">
        <f>IF(NFI_Expiration=1,IF($A480&lt;VLOOKUP(T$5,NFI,5,0),1,0)*Data_NFI_t[[#This Row],[Adult Clothes]],0)</f>
        <v>0</v>
      </c>
      <c r="AJ480" s="131">
        <f>IF(NFI_Expiration=1,IF($A480&lt;VLOOKUP(U$5,NFI,5,0),1,0)*Data_NFI_t[[#This Row],[Children Clothes]],0)</f>
        <v>0</v>
      </c>
      <c r="AK480" s="131">
        <f>IF(NFI_Expiration=1,IF($A480&lt;VLOOKUP(V$5,NFI,5,0),1,0)*Data_NFI_t[[#This Row],[Sewing Kit]],0)</f>
        <v>0</v>
      </c>
      <c r="AL480" s="901">
        <f>IF(NFI_Expiration=1,IF($A480&lt;VLOOKUP(V$5,NFI,5,0),1,0)*Data_NFI_t[[#This Row],[Solar Lantern]],0)</f>
        <v>0</v>
      </c>
      <c r="AM480" s="131" t="str">
        <f ca="1">IFERROR(OFFSET(Camp_List[P_Code],MATCH(Data_NFI_t[[#This Row],[Camp Name]],Camp_List[Camp Name],0)-1,0,1,1),"")</f>
        <v/>
      </c>
      <c r="AN480" s="513" t="str">
        <f ca="1">IFERROR(OFFSET(Camp_List[Status],MATCH(Data_NFI_t[[#This Row],[Camp Name]],Camp_List[Camp Name],0)-1,0,1,1),"")</f>
        <v/>
      </c>
      <c r="AO480" s="131"/>
    </row>
    <row r="481" spans="1:41" s="789" customFormat="1" ht="19.5" customHeight="1" x14ac:dyDescent="0.25">
      <c r="A481" s="242" t="str">
        <f t="shared" si="9"/>
        <v/>
      </c>
      <c r="B481" s="522">
        <f>YEAR(Data_NFI_t[[#This Row],[Distribution Date]])</f>
        <v>1900</v>
      </c>
      <c r="C481" s="913"/>
      <c r="D481" s="489"/>
      <c r="E481" s="488"/>
      <c r="F481" s="489"/>
      <c r="G481" s="790"/>
      <c r="H481" s="790"/>
      <c r="I481" s="790"/>
      <c r="J481" s="51"/>
      <c r="K481" s="51"/>
      <c r="L481" s="119"/>
      <c r="M481" s="119"/>
      <c r="N481" s="119"/>
      <c r="O481" s="119"/>
      <c r="P481" s="119"/>
      <c r="Q481" s="119"/>
      <c r="R481" s="512"/>
      <c r="S481" s="119"/>
      <c r="T481" s="119"/>
      <c r="U481" s="119"/>
      <c r="V481" s="119"/>
      <c r="W481" s="119"/>
      <c r="X481" s="131">
        <f>IF(NFI_Expiration=1,IF($A481&lt;VLOOKUP(I$5,NFI,5,0),1,0)*Data_NFI_t[[#This Row],[Hygiene Kit]],0)</f>
        <v>0</v>
      </c>
      <c r="Y481" s="131">
        <f>IF(NFI_Expiration=1,IF($A481&lt;VLOOKUP(J$5,NFI,5,0),1,0)*Data_NFI_t[[#This Row],[NFI Core Kit]],0)</f>
        <v>0</v>
      </c>
      <c r="Z481" s="112">
        <f>IF(NFI_Expiration=1,IF($A481&lt;VLOOKUP(K$5,NFI,5,0),1,0)*Data_NFI_t[[#This Row],[Sanitary Kit]],0)</f>
        <v>0</v>
      </c>
      <c r="AA481" s="112">
        <f>IF(NFI_Expiration=1,IF($A481&lt;VLOOKUP(L$5,NFI,5,0),1,0)*Data_NFI_t[[#This Row],[Mosquito net]],0)</f>
        <v>0</v>
      </c>
      <c r="AB481" s="112">
        <f>IF(NFI_Expiration=1,IF($A481&lt;VLOOKUP(M$5,NFI,5,0),1,0)*Data_NFI_t[[#This Row],[Tarpaulin]],0)</f>
        <v>0</v>
      </c>
      <c r="AC481" s="112">
        <f>IF(NFI_Expiration=1,IF($A481&lt;VLOOKUP(N$5,NFI,5,0),1,0)*Data_NFI_t[[#This Row],[Blanket]],0)</f>
        <v>0</v>
      </c>
      <c r="AD481" s="112">
        <f>IF(NFI_Expiration=1,IF($A481&lt;VLOOKUP(O$5,NFI,5,0),1,0)*Data_NFI_t[[#This Row],[Kitchen Set]],0)</f>
        <v>0</v>
      </c>
      <c r="AE481" s="112">
        <f>IF(NFI_Expiration=1,IF($A481&lt;VLOOKUP(P$5,NFI,5,0),1,0)*Data_NFI_t[[#This Row],[Complementary Kit]],0)</f>
        <v>0</v>
      </c>
      <c r="AF481" s="112">
        <f>IF(NFI_Expiration=1,IF($A481&lt;VLOOKUP(Q$5,NFI,5,0),1,0)*Data_NFI_t[[#This Row],[Plastic Bucket]],0)</f>
        <v>0</v>
      </c>
      <c r="AG481" s="131">
        <f>IF(NFI_Expiration=1,IF($A481&lt;VLOOKUP(R$5,NFI,5,0),1,0)*Data_NFI_t[[#This Row],[Jerry Can]],0)</f>
        <v>0</v>
      </c>
      <c r="AH481" s="131">
        <f>IF(NFI_Expiration=1,IF($A481&lt;VLOOKUP(S$5,NFI,5,0),1,0)*Data_NFI_t[[#This Row],[Plastic Mat]],0)*IF(Data_NFI_t[[#This Row],[Distribution Date]]&gt;"01-06-2015",1,2.5)</f>
        <v>0</v>
      </c>
      <c r="AI481" s="901">
        <f>IF(NFI_Expiration=1,IF($A481&lt;VLOOKUP(T$5,NFI,5,0),1,0)*Data_NFI_t[[#This Row],[Adult Clothes]],0)</f>
        <v>0</v>
      </c>
      <c r="AJ481" s="131">
        <f>IF(NFI_Expiration=1,IF($A481&lt;VLOOKUP(U$5,NFI,5,0),1,0)*Data_NFI_t[[#This Row],[Children Clothes]],0)</f>
        <v>0</v>
      </c>
      <c r="AK481" s="131">
        <f>IF(NFI_Expiration=1,IF($A481&lt;VLOOKUP(V$5,NFI,5,0),1,0)*Data_NFI_t[[#This Row],[Sewing Kit]],0)</f>
        <v>0</v>
      </c>
      <c r="AL481" s="901">
        <f>IF(NFI_Expiration=1,IF($A481&lt;VLOOKUP(V$5,NFI,5,0),1,0)*Data_NFI_t[[#This Row],[Solar Lantern]],0)</f>
        <v>0</v>
      </c>
      <c r="AM481" s="131" t="str">
        <f ca="1">IFERROR(OFFSET(Camp_List[P_Code],MATCH(Data_NFI_t[[#This Row],[Camp Name]],Camp_List[Camp Name],0)-1,0,1,1),"")</f>
        <v/>
      </c>
      <c r="AN481" s="513" t="str">
        <f ca="1">IFERROR(OFFSET(Camp_List[Status],MATCH(Data_NFI_t[[#This Row],[Camp Name]],Camp_List[Camp Name],0)-1,0,1,1),"")</f>
        <v/>
      </c>
      <c r="AO481" s="131"/>
    </row>
    <row r="482" spans="1:41" s="789" customFormat="1" ht="19.5" customHeight="1" x14ac:dyDescent="0.25">
      <c r="A482" s="242" t="str">
        <f t="shared" si="9"/>
        <v/>
      </c>
      <c r="B482" s="522">
        <f>YEAR(Data_NFI_t[[#This Row],[Distribution Date]])</f>
        <v>1900</v>
      </c>
      <c r="C482" s="913"/>
      <c r="D482" s="489"/>
      <c r="E482" s="488"/>
      <c r="F482" s="489"/>
      <c r="G482" s="790"/>
      <c r="H482" s="790"/>
      <c r="I482" s="790"/>
      <c r="J482" s="51"/>
      <c r="K482" s="51"/>
      <c r="L482" s="119"/>
      <c r="M482" s="119"/>
      <c r="N482" s="119"/>
      <c r="O482" s="119"/>
      <c r="P482" s="119"/>
      <c r="Q482" s="119"/>
      <c r="R482" s="512"/>
      <c r="S482" s="119"/>
      <c r="T482" s="119"/>
      <c r="U482" s="119"/>
      <c r="V482" s="119"/>
      <c r="W482" s="119"/>
      <c r="X482" s="131">
        <f>IF(NFI_Expiration=1,IF($A482&lt;VLOOKUP(I$5,NFI,5,0),1,0)*Data_NFI_t[[#This Row],[Hygiene Kit]],0)</f>
        <v>0</v>
      </c>
      <c r="Y482" s="131">
        <f>IF(NFI_Expiration=1,IF($A482&lt;VLOOKUP(J$5,NFI,5,0),1,0)*Data_NFI_t[[#This Row],[NFI Core Kit]],0)</f>
        <v>0</v>
      </c>
      <c r="Z482" s="112">
        <f>IF(NFI_Expiration=1,IF($A482&lt;VLOOKUP(K$5,NFI,5,0),1,0)*Data_NFI_t[[#This Row],[Sanitary Kit]],0)</f>
        <v>0</v>
      </c>
      <c r="AA482" s="112">
        <f>IF(NFI_Expiration=1,IF($A482&lt;VLOOKUP(L$5,NFI,5,0),1,0)*Data_NFI_t[[#This Row],[Mosquito net]],0)</f>
        <v>0</v>
      </c>
      <c r="AB482" s="112">
        <f>IF(NFI_Expiration=1,IF($A482&lt;VLOOKUP(M$5,NFI,5,0),1,0)*Data_NFI_t[[#This Row],[Tarpaulin]],0)</f>
        <v>0</v>
      </c>
      <c r="AC482" s="112">
        <f>IF(NFI_Expiration=1,IF($A482&lt;VLOOKUP(N$5,NFI,5,0),1,0)*Data_NFI_t[[#This Row],[Blanket]],0)</f>
        <v>0</v>
      </c>
      <c r="AD482" s="112">
        <f>IF(NFI_Expiration=1,IF($A482&lt;VLOOKUP(O$5,NFI,5,0),1,0)*Data_NFI_t[[#This Row],[Kitchen Set]],0)</f>
        <v>0</v>
      </c>
      <c r="AE482" s="112">
        <f>IF(NFI_Expiration=1,IF($A482&lt;VLOOKUP(P$5,NFI,5,0),1,0)*Data_NFI_t[[#This Row],[Complementary Kit]],0)</f>
        <v>0</v>
      </c>
      <c r="AF482" s="112">
        <f>IF(NFI_Expiration=1,IF($A482&lt;VLOOKUP(Q$5,NFI,5,0),1,0)*Data_NFI_t[[#This Row],[Plastic Bucket]],0)</f>
        <v>0</v>
      </c>
      <c r="AG482" s="131">
        <f>IF(NFI_Expiration=1,IF($A482&lt;VLOOKUP(R$5,NFI,5,0),1,0)*Data_NFI_t[[#This Row],[Jerry Can]],0)</f>
        <v>0</v>
      </c>
      <c r="AH482" s="131">
        <f>IF(NFI_Expiration=1,IF($A482&lt;VLOOKUP(S$5,NFI,5,0),1,0)*Data_NFI_t[[#This Row],[Plastic Mat]],0)*IF(Data_NFI_t[[#This Row],[Distribution Date]]&gt;"01-06-2015",1,2.5)</f>
        <v>0</v>
      </c>
      <c r="AI482" s="901">
        <f>IF(NFI_Expiration=1,IF($A482&lt;VLOOKUP(T$5,NFI,5,0),1,0)*Data_NFI_t[[#This Row],[Adult Clothes]],0)</f>
        <v>0</v>
      </c>
      <c r="AJ482" s="131">
        <f>IF(NFI_Expiration=1,IF($A482&lt;VLOOKUP(U$5,NFI,5,0),1,0)*Data_NFI_t[[#This Row],[Children Clothes]],0)</f>
        <v>0</v>
      </c>
      <c r="AK482" s="131">
        <f>IF(NFI_Expiration=1,IF($A482&lt;VLOOKUP(V$5,NFI,5,0),1,0)*Data_NFI_t[[#This Row],[Sewing Kit]],0)</f>
        <v>0</v>
      </c>
      <c r="AL482" s="901">
        <f>IF(NFI_Expiration=1,IF($A482&lt;VLOOKUP(V$5,NFI,5,0),1,0)*Data_NFI_t[[#This Row],[Solar Lantern]],0)</f>
        <v>0</v>
      </c>
      <c r="AM482" s="131" t="str">
        <f ca="1">IFERROR(OFFSET(Camp_List[P_Code],MATCH(Data_NFI_t[[#This Row],[Camp Name]],Camp_List[Camp Name],0)-1,0,1,1),"")</f>
        <v/>
      </c>
      <c r="AN482" s="513" t="str">
        <f ca="1">IFERROR(OFFSET(Camp_List[Status],MATCH(Data_NFI_t[[#This Row],[Camp Name]],Camp_List[Camp Name],0)-1,0,1,1),"")</f>
        <v/>
      </c>
      <c r="AO482" s="131"/>
    </row>
    <row r="483" spans="1:41" s="789" customFormat="1" ht="19.5" customHeight="1" x14ac:dyDescent="0.25">
      <c r="A483" s="242" t="str">
        <f t="shared" si="9"/>
        <v/>
      </c>
      <c r="B483" s="522">
        <f>YEAR(Data_NFI_t[[#This Row],[Distribution Date]])</f>
        <v>1900</v>
      </c>
      <c r="C483" s="913"/>
      <c r="D483" s="489"/>
      <c r="E483" s="488"/>
      <c r="F483" s="489"/>
      <c r="G483" s="790"/>
      <c r="H483" s="790"/>
      <c r="I483" s="790"/>
      <c r="J483" s="51"/>
      <c r="K483" s="51"/>
      <c r="L483" s="119"/>
      <c r="M483" s="119"/>
      <c r="N483" s="119"/>
      <c r="O483" s="119"/>
      <c r="P483" s="119"/>
      <c r="Q483" s="119"/>
      <c r="R483" s="512"/>
      <c r="S483" s="119"/>
      <c r="T483" s="119"/>
      <c r="U483" s="119"/>
      <c r="V483" s="119"/>
      <c r="W483" s="119"/>
      <c r="X483" s="131">
        <f>IF(NFI_Expiration=1,IF($A483&lt;VLOOKUP(I$5,NFI,5,0),1,0)*Data_NFI_t[[#This Row],[Hygiene Kit]],0)</f>
        <v>0</v>
      </c>
      <c r="Y483" s="131">
        <f>IF(NFI_Expiration=1,IF($A483&lt;VLOOKUP(J$5,NFI,5,0),1,0)*Data_NFI_t[[#This Row],[NFI Core Kit]],0)</f>
        <v>0</v>
      </c>
      <c r="Z483" s="112">
        <f>IF(NFI_Expiration=1,IF($A483&lt;VLOOKUP(K$5,NFI,5,0),1,0)*Data_NFI_t[[#This Row],[Sanitary Kit]],0)</f>
        <v>0</v>
      </c>
      <c r="AA483" s="112">
        <f>IF(NFI_Expiration=1,IF($A483&lt;VLOOKUP(L$5,NFI,5,0),1,0)*Data_NFI_t[[#This Row],[Mosquito net]],0)</f>
        <v>0</v>
      </c>
      <c r="AB483" s="112">
        <f>IF(NFI_Expiration=1,IF($A483&lt;VLOOKUP(M$5,NFI,5,0),1,0)*Data_NFI_t[[#This Row],[Tarpaulin]],0)</f>
        <v>0</v>
      </c>
      <c r="AC483" s="112">
        <f>IF(NFI_Expiration=1,IF($A483&lt;VLOOKUP(N$5,NFI,5,0),1,0)*Data_NFI_t[[#This Row],[Blanket]],0)</f>
        <v>0</v>
      </c>
      <c r="AD483" s="112">
        <f>IF(NFI_Expiration=1,IF($A483&lt;VLOOKUP(O$5,NFI,5,0),1,0)*Data_NFI_t[[#This Row],[Kitchen Set]],0)</f>
        <v>0</v>
      </c>
      <c r="AE483" s="112">
        <f>IF(NFI_Expiration=1,IF($A483&lt;VLOOKUP(P$5,NFI,5,0),1,0)*Data_NFI_t[[#This Row],[Complementary Kit]],0)</f>
        <v>0</v>
      </c>
      <c r="AF483" s="112">
        <f>IF(NFI_Expiration=1,IF($A483&lt;VLOOKUP(Q$5,NFI,5,0),1,0)*Data_NFI_t[[#This Row],[Plastic Bucket]],0)</f>
        <v>0</v>
      </c>
      <c r="AG483" s="131">
        <f>IF(NFI_Expiration=1,IF($A483&lt;VLOOKUP(R$5,NFI,5,0),1,0)*Data_NFI_t[[#This Row],[Jerry Can]],0)</f>
        <v>0</v>
      </c>
      <c r="AH483" s="131">
        <f>IF(NFI_Expiration=1,IF($A483&lt;VLOOKUP(S$5,NFI,5,0),1,0)*Data_NFI_t[[#This Row],[Plastic Mat]],0)*IF(Data_NFI_t[[#This Row],[Distribution Date]]&gt;"01-06-2015",1,2.5)</f>
        <v>0</v>
      </c>
      <c r="AI483" s="901">
        <f>IF(NFI_Expiration=1,IF($A483&lt;VLOOKUP(T$5,NFI,5,0),1,0)*Data_NFI_t[[#This Row],[Adult Clothes]],0)</f>
        <v>0</v>
      </c>
      <c r="AJ483" s="131">
        <f>IF(NFI_Expiration=1,IF($A483&lt;VLOOKUP(U$5,NFI,5,0),1,0)*Data_NFI_t[[#This Row],[Children Clothes]],0)</f>
        <v>0</v>
      </c>
      <c r="AK483" s="131">
        <f>IF(NFI_Expiration=1,IF($A483&lt;VLOOKUP(V$5,NFI,5,0),1,0)*Data_NFI_t[[#This Row],[Sewing Kit]],0)</f>
        <v>0</v>
      </c>
      <c r="AL483" s="901">
        <f>IF(NFI_Expiration=1,IF($A483&lt;VLOOKUP(V$5,NFI,5,0),1,0)*Data_NFI_t[[#This Row],[Solar Lantern]],0)</f>
        <v>0</v>
      </c>
      <c r="AM483" s="131" t="str">
        <f ca="1">IFERROR(OFFSET(Camp_List[P_Code],MATCH(Data_NFI_t[[#This Row],[Camp Name]],Camp_List[Camp Name],0)-1,0,1,1),"")</f>
        <v/>
      </c>
      <c r="AN483" s="513" t="str">
        <f ca="1">IFERROR(OFFSET(Camp_List[Status],MATCH(Data_NFI_t[[#This Row],[Camp Name]],Camp_List[Camp Name],0)-1,0,1,1),"")</f>
        <v/>
      </c>
      <c r="AO483" s="131"/>
    </row>
    <row r="484" spans="1:41" s="789" customFormat="1" ht="19.5" customHeight="1" x14ac:dyDescent="0.25">
      <c r="A484" s="242" t="str">
        <f t="shared" si="9"/>
        <v/>
      </c>
      <c r="B484" s="522">
        <f>YEAR(Data_NFI_t[[#This Row],[Distribution Date]])</f>
        <v>1900</v>
      </c>
      <c r="C484" s="913"/>
      <c r="D484" s="489"/>
      <c r="E484" s="488"/>
      <c r="F484" s="489"/>
      <c r="G484" s="790"/>
      <c r="H484" s="790"/>
      <c r="I484" s="790"/>
      <c r="J484" s="51"/>
      <c r="K484" s="51"/>
      <c r="L484" s="119"/>
      <c r="M484" s="119"/>
      <c r="N484" s="119"/>
      <c r="O484" s="119"/>
      <c r="P484" s="119"/>
      <c r="Q484" s="119"/>
      <c r="R484" s="512"/>
      <c r="S484" s="119"/>
      <c r="T484" s="119"/>
      <c r="U484" s="119"/>
      <c r="V484" s="119"/>
      <c r="W484" s="119"/>
      <c r="X484" s="131">
        <f>IF(NFI_Expiration=1,IF($A484&lt;VLOOKUP(I$5,NFI,5,0),1,0)*Data_NFI_t[[#This Row],[Hygiene Kit]],0)</f>
        <v>0</v>
      </c>
      <c r="Y484" s="131">
        <f>IF(NFI_Expiration=1,IF($A484&lt;VLOOKUP(J$5,NFI,5,0),1,0)*Data_NFI_t[[#This Row],[NFI Core Kit]],0)</f>
        <v>0</v>
      </c>
      <c r="Z484" s="112">
        <f>IF(NFI_Expiration=1,IF($A484&lt;VLOOKUP(K$5,NFI,5,0),1,0)*Data_NFI_t[[#This Row],[Sanitary Kit]],0)</f>
        <v>0</v>
      </c>
      <c r="AA484" s="112">
        <f>IF(NFI_Expiration=1,IF($A484&lt;VLOOKUP(L$5,NFI,5,0),1,0)*Data_NFI_t[[#This Row],[Mosquito net]],0)</f>
        <v>0</v>
      </c>
      <c r="AB484" s="112">
        <f>IF(NFI_Expiration=1,IF($A484&lt;VLOOKUP(M$5,NFI,5,0),1,0)*Data_NFI_t[[#This Row],[Tarpaulin]],0)</f>
        <v>0</v>
      </c>
      <c r="AC484" s="112">
        <f>IF(NFI_Expiration=1,IF($A484&lt;VLOOKUP(N$5,NFI,5,0),1,0)*Data_NFI_t[[#This Row],[Blanket]],0)</f>
        <v>0</v>
      </c>
      <c r="AD484" s="112">
        <f>IF(NFI_Expiration=1,IF($A484&lt;VLOOKUP(O$5,NFI,5,0),1,0)*Data_NFI_t[[#This Row],[Kitchen Set]],0)</f>
        <v>0</v>
      </c>
      <c r="AE484" s="112">
        <f>IF(NFI_Expiration=1,IF($A484&lt;VLOOKUP(P$5,NFI,5,0),1,0)*Data_NFI_t[[#This Row],[Complementary Kit]],0)</f>
        <v>0</v>
      </c>
      <c r="AF484" s="112">
        <f>IF(NFI_Expiration=1,IF($A484&lt;VLOOKUP(Q$5,NFI,5,0),1,0)*Data_NFI_t[[#This Row],[Plastic Bucket]],0)</f>
        <v>0</v>
      </c>
      <c r="AG484" s="131">
        <f>IF(NFI_Expiration=1,IF($A484&lt;VLOOKUP(R$5,NFI,5,0),1,0)*Data_NFI_t[[#This Row],[Jerry Can]],0)</f>
        <v>0</v>
      </c>
      <c r="AH484" s="131">
        <f>IF(NFI_Expiration=1,IF($A484&lt;VLOOKUP(S$5,NFI,5,0),1,0)*Data_NFI_t[[#This Row],[Plastic Mat]],0)*IF(Data_NFI_t[[#This Row],[Distribution Date]]&gt;"01-06-2015",1,2.5)</f>
        <v>0</v>
      </c>
      <c r="AI484" s="901">
        <f>IF(NFI_Expiration=1,IF($A484&lt;VLOOKUP(T$5,NFI,5,0),1,0)*Data_NFI_t[[#This Row],[Adult Clothes]],0)</f>
        <v>0</v>
      </c>
      <c r="AJ484" s="131">
        <f>IF(NFI_Expiration=1,IF($A484&lt;VLOOKUP(U$5,NFI,5,0),1,0)*Data_NFI_t[[#This Row],[Children Clothes]],0)</f>
        <v>0</v>
      </c>
      <c r="AK484" s="131">
        <f>IF(NFI_Expiration=1,IF($A484&lt;VLOOKUP(V$5,NFI,5,0),1,0)*Data_NFI_t[[#This Row],[Sewing Kit]],0)</f>
        <v>0</v>
      </c>
      <c r="AL484" s="901">
        <f>IF(NFI_Expiration=1,IF($A484&lt;VLOOKUP(V$5,NFI,5,0),1,0)*Data_NFI_t[[#This Row],[Solar Lantern]],0)</f>
        <v>0</v>
      </c>
      <c r="AM484" s="131" t="str">
        <f ca="1">IFERROR(OFFSET(Camp_List[P_Code],MATCH(Data_NFI_t[[#This Row],[Camp Name]],Camp_List[Camp Name],0)-1,0,1,1),"")</f>
        <v/>
      </c>
      <c r="AN484" s="513" t="str">
        <f ca="1">IFERROR(OFFSET(Camp_List[Status],MATCH(Data_NFI_t[[#This Row],[Camp Name]],Camp_List[Camp Name],0)-1,0,1,1),"")</f>
        <v/>
      </c>
      <c r="AO484" s="131"/>
    </row>
    <row r="485" spans="1:41" s="789" customFormat="1" ht="19.5" customHeight="1" x14ac:dyDescent="0.25">
      <c r="A485" s="242" t="str">
        <f t="shared" si="9"/>
        <v/>
      </c>
      <c r="B485" s="522">
        <f>YEAR(Data_NFI_t[[#This Row],[Distribution Date]])</f>
        <v>1900</v>
      </c>
      <c r="C485" s="913"/>
      <c r="D485" s="489"/>
      <c r="E485" s="488"/>
      <c r="F485" s="489"/>
      <c r="G485" s="790"/>
      <c r="H485" s="790"/>
      <c r="I485" s="790"/>
      <c r="J485" s="51"/>
      <c r="K485" s="51"/>
      <c r="L485" s="119"/>
      <c r="M485" s="119"/>
      <c r="N485" s="119"/>
      <c r="O485" s="119"/>
      <c r="P485" s="119"/>
      <c r="Q485" s="119"/>
      <c r="R485" s="512"/>
      <c r="S485" s="119"/>
      <c r="T485" s="119"/>
      <c r="U485" s="119"/>
      <c r="V485" s="119"/>
      <c r="W485" s="119"/>
      <c r="X485" s="131">
        <f>IF(NFI_Expiration=1,IF($A485&lt;VLOOKUP(I$5,NFI,5,0),1,0)*Data_NFI_t[[#This Row],[Hygiene Kit]],0)</f>
        <v>0</v>
      </c>
      <c r="Y485" s="131">
        <f>IF(NFI_Expiration=1,IF($A485&lt;VLOOKUP(J$5,NFI,5,0),1,0)*Data_NFI_t[[#This Row],[NFI Core Kit]],0)</f>
        <v>0</v>
      </c>
      <c r="Z485" s="112">
        <f>IF(NFI_Expiration=1,IF($A485&lt;VLOOKUP(K$5,NFI,5,0),1,0)*Data_NFI_t[[#This Row],[Sanitary Kit]],0)</f>
        <v>0</v>
      </c>
      <c r="AA485" s="112">
        <f>IF(NFI_Expiration=1,IF($A485&lt;VLOOKUP(L$5,NFI,5,0),1,0)*Data_NFI_t[[#This Row],[Mosquito net]],0)</f>
        <v>0</v>
      </c>
      <c r="AB485" s="112">
        <f>IF(NFI_Expiration=1,IF($A485&lt;VLOOKUP(M$5,NFI,5,0),1,0)*Data_NFI_t[[#This Row],[Tarpaulin]],0)</f>
        <v>0</v>
      </c>
      <c r="AC485" s="112">
        <f>IF(NFI_Expiration=1,IF($A485&lt;VLOOKUP(N$5,NFI,5,0),1,0)*Data_NFI_t[[#This Row],[Blanket]],0)</f>
        <v>0</v>
      </c>
      <c r="AD485" s="112">
        <f>IF(NFI_Expiration=1,IF($A485&lt;VLOOKUP(O$5,NFI,5,0),1,0)*Data_NFI_t[[#This Row],[Kitchen Set]],0)</f>
        <v>0</v>
      </c>
      <c r="AE485" s="112">
        <f>IF(NFI_Expiration=1,IF($A485&lt;VLOOKUP(P$5,NFI,5,0),1,0)*Data_NFI_t[[#This Row],[Complementary Kit]],0)</f>
        <v>0</v>
      </c>
      <c r="AF485" s="112">
        <f>IF(NFI_Expiration=1,IF($A485&lt;VLOOKUP(Q$5,NFI,5,0),1,0)*Data_NFI_t[[#This Row],[Plastic Bucket]],0)</f>
        <v>0</v>
      </c>
      <c r="AG485" s="131">
        <f>IF(NFI_Expiration=1,IF($A485&lt;VLOOKUP(R$5,NFI,5,0),1,0)*Data_NFI_t[[#This Row],[Jerry Can]],0)</f>
        <v>0</v>
      </c>
      <c r="AH485" s="131">
        <f>IF(NFI_Expiration=1,IF($A485&lt;VLOOKUP(S$5,NFI,5,0),1,0)*Data_NFI_t[[#This Row],[Plastic Mat]],0)*IF(Data_NFI_t[[#This Row],[Distribution Date]]&gt;"01-06-2015",1,2.5)</f>
        <v>0</v>
      </c>
      <c r="AI485" s="901">
        <f>IF(NFI_Expiration=1,IF($A485&lt;VLOOKUP(T$5,NFI,5,0),1,0)*Data_NFI_t[[#This Row],[Adult Clothes]],0)</f>
        <v>0</v>
      </c>
      <c r="AJ485" s="131">
        <f>IF(NFI_Expiration=1,IF($A485&lt;VLOOKUP(U$5,NFI,5,0),1,0)*Data_NFI_t[[#This Row],[Children Clothes]],0)</f>
        <v>0</v>
      </c>
      <c r="AK485" s="131">
        <f>IF(NFI_Expiration=1,IF($A485&lt;VLOOKUP(V$5,NFI,5,0),1,0)*Data_NFI_t[[#This Row],[Sewing Kit]],0)</f>
        <v>0</v>
      </c>
      <c r="AL485" s="901">
        <f>IF(NFI_Expiration=1,IF($A485&lt;VLOOKUP(V$5,NFI,5,0),1,0)*Data_NFI_t[[#This Row],[Solar Lantern]],0)</f>
        <v>0</v>
      </c>
      <c r="AM485" s="131" t="str">
        <f ca="1">IFERROR(OFFSET(Camp_List[P_Code],MATCH(Data_NFI_t[[#This Row],[Camp Name]],Camp_List[Camp Name],0)-1,0,1,1),"")</f>
        <v/>
      </c>
      <c r="AN485" s="513" t="str">
        <f ca="1">IFERROR(OFFSET(Camp_List[Status],MATCH(Data_NFI_t[[#This Row],[Camp Name]],Camp_List[Camp Name],0)-1,0,1,1),"")</f>
        <v/>
      </c>
      <c r="AO485" s="131"/>
    </row>
    <row r="486" spans="1:41" s="789" customFormat="1" ht="19.5" customHeight="1" x14ac:dyDescent="0.25">
      <c r="A486" s="242" t="str">
        <f t="shared" si="9"/>
        <v/>
      </c>
      <c r="B486" s="522">
        <f>YEAR(Data_NFI_t[[#This Row],[Distribution Date]])</f>
        <v>1900</v>
      </c>
      <c r="C486" s="913"/>
      <c r="D486" s="489"/>
      <c r="E486" s="488"/>
      <c r="F486" s="489"/>
      <c r="G486" s="790"/>
      <c r="H486" s="790"/>
      <c r="I486" s="790"/>
      <c r="J486" s="51"/>
      <c r="K486" s="51"/>
      <c r="L486" s="119"/>
      <c r="M486" s="119"/>
      <c r="N486" s="119"/>
      <c r="O486" s="119"/>
      <c r="P486" s="119"/>
      <c r="Q486" s="119"/>
      <c r="R486" s="512"/>
      <c r="S486" s="119"/>
      <c r="T486" s="119"/>
      <c r="U486" s="119"/>
      <c r="V486" s="119"/>
      <c r="W486" s="119"/>
      <c r="X486" s="131">
        <f>IF(NFI_Expiration=1,IF($A486&lt;VLOOKUP(I$5,NFI,5,0),1,0)*Data_NFI_t[[#This Row],[Hygiene Kit]],0)</f>
        <v>0</v>
      </c>
      <c r="Y486" s="131">
        <f>IF(NFI_Expiration=1,IF($A486&lt;VLOOKUP(J$5,NFI,5,0),1,0)*Data_NFI_t[[#This Row],[NFI Core Kit]],0)</f>
        <v>0</v>
      </c>
      <c r="Z486" s="112">
        <f>IF(NFI_Expiration=1,IF($A486&lt;VLOOKUP(K$5,NFI,5,0),1,0)*Data_NFI_t[[#This Row],[Sanitary Kit]],0)</f>
        <v>0</v>
      </c>
      <c r="AA486" s="112">
        <f>IF(NFI_Expiration=1,IF($A486&lt;VLOOKUP(L$5,NFI,5,0),1,0)*Data_NFI_t[[#This Row],[Mosquito net]],0)</f>
        <v>0</v>
      </c>
      <c r="AB486" s="112">
        <f>IF(NFI_Expiration=1,IF($A486&lt;VLOOKUP(M$5,NFI,5,0),1,0)*Data_NFI_t[[#This Row],[Tarpaulin]],0)</f>
        <v>0</v>
      </c>
      <c r="AC486" s="112">
        <f>IF(NFI_Expiration=1,IF($A486&lt;VLOOKUP(N$5,NFI,5,0),1,0)*Data_NFI_t[[#This Row],[Blanket]],0)</f>
        <v>0</v>
      </c>
      <c r="AD486" s="112">
        <f>IF(NFI_Expiration=1,IF($A486&lt;VLOOKUP(O$5,NFI,5,0),1,0)*Data_NFI_t[[#This Row],[Kitchen Set]],0)</f>
        <v>0</v>
      </c>
      <c r="AE486" s="112">
        <f>IF(NFI_Expiration=1,IF($A486&lt;VLOOKUP(P$5,NFI,5,0),1,0)*Data_NFI_t[[#This Row],[Complementary Kit]],0)</f>
        <v>0</v>
      </c>
      <c r="AF486" s="112">
        <f>IF(NFI_Expiration=1,IF($A486&lt;VLOOKUP(Q$5,NFI,5,0),1,0)*Data_NFI_t[[#This Row],[Plastic Bucket]],0)</f>
        <v>0</v>
      </c>
      <c r="AG486" s="131">
        <f>IF(NFI_Expiration=1,IF($A486&lt;VLOOKUP(R$5,NFI,5,0),1,0)*Data_NFI_t[[#This Row],[Jerry Can]],0)</f>
        <v>0</v>
      </c>
      <c r="AH486" s="131">
        <f>IF(NFI_Expiration=1,IF($A486&lt;VLOOKUP(S$5,NFI,5,0),1,0)*Data_NFI_t[[#This Row],[Plastic Mat]],0)*IF(Data_NFI_t[[#This Row],[Distribution Date]]&gt;"01-06-2015",1,2.5)</f>
        <v>0</v>
      </c>
      <c r="AI486" s="901">
        <f>IF(NFI_Expiration=1,IF($A486&lt;VLOOKUP(T$5,NFI,5,0),1,0)*Data_NFI_t[[#This Row],[Adult Clothes]],0)</f>
        <v>0</v>
      </c>
      <c r="AJ486" s="131">
        <f>IF(NFI_Expiration=1,IF($A486&lt;VLOOKUP(U$5,NFI,5,0),1,0)*Data_NFI_t[[#This Row],[Children Clothes]],0)</f>
        <v>0</v>
      </c>
      <c r="AK486" s="131">
        <f>IF(NFI_Expiration=1,IF($A486&lt;VLOOKUP(V$5,NFI,5,0),1,0)*Data_NFI_t[[#This Row],[Sewing Kit]],0)</f>
        <v>0</v>
      </c>
      <c r="AL486" s="901">
        <f>IF(NFI_Expiration=1,IF($A486&lt;VLOOKUP(V$5,NFI,5,0),1,0)*Data_NFI_t[[#This Row],[Solar Lantern]],0)</f>
        <v>0</v>
      </c>
      <c r="AM486" s="131" t="str">
        <f ca="1">IFERROR(OFFSET(Camp_List[P_Code],MATCH(Data_NFI_t[[#This Row],[Camp Name]],Camp_List[Camp Name],0)-1,0,1,1),"")</f>
        <v/>
      </c>
      <c r="AN486" s="513" t="str">
        <f ca="1">IFERROR(OFFSET(Camp_List[Status],MATCH(Data_NFI_t[[#This Row],[Camp Name]],Camp_List[Camp Name],0)-1,0,1,1),"")</f>
        <v/>
      </c>
      <c r="AO486" s="131"/>
    </row>
    <row r="487" spans="1:41" s="789" customFormat="1" ht="19.5" customHeight="1" x14ac:dyDescent="0.25">
      <c r="A487" s="242" t="str">
        <f t="shared" si="9"/>
        <v/>
      </c>
      <c r="B487" s="522">
        <f>YEAR(Data_NFI_t[[#This Row],[Distribution Date]])</f>
        <v>1900</v>
      </c>
      <c r="C487" s="913"/>
      <c r="D487" s="489"/>
      <c r="E487" s="488"/>
      <c r="F487" s="489"/>
      <c r="G487" s="790"/>
      <c r="H487" s="790"/>
      <c r="I487" s="790"/>
      <c r="J487" s="51"/>
      <c r="K487" s="51"/>
      <c r="L487" s="119"/>
      <c r="M487" s="119"/>
      <c r="N487" s="119"/>
      <c r="O487" s="119"/>
      <c r="P487" s="119"/>
      <c r="Q487" s="119"/>
      <c r="R487" s="512"/>
      <c r="S487" s="119"/>
      <c r="T487" s="119"/>
      <c r="U487" s="119"/>
      <c r="V487" s="119"/>
      <c r="W487" s="119"/>
      <c r="X487" s="131">
        <f>IF(NFI_Expiration=1,IF($A487&lt;VLOOKUP(I$5,NFI,5,0),1,0)*Data_NFI_t[[#This Row],[Hygiene Kit]],0)</f>
        <v>0</v>
      </c>
      <c r="Y487" s="131">
        <f>IF(NFI_Expiration=1,IF($A487&lt;VLOOKUP(J$5,NFI,5,0),1,0)*Data_NFI_t[[#This Row],[NFI Core Kit]],0)</f>
        <v>0</v>
      </c>
      <c r="Z487" s="112">
        <f>IF(NFI_Expiration=1,IF($A487&lt;VLOOKUP(K$5,NFI,5,0),1,0)*Data_NFI_t[[#This Row],[Sanitary Kit]],0)</f>
        <v>0</v>
      </c>
      <c r="AA487" s="112">
        <f>IF(NFI_Expiration=1,IF($A487&lt;VLOOKUP(L$5,NFI,5,0),1,0)*Data_NFI_t[[#This Row],[Mosquito net]],0)</f>
        <v>0</v>
      </c>
      <c r="AB487" s="112">
        <f>IF(NFI_Expiration=1,IF($A487&lt;VLOOKUP(M$5,NFI,5,0),1,0)*Data_NFI_t[[#This Row],[Tarpaulin]],0)</f>
        <v>0</v>
      </c>
      <c r="AC487" s="112">
        <f>IF(NFI_Expiration=1,IF($A487&lt;VLOOKUP(N$5,NFI,5,0),1,0)*Data_NFI_t[[#This Row],[Blanket]],0)</f>
        <v>0</v>
      </c>
      <c r="AD487" s="112">
        <f>IF(NFI_Expiration=1,IF($A487&lt;VLOOKUP(O$5,NFI,5,0),1,0)*Data_NFI_t[[#This Row],[Kitchen Set]],0)</f>
        <v>0</v>
      </c>
      <c r="AE487" s="112">
        <f>IF(NFI_Expiration=1,IF($A487&lt;VLOOKUP(P$5,NFI,5,0),1,0)*Data_NFI_t[[#This Row],[Complementary Kit]],0)</f>
        <v>0</v>
      </c>
      <c r="AF487" s="112">
        <f>IF(NFI_Expiration=1,IF($A487&lt;VLOOKUP(Q$5,NFI,5,0),1,0)*Data_NFI_t[[#This Row],[Plastic Bucket]],0)</f>
        <v>0</v>
      </c>
      <c r="AG487" s="131">
        <f>IF(NFI_Expiration=1,IF($A487&lt;VLOOKUP(R$5,NFI,5,0),1,0)*Data_NFI_t[[#This Row],[Jerry Can]],0)</f>
        <v>0</v>
      </c>
      <c r="AH487" s="131">
        <f>IF(NFI_Expiration=1,IF($A487&lt;VLOOKUP(S$5,NFI,5,0),1,0)*Data_NFI_t[[#This Row],[Plastic Mat]],0)*IF(Data_NFI_t[[#This Row],[Distribution Date]]&gt;"01-06-2015",1,2.5)</f>
        <v>0</v>
      </c>
      <c r="AI487" s="901">
        <f>IF(NFI_Expiration=1,IF($A487&lt;VLOOKUP(T$5,NFI,5,0),1,0)*Data_NFI_t[[#This Row],[Adult Clothes]],0)</f>
        <v>0</v>
      </c>
      <c r="AJ487" s="131">
        <f>IF(NFI_Expiration=1,IF($A487&lt;VLOOKUP(U$5,NFI,5,0),1,0)*Data_NFI_t[[#This Row],[Children Clothes]],0)</f>
        <v>0</v>
      </c>
      <c r="AK487" s="131">
        <f>IF(NFI_Expiration=1,IF($A487&lt;VLOOKUP(V$5,NFI,5,0),1,0)*Data_NFI_t[[#This Row],[Sewing Kit]],0)</f>
        <v>0</v>
      </c>
      <c r="AL487" s="901">
        <f>IF(NFI_Expiration=1,IF($A487&lt;VLOOKUP(V$5,NFI,5,0),1,0)*Data_NFI_t[[#This Row],[Solar Lantern]],0)</f>
        <v>0</v>
      </c>
      <c r="AM487" s="131" t="str">
        <f ca="1">IFERROR(OFFSET(Camp_List[P_Code],MATCH(Data_NFI_t[[#This Row],[Camp Name]],Camp_List[Camp Name],0)-1,0,1,1),"")</f>
        <v/>
      </c>
      <c r="AN487" s="513" t="str">
        <f ca="1">IFERROR(OFFSET(Camp_List[Status],MATCH(Data_NFI_t[[#This Row],[Camp Name]],Camp_List[Camp Name],0)-1,0,1,1),"")</f>
        <v/>
      </c>
      <c r="AO487" s="131"/>
    </row>
    <row r="488" spans="1:41" s="789" customFormat="1" ht="19.5" customHeight="1" x14ac:dyDescent="0.25">
      <c r="A488" s="242" t="str">
        <f t="shared" si="9"/>
        <v/>
      </c>
      <c r="B488" s="522">
        <f>YEAR(Data_NFI_t[[#This Row],[Distribution Date]])</f>
        <v>1900</v>
      </c>
      <c r="C488" s="913"/>
      <c r="D488" s="489"/>
      <c r="E488" s="488"/>
      <c r="F488" s="489"/>
      <c r="G488" s="790"/>
      <c r="H488" s="790"/>
      <c r="I488" s="790"/>
      <c r="J488" s="51"/>
      <c r="K488" s="51"/>
      <c r="L488" s="119"/>
      <c r="M488" s="119"/>
      <c r="N488" s="119"/>
      <c r="O488" s="119"/>
      <c r="P488" s="119"/>
      <c r="Q488" s="119"/>
      <c r="R488" s="512"/>
      <c r="S488" s="119"/>
      <c r="T488" s="119"/>
      <c r="U488" s="119"/>
      <c r="V488" s="119"/>
      <c r="W488" s="119"/>
      <c r="X488" s="131">
        <f>IF(NFI_Expiration=1,IF($A488&lt;VLOOKUP(I$5,NFI,5,0),1,0)*Data_NFI_t[[#This Row],[Hygiene Kit]],0)</f>
        <v>0</v>
      </c>
      <c r="Y488" s="131">
        <f>IF(NFI_Expiration=1,IF($A488&lt;VLOOKUP(J$5,NFI,5,0),1,0)*Data_NFI_t[[#This Row],[NFI Core Kit]],0)</f>
        <v>0</v>
      </c>
      <c r="Z488" s="112">
        <f>IF(NFI_Expiration=1,IF($A488&lt;VLOOKUP(K$5,NFI,5,0),1,0)*Data_NFI_t[[#This Row],[Sanitary Kit]],0)</f>
        <v>0</v>
      </c>
      <c r="AA488" s="112">
        <f>IF(NFI_Expiration=1,IF($A488&lt;VLOOKUP(L$5,NFI,5,0),1,0)*Data_NFI_t[[#This Row],[Mosquito net]],0)</f>
        <v>0</v>
      </c>
      <c r="AB488" s="112">
        <f>IF(NFI_Expiration=1,IF($A488&lt;VLOOKUP(M$5,NFI,5,0),1,0)*Data_NFI_t[[#This Row],[Tarpaulin]],0)</f>
        <v>0</v>
      </c>
      <c r="AC488" s="112">
        <f>IF(NFI_Expiration=1,IF($A488&lt;VLOOKUP(N$5,NFI,5,0),1,0)*Data_NFI_t[[#This Row],[Blanket]],0)</f>
        <v>0</v>
      </c>
      <c r="AD488" s="112">
        <f>IF(NFI_Expiration=1,IF($A488&lt;VLOOKUP(O$5,NFI,5,0),1,0)*Data_NFI_t[[#This Row],[Kitchen Set]],0)</f>
        <v>0</v>
      </c>
      <c r="AE488" s="112">
        <f>IF(NFI_Expiration=1,IF($A488&lt;VLOOKUP(P$5,NFI,5,0),1,0)*Data_NFI_t[[#This Row],[Complementary Kit]],0)</f>
        <v>0</v>
      </c>
      <c r="AF488" s="112">
        <f>IF(NFI_Expiration=1,IF($A488&lt;VLOOKUP(Q$5,NFI,5,0),1,0)*Data_NFI_t[[#This Row],[Plastic Bucket]],0)</f>
        <v>0</v>
      </c>
      <c r="AG488" s="131">
        <f>IF(NFI_Expiration=1,IF($A488&lt;VLOOKUP(R$5,NFI,5,0),1,0)*Data_NFI_t[[#This Row],[Jerry Can]],0)</f>
        <v>0</v>
      </c>
      <c r="AH488" s="131">
        <f>IF(NFI_Expiration=1,IF($A488&lt;VLOOKUP(S$5,NFI,5,0),1,0)*Data_NFI_t[[#This Row],[Plastic Mat]],0)*IF(Data_NFI_t[[#This Row],[Distribution Date]]&gt;"01-06-2015",1,2.5)</f>
        <v>0</v>
      </c>
      <c r="AI488" s="901">
        <f>IF(NFI_Expiration=1,IF($A488&lt;VLOOKUP(T$5,NFI,5,0),1,0)*Data_NFI_t[[#This Row],[Adult Clothes]],0)</f>
        <v>0</v>
      </c>
      <c r="AJ488" s="131">
        <f>IF(NFI_Expiration=1,IF($A488&lt;VLOOKUP(U$5,NFI,5,0),1,0)*Data_NFI_t[[#This Row],[Children Clothes]],0)</f>
        <v>0</v>
      </c>
      <c r="AK488" s="131">
        <f>IF(NFI_Expiration=1,IF($A488&lt;VLOOKUP(V$5,NFI,5,0),1,0)*Data_NFI_t[[#This Row],[Sewing Kit]],0)</f>
        <v>0</v>
      </c>
      <c r="AL488" s="901">
        <f>IF(NFI_Expiration=1,IF($A488&lt;VLOOKUP(V$5,NFI,5,0),1,0)*Data_NFI_t[[#This Row],[Solar Lantern]],0)</f>
        <v>0</v>
      </c>
      <c r="AM488" s="131" t="str">
        <f ca="1">IFERROR(OFFSET(Camp_List[P_Code],MATCH(Data_NFI_t[[#This Row],[Camp Name]],Camp_List[Camp Name],0)-1,0,1,1),"")</f>
        <v/>
      </c>
      <c r="AN488" s="513" t="str">
        <f ca="1">IFERROR(OFFSET(Camp_List[Status],MATCH(Data_NFI_t[[#This Row],[Camp Name]],Camp_List[Camp Name],0)-1,0,1,1),"")</f>
        <v/>
      </c>
      <c r="AO488" s="131"/>
    </row>
    <row r="489" spans="1:41" s="789" customFormat="1" ht="19.5" customHeight="1" x14ac:dyDescent="0.25">
      <c r="A489" s="242" t="str">
        <f t="shared" ref="A489:A520" si="10">IF(ISBLANK(C489),"",(Report_Date-C489)/30)</f>
        <v/>
      </c>
      <c r="B489" s="522">
        <f>YEAR(Data_NFI_t[[#This Row],[Distribution Date]])</f>
        <v>1900</v>
      </c>
      <c r="C489" s="913"/>
      <c r="D489" s="489"/>
      <c r="E489" s="488"/>
      <c r="F489" s="489"/>
      <c r="G489" s="790"/>
      <c r="H489" s="790"/>
      <c r="I489" s="790"/>
      <c r="J489" s="51"/>
      <c r="K489" s="51"/>
      <c r="L489" s="119"/>
      <c r="M489" s="119"/>
      <c r="N489" s="119"/>
      <c r="O489" s="119"/>
      <c r="P489" s="119"/>
      <c r="Q489" s="119"/>
      <c r="R489" s="512"/>
      <c r="S489" s="119"/>
      <c r="T489" s="119"/>
      <c r="U489" s="119"/>
      <c r="V489" s="119"/>
      <c r="W489" s="119"/>
      <c r="X489" s="131">
        <f>IF(NFI_Expiration=1,IF($A489&lt;VLOOKUP(I$5,NFI,5,0),1,0)*Data_NFI_t[[#This Row],[Hygiene Kit]],0)</f>
        <v>0</v>
      </c>
      <c r="Y489" s="131">
        <f>IF(NFI_Expiration=1,IF($A489&lt;VLOOKUP(J$5,NFI,5,0),1,0)*Data_NFI_t[[#This Row],[NFI Core Kit]],0)</f>
        <v>0</v>
      </c>
      <c r="Z489" s="112">
        <f>IF(NFI_Expiration=1,IF($A489&lt;VLOOKUP(K$5,NFI,5,0),1,0)*Data_NFI_t[[#This Row],[Sanitary Kit]],0)</f>
        <v>0</v>
      </c>
      <c r="AA489" s="112">
        <f>IF(NFI_Expiration=1,IF($A489&lt;VLOOKUP(L$5,NFI,5,0),1,0)*Data_NFI_t[[#This Row],[Mosquito net]],0)</f>
        <v>0</v>
      </c>
      <c r="AB489" s="112">
        <f>IF(NFI_Expiration=1,IF($A489&lt;VLOOKUP(M$5,NFI,5,0),1,0)*Data_NFI_t[[#This Row],[Tarpaulin]],0)</f>
        <v>0</v>
      </c>
      <c r="AC489" s="112">
        <f>IF(NFI_Expiration=1,IF($A489&lt;VLOOKUP(N$5,NFI,5,0),1,0)*Data_NFI_t[[#This Row],[Blanket]],0)</f>
        <v>0</v>
      </c>
      <c r="AD489" s="112">
        <f>IF(NFI_Expiration=1,IF($A489&lt;VLOOKUP(O$5,NFI,5,0),1,0)*Data_NFI_t[[#This Row],[Kitchen Set]],0)</f>
        <v>0</v>
      </c>
      <c r="AE489" s="112">
        <f>IF(NFI_Expiration=1,IF($A489&lt;VLOOKUP(P$5,NFI,5,0),1,0)*Data_NFI_t[[#This Row],[Complementary Kit]],0)</f>
        <v>0</v>
      </c>
      <c r="AF489" s="112">
        <f>IF(NFI_Expiration=1,IF($A489&lt;VLOOKUP(Q$5,NFI,5,0),1,0)*Data_NFI_t[[#This Row],[Plastic Bucket]],0)</f>
        <v>0</v>
      </c>
      <c r="AG489" s="131">
        <f>IF(NFI_Expiration=1,IF($A489&lt;VLOOKUP(R$5,NFI,5,0),1,0)*Data_NFI_t[[#This Row],[Jerry Can]],0)</f>
        <v>0</v>
      </c>
      <c r="AH489" s="131">
        <f>IF(NFI_Expiration=1,IF($A489&lt;VLOOKUP(S$5,NFI,5,0),1,0)*Data_NFI_t[[#This Row],[Plastic Mat]],0)*IF(Data_NFI_t[[#This Row],[Distribution Date]]&gt;"01-06-2015",1,2.5)</f>
        <v>0</v>
      </c>
      <c r="AI489" s="901">
        <f>IF(NFI_Expiration=1,IF($A489&lt;VLOOKUP(T$5,NFI,5,0),1,0)*Data_NFI_t[[#This Row],[Adult Clothes]],0)</f>
        <v>0</v>
      </c>
      <c r="AJ489" s="131">
        <f>IF(NFI_Expiration=1,IF($A489&lt;VLOOKUP(U$5,NFI,5,0),1,0)*Data_NFI_t[[#This Row],[Children Clothes]],0)</f>
        <v>0</v>
      </c>
      <c r="AK489" s="131">
        <f>IF(NFI_Expiration=1,IF($A489&lt;VLOOKUP(V$5,NFI,5,0),1,0)*Data_NFI_t[[#This Row],[Sewing Kit]],0)</f>
        <v>0</v>
      </c>
      <c r="AL489" s="901">
        <f>IF(NFI_Expiration=1,IF($A489&lt;VLOOKUP(V$5,NFI,5,0),1,0)*Data_NFI_t[[#This Row],[Solar Lantern]],0)</f>
        <v>0</v>
      </c>
      <c r="AM489" s="131" t="str">
        <f ca="1">IFERROR(OFFSET(Camp_List[P_Code],MATCH(Data_NFI_t[[#This Row],[Camp Name]],Camp_List[Camp Name],0)-1,0,1,1),"")</f>
        <v/>
      </c>
      <c r="AN489" s="513" t="str">
        <f ca="1">IFERROR(OFFSET(Camp_List[Status],MATCH(Data_NFI_t[[#This Row],[Camp Name]],Camp_List[Camp Name],0)-1,0,1,1),"")</f>
        <v/>
      </c>
      <c r="AO489" s="131"/>
    </row>
    <row r="490" spans="1:41" s="789" customFormat="1" ht="19.5" customHeight="1" x14ac:dyDescent="0.25">
      <c r="A490" s="242" t="str">
        <f t="shared" si="10"/>
        <v/>
      </c>
      <c r="B490" s="522">
        <f>YEAR(Data_NFI_t[[#This Row],[Distribution Date]])</f>
        <v>1900</v>
      </c>
      <c r="C490" s="913"/>
      <c r="D490" s="489"/>
      <c r="E490" s="488"/>
      <c r="F490" s="489"/>
      <c r="G490" s="790"/>
      <c r="H490" s="790"/>
      <c r="I490" s="790"/>
      <c r="J490" s="51"/>
      <c r="K490" s="51"/>
      <c r="L490" s="119"/>
      <c r="M490" s="119"/>
      <c r="N490" s="119"/>
      <c r="O490" s="119"/>
      <c r="P490" s="119"/>
      <c r="Q490" s="119"/>
      <c r="R490" s="512"/>
      <c r="S490" s="119"/>
      <c r="T490" s="119"/>
      <c r="U490" s="119"/>
      <c r="V490" s="119"/>
      <c r="W490" s="119"/>
      <c r="X490" s="131">
        <f>IF(NFI_Expiration=1,IF($A490&lt;VLOOKUP(I$5,NFI,5,0),1,0)*Data_NFI_t[[#This Row],[Hygiene Kit]],0)</f>
        <v>0</v>
      </c>
      <c r="Y490" s="131">
        <f>IF(NFI_Expiration=1,IF($A490&lt;VLOOKUP(J$5,NFI,5,0),1,0)*Data_NFI_t[[#This Row],[NFI Core Kit]],0)</f>
        <v>0</v>
      </c>
      <c r="Z490" s="112">
        <f>IF(NFI_Expiration=1,IF($A490&lt;VLOOKUP(K$5,NFI,5,0),1,0)*Data_NFI_t[[#This Row],[Sanitary Kit]],0)</f>
        <v>0</v>
      </c>
      <c r="AA490" s="112">
        <f>IF(NFI_Expiration=1,IF($A490&lt;VLOOKUP(L$5,NFI,5,0),1,0)*Data_NFI_t[[#This Row],[Mosquito net]],0)</f>
        <v>0</v>
      </c>
      <c r="AB490" s="112">
        <f>IF(NFI_Expiration=1,IF($A490&lt;VLOOKUP(M$5,NFI,5,0),1,0)*Data_NFI_t[[#This Row],[Tarpaulin]],0)</f>
        <v>0</v>
      </c>
      <c r="AC490" s="112">
        <f>IF(NFI_Expiration=1,IF($A490&lt;VLOOKUP(N$5,NFI,5,0),1,0)*Data_NFI_t[[#This Row],[Blanket]],0)</f>
        <v>0</v>
      </c>
      <c r="AD490" s="112">
        <f>IF(NFI_Expiration=1,IF($A490&lt;VLOOKUP(O$5,NFI,5,0),1,0)*Data_NFI_t[[#This Row],[Kitchen Set]],0)</f>
        <v>0</v>
      </c>
      <c r="AE490" s="112">
        <f>IF(NFI_Expiration=1,IF($A490&lt;VLOOKUP(P$5,NFI,5,0),1,0)*Data_NFI_t[[#This Row],[Complementary Kit]],0)</f>
        <v>0</v>
      </c>
      <c r="AF490" s="112">
        <f>IF(NFI_Expiration=1,IF($A490&lt;VLOOKUP(Q$5,NFI,5,0),1,0)*Data_NFI_t[[#This Row],[Plastic Bucket]],0)</f>
        <v>0</v>
      </c>
      <c r="AG490" s="131">
        <f>IF(NFI_Expiration=1,IF($A490&lt;VLOOKUP(R$5,NFI,5,0),1,0)*Data_NFI_t[[#This Row],[Jerry Can]],0)</f>
        <v>0</v>
      </c>
      <c r="AH490" s="131">
        <f>IF(NFI_Expiration=1,IF($A490&lt;VLOOKUP(S$5,NFI,5,0),1,0)*Data_NFI_t[[#This Row],[Plastic Mat]],0)*IF(Data_NFI_t[[#This Row],[Distribution Date]]&gt;"01-06-2015",1,2.5)</f>
        <v>0</v>
      </c>
      <c r="AI490" s="901">
        <f>IF(NFI_Expiration=1,IF($A490&lt;VLOOKUP(T$5,NFI,5,0),1,0)*Data_NFI_t[[#This Row],[Adult Clothes]],0)</f>
        <v>0</v>
      </c>
      <c r="AJ490" s="131">
        <f>IF(NFI_Expiration=1,IF($A490&lt;VLOOKUP(U$5,NFI,5,0),1,0)*Data_NFI_t[[#This Row],[Children Clothes]],0)</f>
        <v>0</v>
      </c>
      <c r="AK490" s="131">
        <f>IF(NFI_Expiration=1,IF($A490&lt;VLOOKUP(V$5,NFI,5,0),1,0)*Data_NFI_t[[#This Row],[Sewing Kit]],0)</f>
        <v>0</v>
      </c>
      <c r="AL490" s="901">
        <f>IF(NFI_Expiration=1,IF($A490&lt;VLOOKUP(V$5,NFI,5,0),1,0)*Data_NFI_t[[#This Row],[Solar Lantern]],0)</f>
        <v>0</v>
      </c>
      <c r="AM490" s="131" t="str">
        <f ca="1">IFERROR(OFFSET(Camp_List[P_Code],MATCH(Data_NFI_t[[#This Row],[Camp Name]],Camp_List[Camp Name],0)-1,0,1,1),"")</f>
        <v/>
      </c>
      <c r="AN490" s="513" t="str">
        <f ca="1">IFERROR(OFFSET(Camp_List[Status],MATCH(Data_NFI_t[[#This Row],[Camp Name]],Camp_List[Camp Name],0)-1,0,1,1),"")</f>
        <v/>
      </c>
      <c r="AO490" s="131"/>
    </row>
    <row r="491" spans="1:41" s="789" customFormat="1" ht="19.5" customHeight="1" x14ac:dyDescent="0.25">
      <c r="A491" s="242" t="str">
        <f t="shared" si="10"/>
        <v/>
      </c>
      <c r="B491" s="522">
        <f>YEAR(Data_NFI_t[[#This Row],[Distribution Date]])</f>
        <v>1900</v>
      </c>
      <c r="C491" s="913"/>
      <c r="D491" s="489"/>
      <c r="E491" s="488"/>
      <c r="F491" s="489"/>
      <c r="G491" s="790"/>
      <c r="H491" s="790"/>
      <c r="I491" s="790"/>
      <c r="J491" s="51"/>
      <c r="K491" s="51"/>
      <c r="L491" s="119"/>
      <c r="M491" s="119"/>
      <c r="N491" s="119"/>
      <c r="O491" s="119"/>
      <c r="P491" s="119"/>
      <c r="Q491" s="119"/>
      <c r="R491" s="512"/>
      <c r="S491" s="119"/>
      <c r="T491" s="119"/>
      <c r="U491" s="119"/>
      <c r="V491" s="119"/>
      <c r="W491" s="119"/>
      <c r="X491" s="131">
        <f>IF(NFI_Expiration=1,IF($A491&lt;VLOOKUP(I$5,NFI,5,0),1,0)*Data_NFI_t[[#This Row],[Hygiene Kit]],0)</f>
        <v>0</v>
      </c>
      <c r="Y491" s="131">
        <f>IF(NFI_Expiration=1,IF($A491&lt;VLOOKUP(J$5,NFI,5,0),1,0)*Data_NFI_t[[#This Row],[NFI Core Kit]],0)</f>
        <v>0</v>
      </c>
      <c r="Z491" s="112">
        <f>IF(NFI_Expiration=1,IF($A491&lt;VLOOKUP(K$5,NFI,5,0),1,0)*Data_NFI_t[[#This Row],[Sanitary Kit]],0)</f>
        <v>0</v>
      </c>
      <c r="AA491" s="112">
        <f>IF(NFI_Expiration=1,IF($A491&lt;VLOOKUP(L$5,NFI,5,0),1,0)*Data_NFI_t[[#This Row],[Mosquito net]],0)</f>
        <v>0</v>
      </c>
      <c r="AB491" s="112">
        <f>IF(NFI_Expiration=1,IF($A491&lt;VLOOKUP(M$5,NFI,5,0),1,0)*Data_NFI_t[[#This Row],[Tarpaulin]],0)</f>
        <v>0</v>
      </c>
      <c r="AC491" s="112">
        <f>IF(NFI_Expiration=1,IF($A491&lt;VLOOKUP(N$5,NFI,5,0),1,0)*Data_NFI_t[[#This Row],[Blanket]],0)</f>
        <v>0</v>
      </c>
      <c r="AD491" s="112">
        <f>IF(NFI_Expiration=1,IF($A491&lt;VLOOKUP(O$5,NFI,5,0),1,0)*Data_NFI_t[[#This Row],[Kitchen Set]],0)</f>
        <v>0</v>
      </c>
      <c r="AE491" s="112">
        <f>IF(NFI_Expiration=1,IF($A491&lt;VLOOKUP(P$5,NFI,5,0),1,0)*Data_NFI_t[[#This Row],[Complementary Kit]],0)</f>
        <v>0</v>
      </c>
      <c r="AF491" s="112">
        <f>IF(NFI_Expiration=1,IF($A491&lt;VLOOKUP(Q$5,NFI,5,0),1,0)*Data_NFI_t[[#This Row],[Plastic Bucket]],0)</f>
        <v>0</v>
      </c>
      <c r="AG491" s="131">
        <f>IF(NFI_Expiration=1,IF($A491&lt;VLOOKUP(R$5,NFI,5,0),1,0)*Data_NFI_t[[#This Row],[Jerry Can]],0)</f>
        <v>0</v>
      </c>
      <c r="AH491" s="131">
        <f>IF(NFI_Expiration=1,IF($A491&lt;VLOOKUP(S$5,NFI,5,0),1,0)*Data_NFI_t[[#This Row],[Plastic Mat]],0)*IF(Data_NFI_t[[#This Row],[Distribution Date]]&gt;"01-06-2015",1,2.5)</f>
        <v>0</v>
      </c>
      <c r="AI491" s="901">
        <f>IF(NFI_Expiration=1,IF($A491&lt;VLOOKUP(T$5,NFI,5,0),1,0)*Data_NFI_t[[#This Row],[Adult Clothes]],0)</f>
        <v>0</v>
      </c>
      <c r="AJ491" s="131">
        <f>IF(NFI_Expiration=1,IF($A491&lt;VLOOKUP(U$5,NFI,5,0),1,0)*Data_NFI_t[[#This Row],[Children Clothes]],0)</f>
        <v>0</v>
      </c>
      <c r="AK491" s="131">
        <f>IF(NFI_Expiration=1,IF($A491&lt;VLOOKUP(V$5,NFI,5,0),1,0)*Data_NFI_t[[#This Row],[Sewing Kit]],0)</f>
        <v>0</v>
      </c>
      <c r="AL491" s="901">
        <f>IF(NFI_Expiration=1,IF($A491&lt;VLOOKUP(V$5,NFI,5,0),1,0)*Data_NFI_t[[#This Row],[Solar Lantern]],0)</f>
        <v>0</v>
      </c>
      <c r="AM491" s="131" t="str">
        <f ca="1">IFERROR(OFFSET(Camp_List[P_Code],MATCH(Data_NFI_t[[#This Row],[Camp Name]],Camp_List[Camp Name],0)-1,0,1,1),"")</f>
        <v/>
      </c>
      <c r="AN491" s="513" t="str">
        <f ca="1">IFERROR(OFFSET(Camp_List[Status],MATCH(Data_NFI_t[[#This Row],[Camp Name]],Camp_List[Camp Name],0)-1,0,1,1),"")</f>
        <v/>
      </c>
      <c r="AO491" s="131"/>
    </row>
    <row r="492" spans="1:41" s="789" customFormat="1" ht="19.5" customHeight="1" x14ac:dyDescent="0.25">
      <c r="A492" s="242" t="str">
        <f t="shared" si="10"/>
        <v/>
      </c>
      <c r="B492" s="522">
        <f>YEAR(Data_NFI_t[[#This Row],[Distribution Date]])</f>
        <v>1900</v>
      </c>
      <c r="C492" s="913"/>
      <c r="D492" s="489"/>
      <c r="E492" s="488"/>
      <c r="F492" s="489"/>
      <c r="G492" s="790"/>
      <c r="H492" s="790"/>
      <c r="I492" s="790"/>
      <c r="J492" s="51"/>
      <c r="K492" s="51"/>
      <c r="L492" s="119"/>
      <c r="M492" s="119"/>
      <c r="N492" s="119"/>
      <c r="O492" s="119"/>
      <c r="P492" s="119"/>
      <c r="Q492" s="119"/>
      <c r="R492" s="512"/>
      <c r="S492" s="119"/>
      <c r="T492" s="119"/>
      <c r="U492" s="119"/>
      <c r="V492" s="119"/>
      <c r="W492" s="119"/>
      <c r="X492" s="131">
        <f>IF(NFI_Expiration=1,IF($A492&lt;VLOOKUP(I$5,NFI,5,0),1,0)*Data_NFI_t[[#This Row],[Hygiene Kit]],0)</f>
        <v>0</v>
      </c>
      <c r="Y492" s="131">
        <f>IF(NFI_Expiration=1,IF($A492&lt;VLOOKUP(J$5,NFI,5,0),1,0)*Data_NFI_t[[#This Row],[NFI Core Kit]],0)</f>
        <v>0</v>
      </c>
      <c r="Z492" s="112">
        <f>IF(NFI_Expiration=1,IF($A492&lt;VLOOKUP(K$5,NFI,5,0),1,0)*Data_NFI_t[[#This Row],[Sanitary Kit]],0)</f>
        <v>0</v>
      </c>
      <c r="AA492" s="112">
        <f>IF(NFI_Expiration=1,IF($A492&lt;VLOOKUP(L$5,NFI,5,0),1,0)*Data_NFI_t[[#This Row],[Mosquito net]],0)</f>
        <v>0</v>
      </c>
      <c r="AB492" s="112">
        <f>IF(NFI_Expiration=1,IF($A492&lt;VLOOKUP(M$5,NFI,5,0),1,0)*Data_NFI_t[[#This Row],[Tarpaulin]],0)</f>
        <v>0</v>
      </c>
      <c r="AC492" s="112">
        <f>IF(NFI_Expiration=1,IF($A492&lt;VLOOKUP(N$5,NFI,5,0),1,0)*Data_NFI_t[[#This Row],[Blanket]],0)</f>
        <v>0</v>
      </c>
      <c r="AD492" s="112">
        <f>IF(NFI_Expiration=1,IF($A492&lt;VLOOKUP(O$5,NFI,5,0),1,0)*Data_NFI_t[[#This Row],[Kitchen Set]],0)</f>
        <v>0</v>
      </c>
      <c r="AE492" s="112">
        <f>IF(NFI_Expiration=1,IF($A492&lt;VLOOKUP(P$5,NFI,5,0),1,0)*Data_NFI_t[[#This Row],[Complementary Kit]],0)</f>
        <v>0</v>
      </c>
      <c r="AF492" s="112">
        <f>IF(NFI_Expiration=1,IF($A492&lt;VLOOKUP(Q$5,NFI,5,0),1,0)*Data_NFI_t[[#This Row],[Plastic Bucket]],0)</f>
        <v>0</v>
      </c>
      <c r="AG492" s="131">
        <f>IF(NFI_Expiration=1,IF($A492&lt;VLOOKUP(R$5,NFI,5,0),1,0)*Data_NFI_t[[#This Row],[Jerry Can]],0)</f>
        <v>0</v>
      </c>
      <c r="AH492" s="131">
        <f>IF(NFI_Expiration=1,IF($A492&lt;VLOOKUP(S$5,NFI,5,0),1,0)*Data_NFI_t[[#This Row],[Plastic Mat]],0)*IF(Data_NFI_t[[#This Row],[Distribution Date]]&gt;"01-06-2015",1,2.5)</f>
        <v>0</v>
      </c>
      <c r="AI492" s="901">
        <f>IF(NFI_Expiration=1,IF($A492&lt;VLOOKUP(T$5,NFI,5,0),1,0)*Data_NFI_t[[#This Row],[Adult Clothes]],0)</f>
        <v>0</v>
      </c>
      <c r="AJ492" s="131">
        <f>IF(NFI_Expiration=1,IF($A492&lt;VLOOKUP(U$5,NFI,5,0),1,0)*Data_NFI_t[[#This Row],[Children Clothes]],0)</f>
        <v>0</v>
      </c>
      <c r="AK492" s="131">
        <f>IF(NFI_Expiration=1,IF($A492&lt;VLOOKUP(V$5,NFI,5,0),1,0)*Data_NFI_t[[#This Row],[Sewing Kit]],0)</f>
        <v>0</v>
      </c>
      <c r="AL492" s="901">
        <f>IF(NFI_Expiration=1,IF($A492&lt;VLOOKUP(V$5,NFI,5,0),1,0)*Data_NFI_t[[#This Row],[Solar Lantern]],0)</f>
        <v>0</v>
      </c>
      <c r="AM492" s="131" t="str">
        <f ca="1">IFERROR(OFFSET(Camp_List[P_Code],MATCH(Data_NFI_t[[#This Row],[Camp Name]],Camp_List[Camp Name],0)-1,0,1,1),"")</f>
        <v/>
      </c>
      <c r="AN492" s="513" t="str">
        <f ca="1">IFERROR(OFFSET(Camp_List[Status],MATCH(Data_NFI_t[[#This Row],[Camp Name]],Camp_List[Camp Name],0)-1,0,1,1),"")</f>
        <v/>
      </c>
      <c r="AO492" s="131"/>
    </row>
    <row r="493" spans="1:41" s="789" customFormat="1" ht="19.5" customHeight="1" x14ac:dyDescent="0.25">
      <c r="A493" s="242" t="str">
        <f t="shared" si="10"/>
        <v/>
      </c>
      <c r="B493" s="522">
        <f>YEAR(Data_NFI_t[[#This Row],[Distribution Date]])</f>
        <v>1900</v>
      </c>
      <c r="C493" s="913"/>
      <c r="D493" s="489"/>
      <c r="E493" s="488"/>
      <c r="F493" s="489"/>
      <c r="G493" s="790"/>
      <c r="H493" s="790"/>
      <c r="I493" s="790"/>
      <c r="J493" s="51"/>
      <c r="K493" s="51"/>
      <c r="L493" s="119"/>
      <c r="M493" s="119"/>
      <c r="N493" s="119"/>
      <c r="O493" s="119"/>
      <c r="P493" s="119"/>
      <c r="Q493" s="119"/>
      <c r="R493" s="512"/>
      <c r="S493" s="119"/>
      <c r="T493" s="119"/>
      <c r="U493" s="119"/>
      <c r="V493" s="119"/>
      <c r="W493" s="119"/>
      <c r="X493" s="131">
        <f>IF(NFI_Expiration=1,IF($A493&lt;VLOOKUP(I$5,NFI,5,0),1,0)*Data_NFI_t[[#This Row],[Hygiene Kit]],0)</f>
        <v>0</v>
      </c>
      <c r="Y493" s="131">
        <f>IF(NFI_Expiration=1,IF($A493&lt;VLOOKUP(J$5,NFI,5,0),1,0)*Data_NFI_t[[#This Row],[NFI Core Kit]],0)</f>
        <v>0</v>
      </c>
      <c r="Z493" s="112">
        <f>IF(NFI_Expiration=1,IF($A493&lt;VLOOKUP(K$5,NFI,5,0),1,0)*Data_NFI_t[[#This Row],[Sanitary Kit]],0)</f>
        <v>0</v>
      </c>
      <c r="AA493" s="112">
        <f>IF(NFI_Expiration=1,IF($A493&lt;VLOOKUP(L$5,NFI,5,0),1,0)*Data_NFI_t[[#This Row],[Mosquito net]],0)</f>
        <v>0</v>
      </c>
      <c r="AB493" s="112">
        <f>IF(NFI_Expiration=1,IF($A493&lt;VLOOKUP(M$5,NFI,5,0),1,0)*Data_NFI_t[[#This Row],[Tarpaulin]],0)</f>
        <v>0</v>
      </c>
      <c r="AC493" s="112">
        <f>IF(NFI_Expiration=1,IF($A493&lt;VLOOKUP(N$5,NFI,5,0),1,0)*Data_NFI_t[[#This Row],[Blanket]],0)</f>
        <v>0</v>
      </c>
      <c r="AD493" s="112">
        <f>IF(NFI_Expiration=1,IF($A493&lt;VLOOKUP(O$5,NFI,5,0),1,0)*Data_NFI_t[[#This Row],[Kitchen Set]],0)</f>
        <v>0</v>
      </c>
      <c r="AE493" s="112">
        <f>IF(NFI_Expiration=1,IF($A493&lt;VLOOKUP(P$5,NFI,5,0),1,0)*Data_NFI_t[[#This Row],[Complementary Kit]],0)</f>
        <v>0</v>
      </c>
      <c r="AF493" s="112">
        <f>IF(NFI_Expiration=1,IF($A493&lt;VLOOKUP(Q$5,NFI,5,0),1,0)*Data_NFI_t[[#This Row],[Plastic Bucket]],0)</f>
        <v>0</v>
      </c>
      <c r="AG493" s="131">
        <f>IF(NFI_Expiration=1,IF($A493&lt;VLOOKUP(R$5,NFI,5,0),1,0)*Data_NFI_t[[#This Row],[Jerry Can]],0)</f>
        <v>0</v>
      </c>
      <c r="AH493" s="131">
        <f>IF(NFI_Expiration=1,IF($A493&lt;VLOOKUP(S$5,NFI,5,0),1,0)*Data_NFI_t[[#This Row],[Plastic Mat]],0)*IF(Data_NFI_t[[#This Row],[Distribution Date]]&gt;"01-06-2015",1,2.5)</f>
        <v>0</v>
      </c>
      <c r="AI493" s="901">
        <f>IF(NFI_Expiration=1,IF($A493&lt;VLOOKUP(T$5,NFI,5,0),1,0)*Data_NFI_t[[#This Row],[Adult Clothes]],0)</f>
        <v>0</v>
      </c>
      <c r="AJ493" s="131">
        <f>IF(NFI_Expiration=1,IF($A493&lt;VLOOKUP(U$5,NFI,5,0),1,0)*Data_NFI_t[[#This Row],[Children Clothes]],0)</f>
        <v>0</v>
      </c>
      <c r="AK493" s="131">
        <f>IF(NFI_Expiration=1,IF($A493&lt;VLOOKUP(V$5,NFI,5,0),1,0)*Data_NFI_t[[#This Row],[Sewing Kit]],0)</f>
        <v>0</v>
      </c>
      <c r="AL493" s="901">
        <f>IF(NFI_Expiration=1,IF($A493&lt;VLOOKUP(V$5,NFI,5,0),1,0)*Data_NFI_t[[#This Row],[Solar Lantern]],0)</f>
        <v>0</v>
      </c>
      <c r="AM493" s="131" t="str">
        <f ca="1">IFERROR(OFFSET(Camp_List[P_Code],MATCH(Data_NFI_t[[#This Row],[Camp Name]],Camp_List[Camp Name],0)-1,0,1,1),"")</f>
        <v/>
      </c>
      <c r="AN493" s="513" t="str">
        <f ca="1">IFERROR(OFFSET(Camp_List[Status],MATCH(Data_NFI_t[[#This Row],[Camp Name]],Camp_List[Camp Name],0)-1,0,1,1),"")</f>
        <v/>
      </c>
      <c r="AO493" s="131"/>
    </row>
    <row r="494" spans="1:41" s="789" customFormat="1" ht="19.5" customHeight="1" x14ac:dyDescent="0.25">
      <c r="A494" s="242" t="str">
        <f t="shared" si="10"/>
        <v/>
      </c>
      <c r="B494" s="522">
        <f>YEAR(Data_NFI_t[[#This Row],[Distribution Date]])</f>
        <v>1900</v>
      </c>
      <c r="C494" s="913"/>
      <c r="D494" s="489"/>
      <c r="E494" s="488"/>
      <c r="F494" s="489"/>
      <c r="G494" s="790"/>
      <c r="H494" s="790"/>
      <c r="I494" s="790"/>
      <c r="J494" s="51"/>
      <c r="K494" s="51"/>
      <c r="L494" s="119"/>
      <c r="M494" s="119"/>
      <c r="N494" s="119"/>
      <c r="O494" s="119"/>
      <c r="P494" s="119"/>
      <c r="Q494" s="119"/>
      <c r="R494" s="512"/>
      <c r="S494" s="119"/>
      <c r="T494" s="119"/>
      <c r="U494" s="119"/>
      <c r="V494" s="119"/>
      <c r="W494" s="119"/>
      <c r="X494" s="131">
        <f>IF(NFI_Expiration=1,IF($A494&lt;VLOOKUP(I$5,NFI,5,0),1,0)*Data_NFI_t[[#This Row],[Hygiene Kit]],0)</f>
        <v>0</v>
      </c>
      <c r="Y494" s="131">
        <f>IF(NFI_Expiration=1,IF($A494&lt;VLOOKUP(J$5,NFI,5,0),1,0)*Data_NFI_t[[#This Row],[NFI Core Kit]],0)</f>
        <v>0</v>
      </c>
      <c r="Z494" s="112">
        <f>IF(NFI_Expiration=1,IF($A494&lt;VLOOKUP(K$5,NFI,5,0),1,0)*Data_NFI_t[[#This Row],[Sanitary Kit]],0)</f>
        <v>0</v>
      </c>
      <c r="AA494" s="112">
        <f>IF(NFI_Expiration=1,IF($A494&lt;VLOOKUP(L$5,NFI,5,0),1,0)*Data_NFI_t[[#This Row],[Mosquito net]],0)</f>
        <v>0</v>
      </c>
      <c r="AB494" s="112">
        <f>IF(NFI_Expiration=1,IF($A494&lt;VLOOKUP(M$5,NFI,5,0),1,0)*Data_NFI_t[[#This Row],[Tarpaulin]],0)</f>
        <v>0</v>
      </c>
      <c r="AC494" s="112">
        <f>IF(NFI_Expiration=1,IF($A494&lt;VLOOKUP(N$5,NFI,5,0),1,0)*Data_NFI_t[[#This Row],[Blanket]],0)</f>
        <v>0</v>
      </c>
      <c r="AD494" s="112">
        <f>IF(NFI_Expiration=1,IF($A494&lt;VLOOKUP(O$5,NFI,5,0),1,0)*Data_NFI_t[[#This Row],[Kitchen Set]],0)</f>
        <v>0</v>
      </c>
      <c r="AE494" s="112">
        <f>IF(NFI_Expiration=1,IF($A494&lt;VLOOKUP(P$5,NFI,5,0),1,0)*Data_NFI_t[[#This Row],[Complementary Kit]],0)</f>
        <v>0</v>
      </c>
      <c r="AF494" s="112">
        <f>IF(NFI_Expiration=1,IF($A494&lt;VLOOKUP(Q$5,NFI,5,0),1,0)*Data_NFI_t[[#This Row],[Plastic Bucket]],0)</f>
        <v>0</v>
      </c>
      <c r="AG494" s="131">
        <f>IF(NFI_Expiration=1,IF($A494&lt;VLOOKUP(R$5,NFI,5,0),1,0)*Data_NFI_t[[#This Row],[Jerry Can]],0)</f>
        <v>0</v>
      </c>
      <c r="AH494" s="131">
        <f>IF(NFI_Expiration=1,IF($A494&lt;VLOOKUP(S$5,NFI,5,0),1,0)*Data_NFI_t[[#This Row],[Plastic Mat]],0)*IF(Data_NFI_t[[#This Row],[Distribution Date]]&gt;"01-06-2015",1,2.5)</f>
        <v>0</v>
      </c>
      <c r="AI494" s="901">
        <f>IF(NFI_Expiration=1,IF($A494&lt;VLOOKUP(T$5,NFI,5,0),1,0)*Data_NFI_t[[#This Row],[Adult Clothes]],0)</f>
        <v>0</v>
      </c>
      <c r="AJ494" s="131">
        <f>IF(NFI_Expiration=1,IF($A494&lt;VLOOKUP(U$5,NFI,5,0),1,0)*Data_NFI_t[[#This Row],[Children Clothes]],0)</f>
        <v>0</v>
      </c>
      <c r="AK494" s="131">
        <f>IF(NFI_Expiration=1,IF($A494&lt;VLOOKUP(V$5,NFI,5,0),1,0)*Data_NFI_t[[#This Row],[Sewing Kit]],0)</f>
        <v>0</v>
      </c>
      <c r="AL494" s="901">
        <f>IF(NFI_Expiration=1,IF($A494&lt;VLOOKUP(V$5,NFI,5,0),1,0)*Data_NFI_t[[#This Row],[Solar Lantern]],0)</f>
        <v>0</v>
      </c>
      <c r="AM494" s="131" t="str">
        <f ca="1">IFERROR(OFFSET(Camp_List[P_Code],MATCH(Data_NFI_t[[#This Row],[Camp Name]],Camp_List[Camp Name],0)-1,0,1,1),"")</f>
        <v/>
      </c>
      <c r="AN494" s="513" t="str">
        <f ca="1">IFERROR(OFFSET(Camp_List[Status],MATCH(Data_NFI_t[[#This Row],[Camp Name]],Camp_List[Camp Name],0)-1,0,1,1),"")</f>
        <v/>
      </c>
      <c r="AO494" s="131"/>
    </row>
    <row r="495" spans="1:41" s="789" customFormat="1" ht="19.5" customHeight="1" x14ac:dyDescent="0.25">
      <c r="A495" s="242" t="str">
        <f t="shared" si="10"/>
        <v/>
      </c>
      <c r="B495" s="522">
        <f>YEAR(Data_NFI_t[[#This Row],[Distribution Date]])</f>
        <v>1900</v>
      </c>
      <c r="C495" s="913"/>
      <c r="D495" s="489"/>
      <c r="E495" s="488"/>
      <c r="F495" s="489"/>
      <c r="G495" s="790"/>
      <c r="H495" s="790"/>
      <c r="I495" s="790"/>
      <c r="J495" s="51"/>
      <c r="K495" s="51"/>
      <c r="L495" s="119"/>
      <c r="M495" s="119"/>
      <c r="N495" s="119"/>
      <c r="O495" s="119"/>
      <c r="P495" s="119"/>
      <c r="Q495" s="119"/>
      <c r="R495" s="512"/>
      <c r="S495" s="119"/>
      <c r="T495" s="119"/>
      <c r="U495" s="119"/>
      <c r="V495" s="119"/>
      <c r="W495" s="119"/>
      <c r="X495" s="131">
        <f>IF(NFI_Expiration=1,IF($A495&lt;VLOOKUP(I$5,NFI,5,0),1,0)*Data_NFI_t[[#This Row],[Hygiene Kit]],0)</f>
        <v>0</v>
      </c>
      <c r="Y495" s="131">
        <f>IF(NFI_Expiration=1,IF($A495&lt;VLOOKUP(J$5,NFI,5,0),1,0)*Data_NFI_t[[#This Row],[NFI Core Kit]],0)</f>
        <v>0</v>
      </c>
      <c r="Z495" s="112">
        <f>IF(NFI_Expiration=1,IF($A495&lt;VLOOKUP(K$5,NFI,5,0),1,0)*Data_NFI_t[[#This Row],[Sanitary Kit]],0)</f>
        <v>0</v>
      </c>
      <c r="AA495" s="112">
        <f>IF(NFI_Expiration=1,IF($A495&lt;VLOOKUP(L$5,NFI,5,0),1,0)*Data_NFI_t[[#This Row],[Mosquito net]],0)</f>
        <v>0</v>
      </c>
      <c r="AB495" s="112">
        <f>IF(NFI_Expiration=1,IF($A495&lt;VLOOKUP(M$5,NFI,5,0),1,0)*Data_NFI_t[[#This Row],[Tarpaulin]],0)</f>
        <v>0</v>
      </c>
      <c r="AC495" s="112">
        <f>IF(NFI_Expiration=1,IF($A495&lt;VLOOKUP(N$5,NFI,5,0),1,0)*Data_NFI_t[[#This Row],[Blanket]],0)</f>
        <v>0</v>
      </c>
      <c r="AD495" s="112">
        <f>IF(NFI_Expiration=1,IF($A495&lt;VLOOKUP(O$5,NFI,5,0),1,0)*Data_NFI_t[[#This Row],[Kitchen Set]],0)</f>
        <v>0</v>
      </c>
      <c r="AE495" s="112">
        <f>IF(NFI_Expiration=1,IF($A495&lt;VLOOKUP(P$5,NFI,5,0),1,0)*Data_NFI_t[[#This Row],[Complementary Kit]],0)</f>
        <v>0</v>
      </c>
      <c r="AF495" s="112">
        <f>IF(NFI_Expiration=1,IF($A495&lt;VLOOKUP(Q$5,NFI,5,0),1,0)*Data_NFI_t[[#This Row],[Plastic Bucket]],0)</f>
        <v>0</v>
      </c>
      <c r="AG495" s="131">
        <f>IF(NFI_Expiration=1,IF($A495&lt;VLOOKUP(R$5,NFI,5,0),1,0)*Data_NFI_t[[#This Row],[Jerry Can]],0)</f>
        <v>0</v>
      </c>
      <c r="AH495" s="131">
        <f>IF(NFI_Expiration=1,IF($A495&lt;VLOOKUP(S$5,NFI,5,0),1,0)*Data_NFI_t[[#This Row],[Plastic Mat]],0)*IF(Data_NFI_t[[#This Row],[Distribution Date]]&gt;"01-06-2015",1,2.5)</f>
        <v>0</v>
      </c>
      <c r="AI495" s="901">
        <f>IF(NFI_Expiration=1,IF($A495&lt;VLOOKUP(T$5,NFI,5,0),1,0)*Data_NFI_t[[#This Row],[Adult Clothes]],0)</f>
        <v>0</v>
      </c>
      <c r="AJ495" s="131">
        <f>IF(NFI_Expiration=1,IF($A495&lt;VLOOKUP(U$5,NFI,5,0),1,0)*Data_NFI_t[[#This Row],[Children Clothes]],0)</f>
        <v>0</v>
      </c>
      <c r="AK495" s="131">
        <f>IF(NFI_Expiration=1,IF($A495&lt;VLOOKUP(V$5,NFI,5,0),1,0)*Data_NFI_t[[#This Row],[Sewing Kit]],0)</f>
        <v>0</v>
      </c>
      <c r="AL495" s="901">
        <f>IF(NFI_Expiration=1,IF($A495&lt;VLOOKUP(V$5,NFI,5,0),1,0)*Data_NFI_t[[#This Row],[Solar Lantern]],0)</f>
        <v>0</v>
      </c>
      <c r="AM495" s="131" t="str">
        <f ca="1">IFERROR(OFFSET(Camp_List[P_Code],MATCH(Data_NFI_t[[#This Row],[Camp Name]],Camp_List[Camp Name],0)-1,0,1,1),"")</f>
        <v/>
      </c>
      <c r="AN495" s="513" t="str">
        <f ca="1">IFERROR(OFFSET(Camp_List[Status],MATCH(Data_NFI_t[[#This Row],[Camp Name]],Camp_List[Camp Name],0)-1,0,1,1),"")</f>
        <v/>
      </c>
      <c r="AO495" s="131"/>
    </row>
    <row r="496" spans="1:41" s="789" customFormat="1" ht="19.5" customHeight="1" x14ac:dyDescent="0.25">
      <c r="A496" s="242" t="str">
        <f t="shared" si="10"/>
        <v/>
      </c>
      <c r="B496" s="522">
        <f>YEAR(Data_NFI_t[[#This Row],[Distribution Date]])</f>
        <v>1900</v>
      </c>
      <c r="C496" s="913"/>
      <c r="D496" s="489"/>
      <c r="E496" s="488"/>
      <c r="F496" s="489"/>
      <c r="G496" s="790"/>
      <c r="H496" s="790"/>
      <c r="I496" s="790"/>
      <c r="J496" s="51"/>
      <c r="K496" s="51"/>
      <c r="L496" s="119"/>
      <c r="M496" s="119"/>
      <c r="N496" s="119"/>
      <c r="O496" s="119"/>
      <c r="P496" s="119"/>
      <c r="Q496" s="119"/>
      <c r="R496" s="512"/>
      <c r="S496" s="119"/>
      <c r="T496" s="119"/>
      <c r="U496" s="119"/>
      <c r="V496" s="119"/>
      <c r="W496" s="119"/>
      <c r="X496" s="131">
        <f>IF(NFI_Expiration=1,IF($A496&lt;VLOOKUP(I$5,NFI,5,0),1,0)*Data_NFI_t[[#This Row],[Hygiene Kit]],0)</f>
        <v>0</v>
      </c>
      <c r="Y496" s="131">
        <f>IF(NFI_Expiration=1,IF($A496&lt;VLOOKUP(J$5,NFI,5,0),1,0)*Data_NFI_t[[#This Row],[NFI Core Kit]],0)</f>
        <v>0</v>
      </c>
      <c r="Z496" s="112">
        <f>IF(NFI_Expiration=1,IF($A496&lt;VLOOKUP(K$5,NFI,5,0),1,0)*Data_NFI_t[[#This Row],[Sanitary Kit]],0)</f>
        <v>0</v>
      </c>
      <c r="AA496" s="112">
        <f>IF(NFI_Expiration=1,IF($A496&lt;VLOOKUP(L$5,NFI,5,0),1,0)*Data_NFI_t[[#This Row],[Mosquito net]],0)</f>
        <v>0</v>
      </c>
      <c r="AB496" s="112">
        <f>IF(NFI_Expiration=1,IF($A496&lt;VLOOKUP(M$5,NFI,5,0),1,0)*Data_NFI_t[[#This Row],[Tarpaulin]],0)</f>
        <v>0</v>
      </c>
      <c r="AC496" s="112">
        <f>IF(NFI_Expiration=1,IF($A496&lt;VLOOKUP(N$5,NFI,5,0),1,0)*Data_NFI_t[[#This Row],[Blanket]],0)</f>
        <v>0</v>
      </c>
      <c r="AD496" s="112">
        <f>IF(NFI_Expiration=1,IF($A496&lt;VLOOKUP(O$5,NFI,5,0),1,0)*Data_NFI_t[[#This Row],[Kitchen Set]],0)</f>
        <v>0</v>
      </c>
      <c r="AE496" s="112">
        <f>IF(NFI_Expiration=1,IF($A496&lt;VLOOKUP(P$5,NFI,5,0),1,0)*Data_NFI_t[[#This Row],[Complementary Kit]],0)</f>
        <v>0</v>
      </c>
      <c r="AF496" s="112">
        <f>IF(NFI_Expiration=1,IF($A496&lt;VLOOKUP(Q$5,NFI,5,0),1,0)*Data_NFI_t[[#This Row],[Plastic Bucket]],0)</f>
        <v>0</v>
      </c>
      <c r="AG496" s="131">
        <f>IF(NFI_Expiration=1,IF($A496&lt;VLOOKUP(R$5,NFI,5,0),1,0)*Data_NFI_t[[#This Row],[Jerry Can]],0)</f>
        <v>0</v>
      </c>
      <c r="AH496" s="131">
        <f>IF(NFI_Expiration=1,IF($A496&lt;VLOOKUP(S$5,NFI,5,0),1,0)*Data_NFI_t[[#This Row],[Plastic Mat]],0)*IF(Data_NFI_t[[#This Row],[Distribution Date]]&gt;"01-06-2015",1,2.5)</f>
        <v>0</v>
      </c>
      <c r="AI496" s="901">
        <f>IF(NFI_Expiration=1,IF($A496&lt;VLOOKUP(T$5,NFI,5,0),1,0)*Data_NFI_t[[#This Row],[Adult Clothes]],0)</f>
        <v>0</v>
      </c>
      <c r="AJ496" s="131">
        <f>IF(NFI_Expiration=1,IF($A496&lt;VLOOKUP(U$5,NFI,5,0),1,0)*Data_NFI_t[[#This Row],[Children Clothes]],0)</f>
        <v>0</v>
      </c>
      <c r="AK496" s="131">
        <f>IF(NFI_Expiration=1,IF($A496&lt;VLOOKUP(V$5,NFI,5,0),1,0)*Data_NFI_t[[#This Row],[Sewing Kit]],0)</f>
        <v>0</v>
      </c>
      <c r="AL496" s="901">
        <f>IF(NFI_Expiration=1,IF($A496&lt;VLOOKUP(V$5,NFI,5,0),1,0)*Data_NFI_t[[#This Row],[Solar Lantern]],0)</f>
        <v>0</v>
      </c>
      <c r="AM496" s="131" t="str">
        <f ca="1">IFERROR(OFFSET(Camp_List[P_Code],MATCH(Data_NFI_t[[#This Row],[Camp Name]],Camp_List[Camp Name],0)-1,0,1,1),"")</f>
        <v/>
      </c>
      <c r="AN496" s="513" t="str">
        <f ca="1">IFERROR(OFFSET(Camp_List[Status],MATCH(Data_NFI_t[[#This Row],[Camp Name]],Camp_List[Camp Name],0)-1,0,1,1),"")</f>
        <v/>
      </c>
      <c r="AO496" s="131"/>
    </row>
    <row r="497" spans="1:41" s="789" customFormat="1" ht="19.5" customHeight="1" x14ac:dyDescent="0.25">
      <c r="A497" s="242" t="str">
        <f t="shared" si="10"/>
        <v/>
      </c>
      <c r="B497" s="522">
        <f>YEAR(Data_NFI_t[[#This Row],[Distribution Date]])</f>
        <v>1900</v>
      </c>
      <c r="C497" s="913"/>
      <c r="D497" s="489"/>
      <c r="E497" s="488"/>
      <c r="F497" s="489"/>
      <c r="G497" s="790"/>
      <c r="H497" s="790"/>
      <c r="I497" s="790"/>
      <c r="J497" s="51"/>
      <c r="K497" s="51"/>
      <c r="L497" s="119"/>
      <c r="M497" s="119"/>
      <c r="N497" s="119"/>
      <c r="O497" s="119"/>
      <c r="P497" s="119"/>
      <c r="Q497" s="119"/>
      <c r="R497" s="512"/>
      <c r="S497" s="119"/>
      <c r="T497" s="119"/>
      <c r="U497" s="119"/>
      <c r="V497" s="119"/>
      <c r="W497" s="119"/>
      <c r="X497" s="131">
        <f>IF(NFI_Expiration=1,IF($A497&lt;VLOOKUP(I$5,NFI,5,0),1,0)*Data_NFI_t[[#This Row],[Hygiene Kit]],0)</f>
        <v>0</v>
      </c>
      <c r="Y497" s="131">
        <f>IF(NFI_Expiration=1,IF($A497&lt;VLOOKUP(J$5,NFI,5,0),1,0)*Data_NFI_t[[#This Row],[NFI Core Kit]],0)</f>
        <v>0</v>
      </c>
      <c r="Z497" s="112">
        <f>IF(NFI_Expiration=1,IF($A497&lt;VLOOKUP(K$5,NFI,5,0),1,0)*Data_NFI_t[[#This Row],[Sanitary Kit]],0)</f>
        <v>0</v>
      </c>
      <c r="AA497" s="112">
        <f>IF(NFI_Expiration=1,IF($A497&lt;VLOOKUP(L$5,NFI,5,0),1,0)*Data_NFI_t[[#This Row],[Mosquito net]],0)</f>
        <v>0</v>
      </c>
      <c r="AB497" s="112">
        <f>IF(NFI_Expiration=1,IF($A497&lt;VLOOKUP(M$5,NFI,5,0),1,0)*Data_NFI_t[[#This Row],[Tarpaulin]],0)</f>
        <v>0</v>
      </c>
      <c r="AC497" s="112">
        <f>IF(NFI_Expiration=1,IF($A497&lt;VLOOKUP(N$5,NFI,5,0),1,0)*Data_NFI_t[[#This Row],[Blanket]],0)</f>
        <v>0</v>
      </c>
      <c r="AD497" s="112">
        <f>IF(NFI_Expiration=1,IF($A497&lt;VLOOKUP(O$5,NFI,5,0),1,0)*Data_NFI_t[[#This Row],[Kitchen Set]],0)</f>
        <v>0</v>
      </c>
      <c r="AE497" s="112">
        <f>IF(NFI_Expiration=1,IF($A497&lt;VLOOKUP(P$5,NFI,5,0),1,0)*Data_NFI_t[[#This Row],[Complementary Kit]],0)</f>
        <v>0</v>
      </c>
      <c r="AF497" s="112">
        <f>IF(NFI_Expiration=1,IF($A497&lt;VLOOKUP(Q$5,NFI,5,0),1,0)*Data_NFI_t[[#This Row],[Plastic Bucket]],0)</f>
        <v>0</v>
      </c>
      <c r="AG497" s="131">
        <f>IF(NFI_Expiration=1,IF($A497&lt;VLOOKUP(R$5,NFI,5,0),1,0)*Data_NFI_t[[#This Row],[Jerry Can]],0)</f>
        <v>0</v>
      </c>
      <c r="AH497" s="131">
        <f>IF(NFI_Expiration=1,IF($A497&lt;VLOOKUP(S$5,NFI,5,0),1,0)*Data_NFI_t[[#This Row],[Plastic Mat]],0)*IF(Data_NFI_t[[#This Row],[Distribution Date]]&gt;"01-06-2015",1,2.5)</f>
        <v>0</v>
      </c>
      <c r="AI497" s="901">
        <f>IF(NFI_Expiration=1,IF($A497&lt;VLOOKUP(T$5,NFI,5,0),1,0)*Data_NFI_t[[#This Row],[Adult Clothes]],0)</f>
        <v>0</v>
      </c>
      <c r="AJ497" s="131">
        <f>IF(NFI_Expiration=1,IF($A497&lt;VLOOKUP(U$5,NFI,5,0),1,0)*Data_NFI_t[[#This Row],[Children Clothes]],0)</f>
        <v>0</v>
      </c>
      <c r="AK497" s="131">
        <f>IF(NFI_Expiration=1,IF($A497&lt;VLOOKUP(V$5,NFI,5,0),1,0)*Data_NFI_t[[#This Row],[Sewing Kit]],0)</f>
        <v>0</v>
      </c>
      <c r="AL497" s="901">
        <f>IF(NFI_Expiration=1,IF($A497&lt;VLOOKUP(V$5,NFI,5,0),1,0)*Data_NFI_t[[#This Row],[Solar Lantern]],0)</f>
        <v>0</v>
      </c>
      <c r="AM497" s="131" t="str">
        <f ca="1">IFERROR(OFFSET(Camp_List[P_Code],MATCH(Data_NFI_t[[#This Row],[Camp Name]],Camp_List[Camp Name],0)-1,0,1,1),"")</f>
        <v/>
      </c>
      <c r="AN497" s="513" t="str">
        <f ca="1">IFERROR(OFFSET(Camp_List[Status],MATCH(Data_NFI_t[[#This Row],[Camp Name]],Camp_List[Camp Name],0)-1,0,1,1),"")</f>
        <v/>
      </c>
      <c r="AO497" s="131"/>
    </row>
    <row r="498" spans="1:41" s="789" customFormat="1" ht="19.5" customHeight="1" x14ac:dyDescent="0.25">
      <c r="A498" s="242" t="str">
        <f t="shared" si="10"/>
        <v/>
      </c>
      <c r="B498" s="522">
        <f>YEAR(Data_NFI_t[[#This Row],[Distribution Date]])</f>
        <v>1900</v>
      </c>
      <c r="C498" s="913"/>
      <c r="D498" s="489"/>
      <c r="E498" s="488"/>
      <c r="F498" s="489"/>
      <c r="G498" s="790"/>
      <c r="H498" s="790"/>
      <c r="I498" s="790"/>
      <c r="J498" s="51"/>
      <c r="K498" s="51"/>
      <c r="L498" s="119"/>
      <c r="M498" s="119"/>
      <c r="N498" s="119"/>
      <c r="O498" s="119"/>
      <c r="P498" s="119"/>
      <c r="Q498" s="119"/>
      <c r="R498" s="512"/>
      <c r="S498" s="119"/>
      <c r="T498" s="119"/>
      <c r="U498" s="119"/>
      <c r="V498" s="119"/>
      <c r="W498" s="119"/>
      <c r="X498" s="131">
        <f>IF(NFI_Expiration=1,IF($A498&lt;VLOOKUP(I$5,NFI,5,0),1,0)*Data_NFI_t[[#This Row],[Hygiene Kit]],0)</f>
        <v>0</v>
      </c>
      <c r="Y498" s="131">
        <f>IF(NFI_Expiration=1,IF($A498&lt;VLOOKUP(J$5,NFI,5,0),1,0)*Data_NFI_t[[#This Row],[NFI Core Kit]],0)</f>
        <v>0</v>
      </c>
      <c r="Z498" s="112">
        <f>IF(NFI_Expiration=1,IF($A498&lt;VLOOKUP(K$5,NFI,5,0),1,0)*Data_NFI_t[[#This Row],[Sanitary Kit]],0)</f>
        <v>0</v>
      </c>
      <c r="AA498" s="112">
        <f>IF(NFI_Expiration=1,IF($A498&lt;VLOOKUP(L$5,NFI,5,0),1,0)*Data_NFI_t[[#This Row],[Mosquito net]],0)</f>
        <v>0</v>
      </c>
      <c r="AB498" s="112">
        <f>IF(NFI_Expiration=1,IF($A498&lt;VLOOKUP(M$5,NFI,5,0),1,0)*Data_NFI_t[[#This Row],[Tarpaulin]],0)</f>
        <v>0</v>
      </c>
      <c r="AC498" s="112">
        <f>IF(NFI_Expiration=1,IF($A498&lt;VLOOKUP(N$5,NFI,5,0),1,0)*Data_NFI_t[[#This Row],[Blanket]],0)</f>
        <v>0</v>
      </c>
      <c r="AD498" s="112">
        <f>IF(NFI_Expiration=1,IF($A498&lt;VLOOKUP(O$5,NFI,5,0),1,0)*Data_NFI_t[[#This Row],[Kitchen Set]],0)</f>
        <v>0</v>
      </c>
      <c r="AE498" s="112">
        <f>IF(NFI_Expiration=1,IF($A498&lt;VLOOKUP(P$5,NFI,5,0),1,0)*Data_NFI_t[[#This Row],[Complementary Kit]],0)</f>
        <v>0</v>
      </c>
      <c r="AF498" s="112">
        <f>IF(NFI_Expiration=1,IF($A498&lt;VLOOKUP(Q$5,NFI,5,0),1,0)*Data_NFI_t[[#This Row],[Plastic Bucket]],0)</f>
        <v>0</v>
      </c>
      <c r="AG498" s="131">
        <f>IF(NFI_Expiration=1,IF($A498&lt;VLOOKUP(R$5,NFI,5,0),1,0)*Data_NFI_t[[#This Row],[Jerry Can]],0)</f>
        <v>0</v>
      </c>
      <c r="AH498" s="131">
        <f>IF(NFI_Expiration=1,IF($A498&lt;VLOOKUP(S$5,NFI,5,0),1,0)*Data_NFI_t[[#This Row],[Plastic Mat]],0)*IF(Data_NFI_t[[#This Row],[Distribution Date]]&gt;"01-06-2015",1,2.5)</f>
        <v>0</v>
      </c>
      <c r="AI498" s="901">
        <f>IF(NFI_Expiration=1,IF($A498&lt;VLOOKUP(T$5,NFI,5,0),1,0)*Data_NFI_t[[#This Row],[Adult Clothes]],0)</f>
        <v>0</v>
      </c>
      <c r="AJ498" s="131">
        <f>IF(NFI_Expiration=1,IF($A498&lt;VLOOKUP(U$5,NFI,5,0),1,0)*Data_NFI_t[[#This Row],[Children Clothes]],0)</f>
        <v>0</v>
      </c>
      <c r="AK498" s="131">
        <f>IF(NFI_Expiration=1,IF($A498&lt;VLOOKUP(V$5,NFI,5,0),1,0)*Data_NFI_t[[#This Row],[Sewing Kit]],0)</f>
        <v>0</v>
      </c>
      <c r="AL498" s="901">
        <f>IF(NFI_Expiration=1,IF($A498&lt;VLOOKUP(V$5,NFI,5,0),1,0)*Data_NFI_t[[#This Row],[Solar Lantern]],0)</f>
        <v>0</v>
      </c>
      <c r="AM498" s="131" t="str">
        <f ca="1">IFERROR(OFFSET(Camp_List[P_Code],MATCH(Data_NFI_t[[#This Row],[Camp Name]],Camp_List[Camp Name],0)-1,0,1,1),"")</f>
        <v/>
      </c>
      <c r="AN498" s="513" t="str">
        <f ca="1">IFERROR(OFFSET(Camp_List[Status],MATCH(Data_NFI_t[[#This Row],[Camp Name]],Camp_List[Camp Name],0)-1,0,1,1),"")</f>
        <v/>
      </c>
      <c r="AO498" s="131"/>
    </row>
    <row r="499" spans="1:41" s="789" customFormat="1" ht="19.5" customHeight="1" x14ac:dyDescent="0.25">
      <c r="A499" s="242" t="str">
        <f t="shared" si="10"/>
        <v/>
      </c>
      <c r="B499" s="522">
        <f>YEAR(Data_NFI_t[[#This Row],[Distribution Date]])</f>
        <v>1900</v>
      </c>
      <c r="C499" s="913"/>
      <c r="D499" s="489"/>
      <c r="E499" s="488"/>
      <c r="F499" s="489"/>
      <c r="G499" s="790"/>
      <c r="H499" s="790"/>
      <c r="I499" s="790"/>
      <c r="J499" s="51"/>
      <c r="K499" s="51"/>
      <c r="L499" s="119"/>
      <c r="M499" s="119"/>
      <c r="N499" s="119"/>
      <c r="O499" s="119"/>
      <c r="P499" s="119"/>
      <c r="Q499" s="119"/>
      <c r="R499" s="512"/>
      <c r="S499" s="119"/>
      <c r="T499" s="119"/>
      <c r="U499" s="119"/>
      <c r="V499" s="119"/>
      <c r="W499" s="119"/>
      <c r="X499" s="131">
        <f>IF(NFI_Expiration=1,IF($A499&lt;VLOOKUP(I$5,NFI,5,0),1,0)*Data_NFI_t[[#This Row],[Hygiene Kit]],0)</f>
        <v>0</v>
      </c>
      <c r="Y499" s="131">
        <f>IF(NFI_Expiration=1,IF($A499&lt;VLOOKUP(J$5,NFI,5,0),1,0)*Data_NFI_t[[#This Row],[NFI Core Kit]],0)</f>
        <v>0</v>
      </c>
      <c r="Z499" s="112">
        <f>IF(NFI_Expiration=1,IF($A499&lt;VLOOKUP(K$5,NFI,5,0),1,0)*Data_NFI_t[[#This Row],[Sanitary Kit]],0)</f>
        <v>0</v>
      </c>
      <c r="AA499" s="112">
        <f>IF(NFI_Expiration=1,IF($A499&lt;VLOOKUP(L$5,NFI,5,0),1,0)*Data_NFI_t[[#This Row],[Mosquito net]],0)</f>
        <v>0</v>
      </c>
      <c r="AB499" s="112">
        <f>IF(NFI_Expiration=1,IF($A499&lt;VLOOKUP(M$5,NFI,5,0),1,0)*Data_NFI_t[[#This Row],[Tarpaulin]],0)</f>
        <v>0</v>
      </c>
      <c r="AC499" s="112">
        <f>IF(NFI_Expiration=1,IF($A499&lt;VLOOKUP(N$5,NFI,5,0),1,0)*Data_NFI_t[[#This Row],[Blanket]],0)</f>
        <v>0</v>
      </c>
      <c r="AD499" s="112">
        <f>IF(NFI_Expiration=1,IF($A499&lt;VLOOKUP(O$5,NFI,5,0),1,0)*Data_NFI_t[[#This Row],[Kitchen Set]],0)</f>
        <v>0</v>
      </c>
      <c r="AE499" s="112">
        <f>IF(NFI_Expiration=1,IF($A499&lt;VLOOKUP(P$5,NFI,5,0),1,0)*Data_NFI_t[[#This Row],[Complementary Kit]],0)</f>
        <v>0</v>
      </c>
      <c r="AF499" s="112">
        <f>IF(NFI_Expiration=1,IF($A499&lt;VLOOKUP(Q$5,NFI,5,0),1,0)*Data_NFI_t[[#This Row],[Plastic Bucket]],0)</f>
        <v>0</v>
      </c>
      <c r="AG499" s="131">
        <f>IF(NFI_Expiration=1,IF($A499&lt;VLOOKUP(R$5,NFI,5,0),1,0)*Data_NFI_t[[#This Row],[Jerry Can]],0)</f>
        <v>0</v>
      </c>
      <c r="AH499" s="131">
        <f>IF(NFI_Expiration=1,IF($A499&lt;VLOOKUP(S$5,NFI,5,0),1,0)*Data_NFI_t[[#This Row],[Plastic Mat]],0)*IF(Data_NFI_t[[#This Row],[Distribution Date]]&gt;"01-06-2015",1,2.5)</f>
        <v>0</v>
      </c>
      <c r="AI499" s="901">
        <f>IF(NFI_Expiration=1,IF($A499&lt;VLOOKUP(T$5,NFI,5,0),1,0)*Data_NFI_t[[#This Row],[Adult Clothes]],0)</f>
        <v>0</v>
      </c>
      <c r="AJ499" s="131">
        <f>IF(NFI_Expiration=1,IF($A499&lt;VLOOKUP(U$5,NFI,5,0),1,0)*Data_NFI_t[[#This Row],[Children Clothes]],0)</f>
        <v>0</v>
      </c>
      <c r="AK499" s="131">
        <f>IF(NFI_Expiration=1,IF($A499&lt;VLOOKUP(V$5,NFI,5,0),1,0)*Data_NFI_t[[#This Row],[Sewing Kit]],0)</f>
        <v>0</v>
      </c>
      <c r="AL499" s="901">
        <f>IF(NFI_Expiration=1,IF($A499&lt;VLOOKUP(V$5,NFI,5,0),1,0)*Data_NFI_t[[#This Row],[Solar Lantern]],0)</f>
        <v>0</v>
      </c>
      <c r="AM499" s="131" t="str">
        <f ca="1">IFERROR(OFFSET(Camp_List[P_Code],MATCH(Data_NFI_t[[#This Row],[Camp Name]],Camp_List[Camp Name],0)-1,0,1,1),"")</f>
        <v/>
      </c>
      <c r="AN499" s="513" t="str">
        <f ca="1">IFERROR(OFFSET(Camp_List[Status],MATCH(Data_NFI_t[[#This Row],[Camp Name]],Camp_List[Camp Name],0)-1,0,1,1),"")</f>
        <v/>
      </c>
      <c r="AO499" s="131"/>
    </row>
    <row r="500" spans="1:41" s="789" customFormat="1" ht="19.5" customHeight="1" x14ac:dyDescent="0.25">
      <c r="A500" s="242" t="str">
        <f t="shared" si="10"/>
        <v/>
      </c>
      <c r="B500" s="522">
        <f>YEAR(Data_NFI_t[[#This Row],[Distribution Date]])</f>
        <v>1900</v>
      </c>
      <c r="C500" s="913"/>
      <c r="D500" s="489"/>
      <c r="E500" s="488"/>
      <c r="F500" s="489"/>
      <c r="G500" s="790"/>
      <c r="H500" s="790"/>
      <c r="I500" s="790"/>
      <c r="J500" s="51"/>
      <c r="K500" s="51"/>
      <c r="L500" s="119"/>
      <c r="M500" s="119"/>
      <c r="N500" s="119"/>
      <c r="O500" s="119"/>
      <c r="P500" s="119"/>
      <c r="Q500" s="119"/>
      <c r="R500" s="512"/>
      <c r="S500" s="119"/>
      <c r="T500" s="119"/>
      <c r="U500" s="119"/>
      <c r="V500" s="119"/>
      <c r="W500" s="119"/>
      <c r="X500" s="131">
        <f>IF(NFI_Expiration=1,IF($A500&lt;VLOOKUP(I$5,NFI,5,0),1,0)*Data_NFI_t[[#This Row],[Hygiene Kit]],0)</f>
        <v>0</v>
      </c>
      <c r="Y500" s="131">
        <f>IF(NFI_Expiration=1,IF($A500&lt;VLOOKUP(J$5,NFI,5,0),1,0)*Data_NFI_t[[#This Row],[NFI Core Kit]],0)</f>
        <v>0</v>
      </c>
      <c r="Z500" s="112">
        <f>IF(NFI_Expiration=1,IF($A500&lt;VLOOKUP(K$5,NFI,5,0),1,0)*Data_NFI_t[[#This Row],[Sanitary Kit]],0)</f>
        <v>0</v>
      </c>
      <c r="AA500" s="112">
        <f>IF(NFI_Expiration=1,IF($A500&lt;VLOOKUP(L$5,NFI,5,0),1,0)*Data_NFI_t[[#This Row],[Mosquito net]],0)</f>
        <v>0</v>
      </c>
      <c r="AB500" s="112">
        <f>IF(NFI_Expiration=1,IF($A500&lt;VLOOKUP(M$5,NFI,5,0),1,0)*Data_NFI_t[[#This Row],[Tarpaulin]],0)</f>
        <v>0</v>
      </c>
      <c r="AC500" s="112">
        <f>IF(NFI_Expiration=1,IF($A500&lt;VLOOKUP(N$5,NFI,5,0),1,0)*Data_NFI_t[[#This Row],[Blanket]],0)</f>
        <v>0</v>
      </c>
      <c r="AD500" s="112">
        <f>IF(NFI_Expiration=1,IF($A500&lt;VLOOKUP(O$5,NFI,5,0),1,0)*Data_NFI_t[[#This Row],[Kitchen Set]],0)</f>
        <v>0</v>
      </c>
      <c r="AE500" s="112">
        <f>IF(NFI_Expiration=1,IF($A500&lt;VLOOKUP(P$5,NFI,5,0),1,0)*Data_NFI_t[[#This Row],[Complementary Kit]],0)</f>
        <v>0</v>
      </c>
      <c r="AF500" s="112">
        <f>IF(NFI_Expiration=1,IF($A500&lt;VLOOKUP(Q$5,NFI,5,0),1,0)*Data_NFI_t[[#This Row],[Plastic Bucket]],0)</f>
        <v>0</v>
      </c>
      <c r="AG500" s="131">
        <f>IF(NFI_Expiration=1,IF($A500&lt;VLOOKUP(R$5,NFI,5,0),1,0)*Data_NFI_t[[#This Row],[Jerry Can]],0)</f>
        <v>0</v>
      </c>
      <c r="AH500" s="131">
        <f>IF(NFI_Expiration=1,IF($A500&lt;VLOOKUP(S$5,NFI,5,0),1,0)*Data_NFI_t[[#This Row],[Plastic Mat]],0)*IF(Data_NFI_t[[#This Row],[Distribution Date]]&gt;"01-06-2015",1,2.5)</f>
        <v>0</v>
      </c>
      <c r="AI500" s="901">
        <f>IF(NFI_Expiration=1,IF($A500&lt;VLOOKUP(T$5,NFI,5,0),1,0)*Data_NFI_t[[#This Row],[Adult Clothes]],0)</f>
        <v>0</v>
      </c>
      <c r="AJ500" s="131">
        <f>IF(NFI_Expiration=1,IF($A500&lt;VLOOKUP(U$5,NFI,5,0),1,0)*Data_NFI_t[[#This Row],[Children Clothes]],0)</f>
        <v>0</v>
      </c>
      <c r="AK500" s="131">
        <f>IF(NFI_Expiration=1,IF($A500&lt;VLOOKUP(V$5,NFI,5,0),1,0)*Data_NFI_t[[#This Row],[Sewing Kit]],0)</f>
        <v>0</v>
      </c>
      <c r="AL500" s="901">
        <f>IF(NFI_Expiration=1,IF($A500&lt;VLOOKUP(V$5,NFI,5,0),1,0)*Data_NFI_t[[#This Row],[Solar Lantern]],0)</f>
        <v>0</v>
      </c>
      <c r="AM500" s="131" t="str">
        <f ca="1">IFERROR(OFFSET(Camp_List[P_Code],MATCH(Data_NFI_t[[#This Row],[Camp Name]],Camp_List[Camp Name],0)-1,0,1,1),"")</f>
        <v/>
      </c>
      <c r="AN500" s="513" t="str">
        <f ca="1">IFERROR(OFFSET(Camp_List[Status],MATCH(Data_NFI_t[[#This Row],[Camp Name]],Camp_List[Camp Name],0)-1,0,1,1),"")</f>
        <v/>
      </c>
      <c r="AO500" s="131"/>
    </row>
    <row r="501" spans="1:41" s="789" customFormat="1" ht="19.5" customHeight="1" x14ac:dyDescent="0.25">
      <c r="A501" s="242" t="str">
        <f t="shared" si="10"/>
        <v/>
      </c>
      <c r="B501" s="522">
        <f>YEAR(Data_NFI_t[[#This Row],[Distribution Date]])</f>
        <v>1900</v>
      </c>
      <c r="C501" s="913"/>
      <c r="D501" s="489"/>
      <c r="E501" s="488"/>
      <c r="F501" s="489"/>
      <c r="G501" s="790"/>
      <c r="H501" s="790"/>
      <c r="I501" s="790"/>
      <c r="J501" s="51"/>
      <c r="K501" s="51"/>
      <c r="L501" s="119"/>
      <c r="M501" s="119"/>
      <c r="N501" s="119"/>
      <c r="O501" s="119"/>
      <c r="P501" s="119"/>
      <c r="Q501" s="119"/>
      <c r="R501" s="512"/>
      <c r="S501" s="119"/>
      <c r="T501" s="119"/>
      <c r="U501" s="119"/>
      <c r="V501" s="119"/>
      <c r="W501" s="119"/>
      <c r="X501" s="131">
        <f>IF(NFI_Expiration=1,IF($A501&lt;VLOOKUP(I$5,NFI,5,0),1,0)*Data_NFI_t[[#This Row],[Hygiene Kit]],0)</f>
        <v>0</v>
      </c>
      <c r="Y501" s="131">
        <f>IF(NFI_Expiration=1,IF($A501&lt;VLOOKUP(J$5,NFI,5,0),1,0)*Data_NFI_t[[#This Row],[NFI Core Kit]],0)</f>
        <v>0</v>
      </c>
      <c r="Z501" s="112">
        <f>IF(NFI_Expiration=1,IF($A501&lt;VLOOKUP(K$5,NFI,5,0),1,0)*Data_NFI_t[[#This Row],[Sanitary Kit]],0)</f>
        <v>0</v>
      </c>
      <c r="AA501" s="112">
        <f>IF(NFI_Expiration=1,IF($A501&lt;VLOOKUP(L$5,NFI,5,0),1,0)*Data_NFI_t[[#This Row],[Mosquito net]],0)</f>
        <v>0</v>
      </c>
      <c r="AB501" s="112">
        <f>IF(NFI_Expiration=1,IF($A501&lt;VLOOKUP(M$5,NFI,5,0),1,0)*Data_NFI_t[[#This Row],[Tarpaulin]],0)</f>
        <v>0</v>
      </c>
      <c r="AC501" s="112">
        <f>IF(NFI_Expiration=1,IF($A501&lt;VLOOKUP(N$5,NFI,5,0),1,0)*Data_NFI_t[[#This Row],[Blanket]],0)</f>
        <v>0</v>
      </c>
      <c r="AD501" s="112">
        <f>IF(NFI_Expiration=1,IF($A501&lt;VLOOKUP(O$5,NFI,5,0),1,0)*Data_NFI_t[[#This Row],[Kitchen Set]],0)</f>
        <v>0</v>
      </c>
      <c r="AE501" s="112">
        <f>IF(NFI_Expiration=1,IF($A501&lt;VLOOKUP(P$5,NFI,5,0),1,0)*Data_NFI_t[[#This Row],[Complementary Kit]],0)</f>
        <v>0</v>
      </c>
      <c r="AF501" s="112">
        <f>IF(NFI_Expiration=1,IF($A501&lt;VLOOKUP(Q$5,NFI,5,0),1,0)*Data_NFI_t[[#This Row],[Plastic Bucket]],0)</f>
        <v>0</v>
      </c>
      <c r="AG501" s="131">
        <f>IF(NFI_Expiration=1,IF($A501&lt;VLOOKUP(R$5,NFI,5,0),1,0)*Data_NFI_t[[#This Row],[Jerry Can]],0)</f>
        <v>0</v>
      </c>
      <c r="AH501" s="131">
        <f>IF(NFI_Expiration=1,IF($A501&lt;VLOOKUP(S$5,NFI,5,0),1,0)*Data_NFI_t[[#This Row],[Plastic Mat]],0)*IF(Data_NFI_t[[#This Row],[Distribution Date]]&gt;"01-06-2015",1,2.5)</f>
        <v>0</v>
      </c>
      <c r="AI501" s="901">
        <f>IF(NFI_Expiration=1,IF($A501&lt;VLOOKUP(T$5,NFI,5,0),1,0)*Data_NFI_t[[#This Row],[Adult Clothes]],0)</f>
        <v>0</v>
      </c>
      <c r="AJ501" s="131">
        <f>IF(NFI_Expiration=1,IF($A501&lt;VLOOKUP(U$5,NFI,5,0),1,0)*Data_NFI_t[[#This Row],[Children Clothes]],0)</f>
        <v>0</v>
      </c>
      <c r="AK501" s="131">
        <f>IF(NFI_Expiration=1,IF($A501&lt;VLOOKUP(V$5,NFI,5,0),1,0)*Data_NFI_t[[#This Row],[Sewing Kit]],0)</f>
        <v>0</v>
      </c>
      <c r="AL501" s="901">
        <f>IF(NFI_Expiration=1,IF($A501&lt;VLOOKUP(V$5,NFI,5,0),1,0)*Data_NFI_t[[#This Row],[Solar Lantern]],0)</f>
        <v>0</v>
      </c>
      <c r="AM501" s="131" t="str">
        <f ca="1">IFERROR(OFFSET(Camp_List[P_Code],MATCH(Data_NFI_t[[#This Row],[Camp Name]],Camp_List[Camp Name],0)-1,0,1,1),"")</f>
        <v/>
      </c>
      <c r="AN501" s="513" t="str">
        <f ca="1">IFERROR(OFFSET(Camp_List[Status],MATCH(Data_NFI_t[[#This Row],[Camp Name]],Camp_List[Camp Name],0)-1,0,1,1),"")</f>
        <v/>
      </c>
      <c r="AO501" s="131"/>
    </row>
    <row r="502" spans="1:41" s="789" customFormat="1" ht="19.5" customHeight="1" x14ac:dyDescent="0.25">
      <c r="A502" s="242" t="str">
        <f t="shared" si="10"/>
        <v/>
      </c>
      <c r="B502" s="522">
        <f>YEAR(Data_NFI_t[[#This Row],[Distribution Date]])</f>
        <v>1900</v>
      </c>
      <c r="C502" s="913"/>
      <c r="D502" s="489"/>
      <c r="E502" s="488"/>
      <c r="F502" s="489"/>
      <c r="G502" s="790"/>
      <c r="H502" s="790"/>
      <c r="I502" s="790"/>
      <c r="J502" s="51"/>
      <c r="K502" s="51"/>
      <c r="L502" s="119"/>
      <c r="M502" s="119"/>
      <c r="N502" s="119"/>
      <c r="O502" s="119"/>
      <c r="P502" s="119"/>
      <c r="Q502" s="119"/>
      <c r="R502" s="512"/>
      <c r="S502" s="119"/>
      <c r="T502" s="119"/>
      <c r="U502" s="119"/>
      <c r="V502" s="119"/>
      <c r="W502" s="119"/>
      <c r="X502" s="131">
        <f>IF(NFI_Expiration=1,IF($A502&lt;VLOOKUP(I$5,NFI,5,0),1,0)*Data_NFI_t[[#This Row],[Hygiene Kit]],0)</f>
        <v>0</v>
      </c>
      <c r="Y502" s="131">
        <f>IF(NFI_Expiration=1,IF($A502&lt;VLOOKUP(J$5,NFI,5,0),1,0)*Data_NFI_t[[#This Row],[NFI Core Kit]],0)</f>
        <v>0</v>
      </c>
      <c r="Z502" s="112">
        <f>IF(NFI_Expiration=1,IF($A502&lt;VLOOKUP(K$5,NFI,5,0),1,0)*Data_NFI_t[[#This Row],[Sanitary Kit]],0)</f>
        <v>0</v>
      </c>
      <c r="AA502" s="112">
        <f>IF(NFI_Expiration=1,IF($A502&lt;VLOOKUP(L$5,NFI,5,0),1,0)*Data_NFI_t[[#This Row],[Mosquito net]],0)</f>
        <v>0</v>
      </c>
      <c r="AB502" s="112">
        <f>IF(NFI_Expiration=1,IF($A502&lt;VLOOKUP(M$5,NFI,5,0),1,0)*Data_NFI_t[[#This Row],[Tarpaulin]],0)</f>
        <v>0</v>
      </c>
      <c r="AC502" s="112">
        <f>IF(NFI_Expiration=1,IF($A502&lt;VLOOKUP(N$5,NFI,5,0),1,0)*Data_NFI_t[[#This Row],[Blanket]],0)</f>
        <v>0</v>
      </c>
      <c r="AD502" s="112">
        <f>IF(NFI_Expiration=1,IF($A502&lt;VLOOKUP(O$5,NFI,5,0),1,0)*Data_NFI_t[[#This Row],[Kitchen Set]],0)</f>
        <v>0</v>
      </c>
      <c r="AE502" s="112">
        <f>IF(NFI_Expiration=1,IF($A502&lt;VLOOKUP(P$5,NFI,5,0),1,0)*Data_NFI_t[[#This Row],[Complementary Kit]],0)</f>
        <v>0</v>
      </c>
      <c r="AF502" s="112">
        <f>IF(NFI_Expiration=1,IF($A502&lt;VLOOKUP(Q$5,NFI,5,0),1,0)*Data_NFI_t[[#This Row],[Plastic Bucket]],0)</f>
        <v>0</v>
      </c>
      <c r="AG502" s="131">
        <f>IF(NFI_Expiration=1,IF($A502&lt;VLOOKUP(R$5,NFI,5,0),1,0)*Data_NFI_t[[#This Row],[Jerry Can]],0)</f>
        <v>0</v>
      </c>
      <c r="AH502" s="131">
        <f>IF(NFI_Expiration=1,IF($A502&lt;VLOOKUP(S$5,NFI,5,0),1,0)*Data_NFI_t[[#This Row],[Plastic Mat]],0)*IF(Data_NFI_t[[#This Row],[Distribution Date]]&gt;"01-06-2015",1,2.5)</f>
        <v>0</v>
      </c>
      <c r="AI502" s="901">
        <f>IF(NFI_Expiration=1,IF($A502&lt;VLOOKUP(T$5,NFI,5,0),1,0)*Data_NFI_t[[#This Row],[Adult Clothes]],0)</f>
        <v>0</v>
      </c>
      <c r="AJ502" s="131">
        <f>IF(NFI_Expiration=1,IF($A502&lt;VLOOKUP(U$5,NFI,5,0),1,0)*Data_NFI_t[[#This Row],[Children Clothes]],0)</f>
        <v>0</v>
      </c>
      <c r="AK502" s="131">
        <f>IF(NFI_Expiration=1,IF($A502&lt;VLOOKUP(V$5,NFI,5,0),1,0)*Data_NFI_t[[#This Row],[Sewing Kit]],0)</f>
        <v>0</v>
      </c>
      <c r="AL502" s="901">
        <f>IF(NFI_Expiration=1,IF($A502&lt;VLOOKUP(V$5,NFI,5,0),1,0)*Data_NFI_t[[#This Row],[Solar Lantern]],0)</f>
        <v>0</v>
      </c>
      <c r="AM502" s="131" t="str">
        <f ca="1">IFERROR(OFFSET(Camp_List[P_Code],MATCH(Data_NFI_t[[#This Row],[Camp Name]],Camp_List[Camp Name],0)-1,0,1,1),"")</f>
        <v/>
      </c>
      <c r="AN502" s="513" t="str">
        <f ca="1">IFERROR(OFFSET(Camp_List[Status],MATCH(Data_NFI_t[[#This Row],[Camp Name]],Camp_List[Camp Name],0)-1,0,1,1),"")</f>
        <v/>
      </c>
      <c r="AO502" s="131"/>
    </row>
    <row r="503" spans="1:41" s="789" customFormat="1" ht="19.5" customHeight="1" x14ac:dyDescent="0.25">
      <c r="A503" s="242" t="str">
        <f t="shared" si="10"/>
        <v/>
      </c>
      <c r="B503" s="522">
        <f>YEAR(Data_NFI_t[[#This Row],[Distribution Date]])</f>
        <v>1900</v>
      </c>
      <c r="C503" s="913"/>
      <c r="D503" s="489"/>
      <c r="E503" s="488"/>
      <c r="F503" s="489"/>
      <c r="G503" s="790"/>
      <c r="H503" s="790"/>
      <c r="I503" s="790"/>
      <c r="J503" s="51"/>
      <c r="K503" s="51"/>
      <c r="L503" s="119"/>
      <c r="M503" s="119"/>
      <c r="N503" s="119"/>
      <c r="O503" s="119"/>
      <c r="P503" s="119"/>
      <c r="Q503" s="119"/>
      <c r="R503" s="512"/>
      <c r="S503" s="119"/>
      <c r="T503" s="119"/>
      <c r="U503" s="119"/>
      <c r="V503" s="119"/>
      <c r="W503" s="119"/>
      <c r="X503" s="131">
        <f>IF(NFI_Expiration=1,IF($A503&lt;VLOOKUP(I$5,NFI,5,0),1,0)*Data_NFI_t[[#This Row],[Hygiene Kit]],0)</f>
        <v>0</v>
      </c>
      <c r="Y503" s="131">
        <f>IF(NFI_Expiration=1,IF($A503&lt;VLOOKUP(J$5,NFI,5,0),1,0)*Data_NFI_t[[#This Row],[NFI Core Kit]],0)</f>
        <v>0</v>
      </c>
      <c r="Z503" s="112">
        <f>IF(NFI_Expiration=1,IF($A503&lt;VLOOKUP(K$5,NFI,5,0),1,0)*Data_NFI_t[[#This Row],[Sanitary Kit]],0)</f>
        <v>0</v>
      </c>
      <c r="AA503" s="112">
        <f>IF(NFI_Expiration=1,IF($A503&lt;VLOOKUP(L$5,NFI,5,0),1,0)*Data_NFI_t[[#This Row],[Mosquito net]],0)</f>
        <v>0</v>
      </c>
      <c r="AB503" s="112">
        <f>IF(NFI_Expiration=1,IF($A503&lt;VLOOKUP(M$5,NFI,5,0),1,0)*Data_NFI_t[[#This Row],[Tarpaulin]],0)</f>
        <v>0</v>
      </c>
      <c r="AC503" s="112">
        <f>IF(NFI_Expiration=1,IF($A503&lt;VLOOKUP(N$5,NFI,5,0),1,0)*Data_NFI_t[[#This Row],[Blanket]],0)</f>
        <v>0</v>
      </c>
      <c r="AD503" s="112">
        <f>IF(NFI_Expiration=1,IF($A503&lt;VLOOKUP(O$5,NFI,5,0),1,0)*Data_NFI_t[[#This Row],[Kitchen Set]],0)</f>
        <v>0</v>
      </c>
      <c r="AE503" s="112">
        <f>IF(NFI_Expiration=1,IF($A503&lt;VLOOKUP(P$5,NFI,5,0),1,0)*Data_NFI_t[[#This Row],[Complementary Kit]],0)</f>
        <v>0</v>
      </c>
      <c r="AF503" s="112">
        <f>IF(NFI_Expiration=1,IF($A503&lt;VLOOKUP(Q$5,NFI,5,0),1,0)*Data_NFI_t[[#This Row],[Plastic Bucket]],0)</f>
        <v>0</v>
      </c>
      <c r="AG503" s="131">
        <f>IF(NFI_Expiration=1,IF($A503&lt;VLOOKUP(R$5,NFI,5,0),1,0)*Data_NFI_t[[#This Row],[Jerry Can]],0)</f>
        <v>0</v>
      </c>
      <c r="AH503" s="131">
        <f>IF(NFI_Expiration=1,IF($A503&lt;VLOOKUP(S$5,NFI,5,0),1,0)*Data_NFI_t[[#This Row],[Plastic Mat]],0)*IF(Data_NFI_t[[#This Row],[Distribution Date]]&gt;"01-06-2015",1,2.5)</f>
        <v>0</v>
      </c>
      <c r="AI503" s="901">
        <f>IF(NFI_Expiration=1,IF($A503&lt;VLOOKUP(T$5,NFI,5,0),1,0)*Data_NFI_t[[#This Row],[Adult Clothes]],0)</f>
        <v>0</v>
      </c>
      <c r="AJ503" s="131">
        <f>IF(NFI_Expiration=1,IF($A503&lt;VLOOKUP(U$5,NFI,5,0),1,0)*Data_NFI_t[[#This Row],[Children Clothes]],0)</f>
        <v>0</v>
      </c>
      <c r="AK503" s="131">
        <f>IF(NFI_Expiration=1,IF($A503&lt;VLOOKUP(V$5,NFI,5,0),1,0)*Data_NFI_t[[#This Row],[Sewing Kit]],0)</f>
        <v>0</v>
      </c>
      <c r="AL503" s="901">
        <f>IF(NFI_Expiration=1,IF($A503&lt;VLOOKUP(V$5,NFI,5,0),1,0)*Data_NFI_t[[#This Row],[Solar Lantern]],0)</f>
        <v>0</v>
      </c>
      <c r="AM503" s="131" t="str">
        <f ca="1">IFERROR(OFFSET(Camp_List[P_Code],MATCH(Data_NFI_t[[#This Row],[Camp Name]],Camp_List[Camp Name],0)-1,0,1,1),"")</f>
        <v/>
      </c>
      <c r="AN503" s="513" t="str">
        <f ca="1">IFERROR(OFFSET(Camp_List[Status],MATCH(Data_NFI_t[[#This Row],[Camp Name]],Camp_List[Camp Name],0)-1,0,1,1),"")</f>
        <v/>
      </c>
      <c r="AO503" s="131"/>
    </row>
    <row r="504" spans="1:41" s="789" customFormat="1" ht="19.5" customHeight="1" x14ac:dyDescent="0.25">
      <c r="A504" s="242" t="str">
        <f t="shared" si="10"/>
        <v/>
      </c>
      <c r="B504" s="522">
        <f>YEAR(Data_NFI_t[[#This Row],[Distribution Date]])</f>
        <v>1900</v>
      </c>
      <c r="C504" s="913"/>
      <c r="D504" s="489"/>
      <c r="E504" s="488"/>
      <c r="F504" s="489"/>
      <c r="G504" s="790"/>
      <c r="H504" s="790"/>
      <c r="I504" s="790"/>
      <c r="J504" s="51"/>
      <c r="K504" s="51"/>
      <c r="L504" s="119"/>
      <c r="M504" s="119"/>
      <c r="N504" s="119"/>
      <c r="O504" s="119"/>
      <c r="P504" s="119"/>
      <c r="Q504" s="119"/>
      <c r="R504" s="512"/>
      <c r="S504" s="119"/>
      <c r="T504" s="119"/>
      <c r="U504" s="119"/>
      <c r="V504" s="119"/>
      <c r="W504" s="119"/>
      <c r="X504" s="131">
        <f>IF(NFI_Expiration=1,IF($A504&lt;VLOOKUP(I$5,NFI,5,0),1,0)*Data_NFI_t[[#This Row],[Hygiene Kit]],0)</f>
        <v>0</v>
      </c>
      <c r="Y504" s="131">
        <f>IF(NFI_Expiration=1,IF($A504&lt;VLOOKUP(J$5,NFI,5,0),1,0)*Data_NFI_t[[#This Row],[NFI Core Kit]],0)</f>
        <v>0</v>
      </c>
      <c r="Z504" s="112">
        <f>IF(NFI_Expiration=1,IF($A504&lt;VLOOKUP(K$5,NFI,5,0),1,0)*Data_NFI_t[[#This Row],[Sanitary Kit]],0)</f>
        <v>0</v>
      </c>
      <c r="AA504" s="112">
        <f>IF(NFI_Expiration=1,IF($A504&lt;VLOOKUP(L$5,NFI,5,0),1,0)*Data_NFI_t[[#This Row],[Mosquito net]],0)</f>
        <v>0</v>
      </c>
      <c r="AB504" s="112">
        <f>IF(NFI_Expiration=1,IF($A504&lt;VLOOKUP(M$5,NFI,5,0),1,0)*Data_NFI_t[[#This Row],[Tarpaulin]],0)</f>
        <v>0</v>
      </c>
      <c r="AC504" s="112">
        <f>IF(NFI_Expiration=1,IF($A504&lt;VLOOKUP(N$5,NFI,5,0),1,0)*Data_NFI_t[[#This Row],[Blanket]],0)</f>
        <v>0</v>
      </c>
      <c r="AD504" s="112">
        <f>IF(NFI_Expiration=1,IF($A504&lt;VLOOKUP(O$5,NFI,5,0),1,0)*Data_NFI_t[[#This Row],[Kitchen Set]],0)</f>
        <v>0</v>
      </c>
      <c r="AE504" s="112">
        <f>IF(NFI_Expiration=1,IF($A504&lt;VLOOKUP(P$5,NFI,5,0),1,0)*Data_NFI_t[[#This Row],[Complementary Kit]],0)</f>
        <v>0</v>
      </c>
      <c r="AF504" s="112">
        <f>IF(NFI_Expiration=1,IF($A504&lt;VLOOKUP(Q$5,NFI,5,0),1,0)*Data_NFI_t[[#This Row],[Plastic Bucket]],0)</f>
        <v>0</v>
      </c>
      <c r="AG504" s="131">
        <f>IF(NFI_Expiration=1,IF($A504&lt;VLOOKUP(R$5,NFI,5,0),1,0)*Data_NFI_t[[#This Row],[Jerry Can]],0)</f>
        <v>0</v>
      </c>
      <c r="AH504" s="131">
        <f>IF(NFI_Expiration=1,IF($A504&lt;VLOOKUP(S$5,NFI,5,0),1,0)*Data_NFI_t[[#This Row],[Plastic Mat]],0)*IF(Data_NFI_t[[#This Row],[Distribution Date]]&gt;"01-06-2015",1,2.5)</f>
        <v>0</v>
      </c>
      <c r="AI504" s="901">
        <f>IF(NFI_Expiration=1,IF($A504&lt;VLOOKUP(T$5,NFI,5,0),1,0)*Data_NFI_t[[#This Row],[Adult Clothes]],0)</f>
        <v>0</v>
      </c>
      <c r="AJ504" s="131">
        <f>IF(NFI_Expiration=1,IF($A504&lt;VLOOKUP(U$5,NFI,5,0),1,0)*Data_NFI_t[[#This Row],[Children Clothes]],0)</f>
        <v>0</v>
      </c>
      <c r="AK504" s="131">
        <f>IF(NFI_Expiration=1,IF($A504&lt;VLOOKUP(V$5,NFI,5,0),1,0)*Data_NFI_t[[#This Row],[Sewing Kit]],0)</f>
        <v>0</v>
      </c>
      <c r="AL504" s="901">
        <f>IF(NFI_Expiration=1,IF($A504&lt;VLOOKUP(V$5,NFI,5,0),1,0)*Data_NFI_t[[#This Row],[Solar Lantern]],0)</f>
        <v>0</v>
      </c>
      <c r="AM504" s="131" t="str">
        <f ca="1">IFERROR(OFFSET(Camp_List[P_Code],MATCH(Data_NFI_t[[#This Row],[Camp Name]],Camp_List[Camp Name],0)-1,0,1,1),"")</f>
        <v/>
      </c>
      <c r="AN504" s="513" t="str">
        <f ca="1">IFERROR(OFFSET(Camp_List[Status],MATCH(Data_NFI_t[[#This Row],[Camp Name]],Camp_List[Camp Name],0)-1,0,1,1),"")</f>
        <v/>
      </c>
      <c r="AO504" s="131"/>
    </row>
    <row r="505" spans="1:41" s="789" customFormat="1" ht="19.5" customHeight="1" x14ac:dyDescent="0.25">
      <c r="A505" s="242" t="str">
        <f t="shared" si="10"/>
        <v/>
      </c>
      <c r="B505" s="522">
        <f>YEAR(Data_NFI_t[[#This Row],[Distribution Date]])</f>
        <v>1900</v>
      </c>
      <c r="C505" s="913"/>
      <c r="D505" s="489"/>
      <c r="E505" s="488"/>
      <c r="F505" s="489"/>
      <c r="G505" s="790"/>
      <c r="H505" s="790"/>
      <c r="I505" s="790"/>
      <c r="J505" s="51"/>
      <c r="K505" s="51"/>
      <c r="L505" s="119"/>
      <c r="M505" s="119"/>
      <c r="N505" s="119"/>
      <c r="O505" s="119"/>
      <c r="P505" s="119"/>
      <c r="Q505" s="119"/>
      <c r="R505" s="512"/>
      <c r="S505" s="119"/>
      <c r="T505" s="119"/>
      <c r="U505" s="119"/>
      <c r="V505" s="119"/>
      <c r="W505" s="119"/>
      <c r="X505" s="131">
        <f>IF(NFI_Expiration=1,IF($A505&lt;VLOOKUP(I$5,NFI,5,0),1,0)*Data_NFI_t[[#This Row],[Hygiene Kit]],0)</f>
        <v>0</v>
      </c>
      <c r="Y505" s="131">
        <f>IF(NFI_Expiration=1,IF($A505&lt;VLOOKUP(J$5,NFI,5,0),1,0)*Data_NFI_t[[#This Row],[NFI Core Kit]],0)</f>
        <v>0</v>
      </c>
      <c r="Z505" s="112">
        <f>IF(NFI_Expiration=1,IF($A505&lt;VLOOKUP(K$5,NFI,5,0),1,0)*Data_NFI_t[[#This Row],[Sanitary Kit]],0)</f>
        <v>0</v>
      </c>
      <c r="AA505" s="112">
        <f>IF(NFI_Expiration=1,IF($A505&lt;VLOOKUP(L$5,NFI,5,0),1,0)*Data_NFI_t[[#This Row],[Mosquito net]],0)</f>
        <v>0</v>
      </c>
      <c r="AB505" s="112">
        <f>IF(NFI_Expiration=1,IF($A505&lt;VLOOKUP(M$5,NFI,5,0),1,0)*Data_NFI_t[[#This Row],[Tarpaulin]],0)</f>
        <v>0</v>
      </c>
      <c r="AC505" s="112">
        <f>IF(NFI_Expiration=1,IF($A505&lt;VLOOKUP(N$5,NFI,5,0),1,0)*Data_NFI_t[[#This Row],[Blanket]],0)</f>
        <v>0</v>
      </c>
      <c r="AD505" s="112">
        <f>IF(NFI_Expiration=1,IF($A505&lt;VLOOKUP(O$5,NFI,5,0),1,0)*Data_NFI_t[[#This Row],[Kitchen Set]],0)</f>
        <v>0</v>
      </c>
      <c r="AE505" s="112">
        <f>IF(NFI_Expiration=1,IF($A505&lt;VLOOKUP(P$5,NFI,5,0),1,0)*Data_NFI_t[[#This Row],[Complementary Kit]],0)</f>
        <v>0</v>
      </c>
      <c r="AF505" s="112">
        <f>IF(NFI_Expiration=1,IF($A505&lt;VLOOKUP(Q$5,NFI,5,0),1,0)*Data_NFI_t[[#This Row],[Plastic Bucket]],0)</f>
        <v>0</v>
      </c>
      <c r="AG505" s="131">
        <f>IF(NFI_Expiration=1,IF($A505&lt;VLOOKUP(R$5,NFI,5,0),1,0)*Data_NFI_t[[#This Row],[Jerry Can]],0)</f>
        <v>0</v>
      </c>
      <c r="AH505" s="131">
        <f>IF(NFI_Expiration=1,IF($A505&lt;VLOOKUP(S$5,NFI,5,0),1,0)*Data_NFI_t[[#This Row],[Plastic Mat]],0)*IF(Data_NFI_t[[#This Row],[Distribution Date]]&gt;"01-06-2015",1,2.5)</f>
        <v>0</v>
      </c>
      <c r="AI505" s="901">
        <f>IF(NFI_Expiration=1,IF($A505&lt;VLOOKUP(T$5,NFI,5,0),1,0)*Data_NFI_t[[#This Row],[Adult Clothes]],0)</f>
        <v>0</v>
      </c>
      <c r="AJ505" s="131">
        <f>IF(NFI_Expiration=1,IF($A505&lt;VLOOKUP(U$5,NFI,5,0),1,0)*Data_NFI_t[[#This Row],[Children Clothes]],0)</f>
        <v>0</v>
      </c>
      <c r="AK505" s="131">
        <f>IF(NFI_Expiration=1,IF($A505&lt;VLOOKUP(V$5,NFI,5,0),1,0)*Data_NFI_t[[#This Row],[Sewing Kit]],0)</f>
        <v>0</v>
      </c>
      <c r="AL505" s="901">
        <f>IF(NFI_Expiration=1,IF($A505&lt;VLOOKUP(V$5,NFI,5,0),1,0)*Data_NFI_t[[#This Row],[Solar Lantern]],0)</f>
        <v>0</v>
      </c>
      <c r="AM505" s="131" t="str">
        <f ca="1">IFERROR(OFFSET(Camp_List[P_Code],MATCH(Data_NFI_t[[#This Row],[Camp Name]],Camp_List[Camp Name],0)-1,0,1,1),"")</f>
        <v/>
      </c>
      <c r="AN505" s="513" t="str">
        <f ca="1">IFERROR(OFFSET(Camp_List[Status],MATCH(Data_NFI_t[[#This Row],[Camp Name]],Camp_List[Camp Name],0)-1,0,1,1),"")</f>
        <v/>
      </c>
      <c r="AO505" s="131"/>
    </row>
    <row r="506" spans="1:41" s="789" customFormat="1" ht="19.5" customHeight="1" x14ac:dyDescent="0.25">
      <c r="A506" s="242" t="str">
        <f t="shared" si="10"/>
        <v/>
      </c>
      <c r="B506" s="522">
        <f>YEAR(Data_NFI_t[[#This Row],[Distribution Date]])</f>
        <v>1900</v>
      </c>
      <c r="C506" s="913"/>
      <c r="D506" s="489"/>
      <c r="E506" s="488"/>
      <c r="F506" s="489"/>
      <c r="G506" s="790"/>
      <c r="H506" s="790"/>
      <c r="I506" s="790"/>
      <c r="J506" s="51"/>
      <c r="K506" s="51"/>
      <c r="L506" s="119"/>
      <c r="M506" s="119"/>
      <c r="N506" s="119"/>
      <c r="O506" s="119"/>
      <c r="P506" s="119"/>
      <c r="Q506" s="119"/>
      <c r="R506" s="512"/>
      <c r="S506" s="119"/>
      <c r="T506" s="119"/>
      <c r="U506" s="119"/>
      <c r="V506" s="119"/>
      <c r="W506" s="119"/>
      <c r="X506" s="131">
        <f>IF(NFI_Expiration=1,IF($A506&lt;VLOOKUP(I$5,NFI,5,0),1,0)*Data_NFI_t[[#This Row],[Hygiene Kit]],0)</f>
        <v>0</v>
      </c>
      <c r="Y506" s="131">
        <f>IF(NFI_Expiration=1,IF($A506&lt;VLOOKUP(J$5,NFI,5,0),1,0)*Data_NFI_t[[#This Row],[NFI Core Kit]],0)</f>
        <v>0</v>
      </c>
      <c r="Z506" s="112">
        <f>IF(NFI_Expiration=1,IF($A506&lt;VLOOKUP(K$5,NFI,5,0),1,0)*Data_NFI_t[[#This Row],[Sanitary Kit]],0)</f>
        <v>0</v>
      </c>
      <c r="AA506" s="112">
        <f>IF(NFI_Expiration=1,IF($A506&lt;VLOOKUP(L$5,NFI,5,0),1,0)*Data_NFI_t[[#This Row],[Mosquito net]],0)</f>
        <v>0</v>
      </c>
      <c r="AB506" s="112">
        <f>IF(NFI_Expiration=1,IF($A506&lt;VLOOKUP(M$5,NFI,5,0),1,0)*Data_NFI_t[[#This Row],[Tarpaulin]],0)</f>
        <v>0</v>
      </c>
      <c r="AC506" s="112">
        <f>IF(NFI_Expiration=1,IF($A506&lt;VLOOKUP(N$5,NFI,5,0),1,0)*Data_NFI_t[[#This Row],[Blanket]],0)</f>
        <v>0</v>
      </c>
      <c r="AD506" s="112">
        <f>IF(NFI_Expiration=1,IF($A506&lt;VLOOKUP(O$5,NFI,5,0),1,0)*Data_NFI_t[[#This Row],[Kitchen Set]],0)</f>
        <v>0</v>
      </c>
      <c r="AE506" s="112">
        <f>IF(NFI_Expiration=1,IF($A506&lt;VLOOKUP(P$5,NFI,5,0),1,0)*Data_NFI_t[[#This Row],[Complementary Kit]],0)</f>
        <v>0</v>
      </c>
      <c r="AF506" s="112">
        <f>IF(NFI_Expiration=1,IF($A506&lt;VLOOKUP(Q$5,NFI,5,0),1,0)*Data_NFI_t[[#This Row],[Plastic Bucket]],0)</f>
        <v>0</v>
      </c>
      <c r="AG506" s="131">
        <f>IF(NFI_Expiration=1,IF($A506&lt;VLOOKUP(R$5,NFI,5,0),1,0)*Data_NFI_t[[#This Row],[Jerry Can]],0)</f>
        <v>0</v>
      </c>
      <c r="AH506" s="131">
        <f>IF(NFI_Expiration=1,IF($A506&lt;VLOOKUP(S$5,NFI,5,0),1,0)*Data_NFI_t[[#This Row],[Plastic Mat]],0)*IF(Data_NFI_t[[#This Row],[Distribution Date]]&gt;"01-06-2015",1,2.5)</f>
        <v>0</v>
      </c>
      <c r="AI506" s="901">
        <f>IF(NFI_Expiration=1,IF($A506&lt;VLOOKUP(T$5,NFI,5,0),1,0)*Data_NFI_t[[#This Row],[Adult Clothes]],0)</f>
        <v>0</v>
      </c>
      <c r="AJ506" s="131">
        <f>IF(NFI_Expiration=1,IF($A506&lt;VLOOKUP(U$5,NFI,5,0),1,0)*Data_NFI_t[[#This Row],[Children Clothes]],0)</f>
        <v>0</v>
      </c>
      <c r="AK506" s="131">
        <f>IF(NFI_Expiration=1,IF($A506&lt;VLOOKUP(V$5,NFI,5,0),1,0)*Data_NFI_t[[#This Row],[Sewing Kit]],0)</f>
        <v>0</v>
      </c>
      <c r="AL506" s="901">
        <f>IF(NFI_Expiration=1,IF($A506&lt;VLOOKUP(V$5,NFI,5,0),1,0)*Data_NFI_t[[#This Row],[Solar Lantern]],0)</f>
        <v>0</v>
      </c>
      <c r="AM506" s="131" t="str">
        <f ca="1">IFERROR(OFFSET(Camp_List[P_Code],MATCH(Data_NFI_t[[#This Row],[Camp Name]],Camp_List[Camp Name],0)-1,0,1,1),"")</f>
        <v/>
      </c>
      <c r="AN506" s="513" t="str">
        <f ca="1">IFERROR(OFFSET(Camp_List[Status],MATCH(Data_NFI_t[[#This Row],[Camp Name]],Camp_List[Camp Name],0)-1,0,1,1),"")</f>
        <v/>
      </c>
      <c r="AO506" s="131"/>
    </row>
    <row r="507" spans="1:41" s="789" customFormat="1" ht="19.5" customHeight="1" x14ac:dyDescent="0.25">
      <c r="A507" s="242" t="str">
        <f t="shared" si="10"/>
        <v/>
      </c>
      <c r="B507" s="522">
        <f>YEAR(Data_NFI_t[[#This Row],[Distribution Date]])</f>
        <v>1900</v>
      </c>
      <c r="C507" s="913"/>
      <c r="D507" s="489"/>
      <c r="E507" s="488"/>
      <c r="F507" s="489"/>
      <c r="G507" s="790"/>
      <c r="H507" s="790"/>
      <c r="I507" s="790"/>
      <c r="J507" s="51"/>
      <c r="K507" s="51"/>
      <c r="L507" s="119"/>
      <c r="M507" s="119"/>
      <c r="N507" s="119"/>
      <c r="O507" s="119"/>
      <c r="P507" s="119"/>
      <c r="Q507" s="119"/>
      <c r="R507" s="512"/>
      <c r="S507" s="119"/>
      <c r="T507" s="119"/>
      <c r="U507" s="119"/>
      <c r="V507" s="119"/>
      <c r="W507" s="119"/>
      <c r="X507" s="131">
        <f>IF(NFI_Expiration=1,IF($A507&lt;VLOOKUP(I$5,NFI,5,0),1,0)*Data_NFI_t[[#This Row],[Hygiene Kit]],0)</f>
        <v>0</v>
      </c>
      <c r="Y507" s="131">
        <f>IF(NFI_Expiration=1,IF($A507&lt;VLOOKUP(J$5,NFI,5,0),1,0)*Data_NFI_t[[#This Row],[NFI Core Kit]],0)</f>
        <v>0</v>
      </c>
      <c r="Z507" s="112">
        <f>IF(NFI_Expiration=1,IF($A507&lt;VLOOKUP(K$5,NFI,5,0),1,0)*Data_NFI_t[[#This Row],[Sanitary Kit]],0)</f>
        <v>0</v>
      </c>
      <c r="AA507" s="112">
        <f>IF(NFI_Expiration=1,IF($A507&lt;VLOOKUP(L$5,NFI,5,0),1,0)*Data_NFI_t[[#This Row],[Mosquito net]],0)</f>
        <v>0</v>
      </c>
      <c r="AB507" s="112">
        <f>IF(NFI_Expiration=1,IF($A507&lt;VLOOKUP(M$5,NFI,5,0),1,0)*Data_NFI_t[[#This Row],[Tarpaulin]],0)</f>
        <v>0</v>
      </c>
      <c r="AC507" s="112">
        <f>IF(NFI_Expiration=1,IF($A507&lt;VLOOKUP(N$5,NFI,5,0),1,0)*Data_NFI_t[[#This Row],[Blanket]],0)</f>
        <v>0</v>
      </c>
      <c r="AD507" s="112">
        <f>IF(NFI_Expiration=1,IF($A507&lt;VLOOKUP(O$5,NFI,5,0),1,0)*Data_NFI_t[[#This Row],[Kitchen Set]],0)</f>
        <v>0</v>
      </c>
      <c r="AE507" s="112">
        <f>IF(NFI_Expiration=1,IF($A507&lt;VLOOKUP(P$5,NFI,5,0),1,0)*Data_NFI_t[[#This Row],[Complementary Kit]],0)</f>
        <v>0</v>
      </c>
      <c r="AF507" s="112">
        <f>IF(NFI_Expiration=1,IF($A507&lt;VLOOKUP(Q$5,NFI,5,0),1,0)*Data_NFI_t[[#This Row],[Plastic Bucket]],0)</f>
        <v>0</v>
      </c>
      <c r="AG507" s="131">
        <f>IF(NFI_Expiration=1,IF($A507&lt;VLOOKUP(R$5,NFI,5,0),1,0)*Data_NFI_t[[#This Row],[Jerry Can]],0)</f>
        <v>0</v>
      </c>
      <c r="AH507" s="131">
        <f>IF(NFI_Expiration=1,IF($A507&lt;VLOOKUP(S$5,NFI,5,0),1,0)*Data_NFI_t[[#This Row],[Plastic Mat]],0)*IF(Data_NFI_t[[#This Row],[Distribution Date]]&gt;"01-06-2015",1,2.5)</f>
        <v>0</v>
      </c>
      <c r="AI507" s="901">
        <f>IF(NFI_Expiration=1,IF($A507&lt;VLOOKUP(T$5,NFI,5,0),1,0)*Data_NFI_t[[#This Row],[Adult Clothes]],0)</f>
        <v>0</v>
      </c>
      <c r="AJ507" s="131">
        <f>IF(NFI_Expiration=1,IF($A507&lt;VLOOKUP(U$5,NFI,5,0),1,0)*Data_NFI_t[[#This Row],[Children Clothes]],0)</f>
        <v>0</v>
      </c>
      <c r="AK507" s="131">
        <f>IF(NFI_Expiration=1,IF($A507&lt;VLOOKUP(V$5,NFI,5,0),1,0)*Data_NFI_t[[#This Row],[Sewing Kit]],0)</f>
        <v>0</v>
      </c>
      <c r="AL507" s="901">
        <f>IF(NFI_Expiration=1,IF($A507&lt;VLOOKUP(V$5,NFI,5,0),1,0)*Data_NFI_t[[#This Row],[Solar Lantern]],0)</f>
        <v>0</v>
      </c>
      <c r="AM507" s="131" t="str">
        <f ca="1">IFERROR(OFFSET(Camp_List[P_Code],MATCH(Data_NFI_t[[#This Row],[Camp Name]],Camp_List[Camp Name],0)-1,0,1,1),"")</f>
        <v/>
      </c>
      <c r="AN507" s="513" t="str">
        <f ca="1">IFERROR(OFFSET(Camp_List[Status],MATCH(Data_NFI_t[[#This Row],[Camp Name]],Camp_List[Camp Name],0)-1,0,1,1),"")</f>
        <v/>
      </c>
      <c r="AO507" s="131"/>
    </row>
    <row r="508" spans="1:41" s="789" customFormat="1" ht="19.5" customHeight="1" x14ac:dyDescent="0.25">
      <c r="A508" s="242" t="str">
        <f t="shared" si="10"/>
        <v/>
      </c>
      <c r="B508" s="522">
        <f>YEAR(Data_NFI_t[[#This Row],[Distribution Date]])</f>
        <v>1900</v>
      </c>
      <c r="C508" s="913"/>
      <c r="D508" s="489"/>
      <c r="E508" s="488"/>
      <c r="F508" s="489"/>
      <c r="G508" s="790"/>
      <c r="H508" s="790"/>
      <c r="I508" s="790"/>
      <c r="J508" s="51"/>
      <c r="K508" s="51"/>
      <c r="L508" s="119"/>
      <c r="M508" s="119"/>
      <c r="N508" s="119"/>
      <c r="O508" s="119"/>
      <c r="P508" s="119"/>
      <c r="Q508" s="119"/>
      <c r="R508" s="512"/>
      <c r="S508" s="119"/>
      <c r="T508" s="119"/>
      <c r="U508" s="119"/>
      <c r="V508" s="119"/>
      <c r="W508" s="119"/>
      <c r="X508" s="131">
        <f>IF(NFI_Expiration=1,IF($A508&lt;VLOOKUP(I$5,NFI,5,0),1,0)*Data_NFI_t[[#This Row],[Hygiene Kit]],0)</f>
        <v>0</v>
      </c>
      <c r="Y508" s="131">
        <f>IF(NFI_Expiration=1,IF($A508&lt;VLOOKUP(J$5,NFI,5,0),1,0)*Data_NFI_t[[#This Row],[NFI Core Kit]],0)</f>
        <v>0</v>
      </c>
      <c r="Z508" s="112">
        <f>IF(NFI_Expiration=1,IF($A508&lt;VLOOKUP(K$5,NFI,5,0),1,0)*Data_NFI_t[[#This Row],[Sanitary Kit]],0)</f>
        <v>0</v>
      </c>
      <c r="AA508" s="112">
        <f>IF(NFI_Expiration=1,IF($A508&lt;VLOOKUP(L$5,NFI,5,0),1,0)*Data_NFI_t[[#This Row],[Mosquito net]],0)</f>
        <v>0</v>
      </c>
      <c r="AB508" s="112">
        <f>IF(NFI_Expiration=1,IF($A508&lt;VLOOKUP(M$5,NFI,5,0),1,0)*Data_NFI_t[[#This Row],[Tarpaulin]],0)</f>
        <v>0</v>
      </c>
      <c r="AC508" s="112">
        <f>IF(NFI_Expiration=1,IF($A508&lt;VLOOKUP(N$5,NFI,5,0),1,0)*Data_NFI_t[[#This Row],[Blanket]],0)</f>
        <v>0</v>
      </c>
      <c r="AD508" s="112">
        <f>IF(NFI_Expiration=1,IF($A508&lt;VLOOKUP(O$5,NFI,5,0),1,0)*Data_NFI_t[[#This Row],[Kitchen Set]],0)</f>
        <v>0</v>
      </c>
      <c r="AE508" s="112">
        <f>IF(NFI_Expiration=1,IF($A508&lt;VLOOKUP(P$5,NFI,5,0),1,0)*Data_NFI_t[[#This Row],[Complementary Kit]],0)</f>
        <v>0</v>
      </c>
      <c r="AF508" s="112">
        <f>IF(NFI_Expiration=1,IF($A508&lt;VLOOKUP(Q$5,NFI,5,0),1,0)*Data_NFI_t[[#This Row],[Plastic Bucket]],0)</f>
        <v>0</v>
      </c>
      <c r="AG508" s="131">
        <f>IF(NFI_Expiration=1,IF($A508&lt;VLOOKUP(R$5,NFI,5,0),1,0)*Data_NFI_t[[#This Row],[Jerry Can]],0)</f>
        <v>0</v>
      </c>
      <c r="AH508" s="131">
        <f>IF(NFI_Expiration=1,IF($A508&lt;VLOOKUP(S$5,NFI,5,0),1,0)*Data_NFI_t[[#This Row],[Plastic Mat]],0)*IF(Data_NFI_t[[#This Row],[Distribution Date]]&gt;"01-06-2015",1,2.5)</f>
        <v>0</v>
      </c>
      <c r="AI508" s="901">
        <f>IF(NFI_Expiration=1,IF($A508&lt;VLOOKUP(T$5,NFI,5,0),1,0)*Data_NFI_t[[#This Row],[Adult Clothes]],0)</f>
        <v>0</v>
      </c>
      <c r="AJ508" s="131">
        <f>IF(NFI_Expiration=1,IF($A508&lt;VLOOKUP(U$5,NFI,5,0),1,0)*Data_NFI_t[[#This Row],[Children Clothes]],0)</f>
        <v>0</v>
      </c>
      <c r="AK508" s="131">
        <f>IF(NFI_Expiration=1,IF($A508&lt;VLOOKUP(V$5,NFI,5,0),1,0)*Data_NFI_t[[#This Row],[Sewing Kit]],0)</f>
        <v>0</v>
      </c>
      <c r="AL508" s="901">
        <f>IF(NFI_Expiration=1,IF($A508&lt;VLOOKUP(V$5,NFI,5,0),1,0)*Data_NFI_t[[#This Row],[Solar Lantern]],0)</f>
        <v>0</v>
      </c>
      <c r="AM508" s="131" t="str">
        <f ca="1">IFERROR(OFFSET(Camp_List[P_Code],MATCH(Data_NFI_t[[#This Row],[Camp Name]],Camp_List[Camp Name],0)-1,0,1,1),"")</f>
        <v/>
      </c>
      <c r="AN508" s="513" t="str">
        <f ca="1">IFERROR(OFFSET(Camp_List[Status],MATCH(Data_NFI_t[[#This Row],[Camp Name]],Camp_List[Camp Name],0)-1,0,1,1),"")</f>
        <v/>
      </c>
      <c r="AO508" s="131"/>
    </row>
    <row r="509" spans="1:41" s="789" customFormat="1" ht="19.5" customHeight="1" x14ac:dyDescent="0.25">
      <c r="A509" s="242" t="str">
        <f t="shared" si="10"/>
        <v/>
      </c>
      <c r="B509" s="522">
        <f>YEAR(Data_NFI_t[[#This Row],[Distribution Date]])</f>
        <v>1900</v>
      </c>
      <c r="C509" s="913"/>
      <c r="D509" s="489"/>
      <c r="E509" s="488"/>
      <c r="F509" s="489"/>
      <c r="G509" s="790"/>
      <c r="H509" s="790"/>
      <c r="I509" s="790"/>
      <c r="J509" s="51"/>
      <c r="K509" s="51"/>
      <c r="L509" s="119"/>
      <c r="M509" s="119"/>
      <c r="N509" s="119"/>
      <c r="O509" s="119"/>
      <c r="P509" s="119"/>
      <c r="Q509" s="119"/>
      <c r="R509" s="512"/>
      <c r="S509" s="119"/>
      <c r="T509" s="119"/>
      <c r="U509" s="119"/>
      <c r="V509" s="119"/>
      <c r="W509" s="119"/>
      <c r="X509" s="131">
        <f>IF(NFI_Expiration=1,IF($A509&lt;VLOOKUP(I$5,NFI,5,0),1,0)*Data_NFI_t[[#This Row],[Hygiene Kit]],0)</f>
        <v>0</v>
      </c>
      <c r="Y509" s="131">
        <f>IF(NFI_Expiration=1,IF($A509&lt;VLOOKUP(J$5,NFI,5,0),1,0)*Data_NFI_t[[#This Row],[NFI Core Kit]],0)</f>
        <v>0</v>
      </c>
      <c r="Z509" s="112">
        <f>IF(NFI_Expiration=1,IF($A509&lt;VLOOKUP(K$5,NFI,5,0),1,0)*Data_NFI_t[[#This Row],[Sanitary Kit]],0)</f>
        <v>0</v>
      </c>
      <c r="AA509" s="112">
        <f>IF(NFI_Expiration=1,IF($A509&lt;VLOOKUP(L$5,NFI,5,0),1,0)*Data_NFI_t[[#This Row],[Mosquito net]],0)</f>
        <v>0</v>
      </c>
      <c r="AB509" s="112">
        <f>IF(NFI_Expiration=1,IF($A509&lt;VLOOKUP(M$5,NFI,5,0),1,0)*Data_NFI_t[[#This Row],[Tarpaulin]],0)</f>
        <v>0</v>
      </c>
      <c r="AC509" s="112">
        <f>IF(NFI_Expiration=1,IF($A509&lt;VLOOKUP(N$5,NFI,5,0),1,0)*Data_NFI_t[[#This Row],[Blanket]],0)</f>
        <v>0</v>
      </c>
      <c r="AD509" s="112">
        <f>IF(NFI_Expiration=1,IF($A509&lt;VLOOKUP(O$5,NFI,5,0),1,0)*Data_NFI_t[[#This Row],[Kitchen Set]],0)</f>
        <v>0</v>
      </c>
      <c r="AE509" s="112">
        <f>IF(NFI_Expiration=1,IF($A509&lt;VLOOKUP(P$5,NFI,5,0),1,0)*Data_NFI_t[[#This Row],[Complementary Kit]],0)</f>
        <v>0</v>
      </c>
      <c r="AF509" s="112">
        <f>IF(NFI_Expiration=1,IF($A509&lt;VLOOKUP(Q$5,NFI,5,0),1,0)*Data_NFI_t[[#This Row],[Plastic Bucket]],0)</f>
        <v>0</v>
      </c>
      <c r="AG509" s="131">
        <f>IF(NFI_Expiration=1,IF($A509&lt;VLOOKUP(R$5,NFI,5,0),1,0)*Data_NFI_t[[#This Row],[Jerry Can]],0)</f>
        <v>0</v>
      </c>
      <c r="AH509" s="131">
        <f>IF(NFI_Expiration=1,IF($A509&lt;VLOOKUP(S$5,NFI,5,0),1,0)*Data_NFI_t[[#This Row],[Plastic Mat]],0)*IF(Data_NFI_t[[#This Row],[Distribution Date]]&gt;"01-06-2015",1,2.5)</f>
        <v>0</v>
      </c>
      <c r="AI509" s="901">
        <f>IF(NFI_Expiration=1,IF($A509&lt;VLOOKUP(T$5,NFI,5,0),1,0)*Data_NFI_t[[#This Row],[Adult Clothes]],0)</f>
        <v>0</v>
      </c>
      <c r="AJ509" s="131">
        <f>IF(NFI_Expiration=1,IF($A509&lt;VLOOKUP(U$5,NFI,5,0),1,0)*Data_NFI_t[[#This Row],[Children Clothes]],0)</f>
        <v>0</v>
      </c>
      <c r="AK509" s="131">
        <f>IF(NFI_Expiration=1,IF($A509&lt;VLOOKUP(V$5,NFI,5,0),1,0)*Data_NFI_t[[#This Row],[Sewing Kit]],0)</f>
        <v>0</v>
      </c>
      <c r="AL509" s="901">
        <f>IF(NFI_Expiration=1,IF($A509&lt;VLOOKUP(V$5,NFI,5,0),1,0)*Data_NFI_t[[#This Row],[Solar Lantern]],0)</f>
        <v>0</v>
      </c>
      <c r="AM509" s="131" t="str">
        <f ca="1">IFERROR(OFFSET(Camp_List[P_Code],MATCH(Data_NFI_t[[#This Row],[Camp Name]],Camp_List[Camp Name],0)-1,0,1,1),"")</f>
        <v/>
      </c>
      <c r="AN509" s="513" t="str">
        <f ca="1">IFERROR(OFFSET(Camp_List[Status],MATCH(Data_NFI_t[[#This Row],[Camp Name]],Camp_List[Camp Name],0)-1,0,1,1),"")</f>
        <v/>
      </c>
      <c r="AO509" s="131"/>
    </row>
    <row r="510" spans="1:41" s="789" customFormat="1" ht="19.5" customHeight="1" x14ac:dyDescent="0.25">
      <c r="A510" s="242" t="str">
        <f t="shared" si="10"/>
        <v/>
      </c>
      <c r="B510" s="522">
        <f>YEAR(Data_NFI_t[[#This Row],[Distribution Date]])</f>
        <v>1900</v>
      </c>
      <c r="C510" s="913"/>
      <c r="D510" s="489"/>
      <c r="E510" s="488"/>
      <c r="F510" s="489"/>
      <c r="G510" s="790"/>
      <c r="H510" s="790"/>
      <c r="I510" s="790"/>
      <c r="J510" s="51"/>
      <c r="K510" s="51"/>
      <c r="L510" s="119"/>
      <c r="M510" s="119"/>
      <c r="N510" s="119"/>
      <c r="O510" s="119"/>
      <c r="P510" s="119"/>
      <c r="Q510" s="119"/>
      <c r="R510" s="512"/>
      <c r="S510" s="119"/>
      <c r="T510" s="119"/>
      <c r="U510" s="119"/>
      <c r="V510" s="119"/>
      <c r="W510" s="119"/>
      <c r="X510" s="131">
        <f>IF(NFI_Expiration=1,IF($A510&lt;VLOOKUP(I$5,NFI,5,0),1,0)*Data_NFI_t[[#This Row],[Hygiene Kit]],0)</f>
        <v>0</v>
      </c>
      <c r="Y510" s="131">
        <f>IF(NFI_Expiration=1,IF($A510&lt;VLOOKUP(J$5,NFI,5,0),1,0)*Data_NFI_t[[#This Row],[NFI Core Kit]],0)</f>
        <v>0</v>
      </c>
      <c r="Z510" s="112">
        <f>IF(NFI_Expiration=1,IF($A510&lt;VLOOKUP(K$5,NFI,5,0),1,0)*Data_NFI_t[[#This Row],[Sanitary Kit]],0)</f>
        <v>0</v>
      </c>
      <c r="AA510" s="112">
        <f>IF(NFI_Expiration=1,IF($A510&lt;VLOOKUP(L$5,NFI,5,0),1,0)*Data_NFI_t[[#This Row],[Mosquito net]],0)</f>
        <v>0</v>
      </c>
      <c r="AB510" s="112">
        <f>IF(NFI_Expiration=1,IF($A510&lt;VLOOKUP(M$5,NFI,5,0),1,0)*Data_NFI_t[[#This Row],[Tarpaulin]],0)</f>
        <v>0</v>
      </c>
      <c r="AC510" s="112">
        <f>IF(NFI_Expiration=1,IF($A510&lt;VLOOKUP(N$5,NFI,5,0),1,0)*Data_NFI_t[[#This Row],[Blanket]],0)</f>
        <v>0</v>
      </c>
      <c r="AD510" s="112">
        <f>IF(NFI_Expiration=1,IF($A510&lt;VLOOKUP(O$5,NFI,5,0),1,0)*Data_NFI_t[[#This Row],[Kitchen Set]],0)</f>
        <v>0</v>
      </c>
      <c r="AE510" s="112">
        <f>IF(NFI_Expiration=1,IF($A510&lt;VLOOKUP(P$5,NFI,5,0),1,0)*Data_NFI_t[[#This Row],[Complementary Kit]],0)</f>
        <v>0</v>
      </c>
      <c r="AF510" s="112">
        <f>IF(NFI_Expiration=1,IF($A510&lt;VLOOKUP(Q$5,NFI,5,0),1,0)*Data_NFI_t[[#This Row],[Plastic Bucket]],0)</f>
        <v>0</v>
      </c>
      <c r="AG510" s="131">
        <f>IF(NFI_Expiration=1,IF($A510&lt;VLOOKUP(R$5,NFI,5,0),1,0)*Data_NFI_t[[#This Row],[Jerry Can]],0)</f>
        <v>0</v>
      </c>
      <c r="AH510" s="131">
        <f>IF(NFI_Expiration=1,IF($A510&lt;VLOOKUP(S$5,NFI,5,0),1,0)*Data_NFI_t[[#This Row],[Plastic Mat]],0)*IF(Data_NFI_t[[#This Row],[Distribution Date]]&gt;"01-06-2015",1,2.5)</f>
        <v>0</v>
      </c>
      <c r="AI510" s="901">
        <f>IF(NFI_Expiration=1,IF($A510&lt;VLOOKUP(T$5,NFI,5,0),1,0)*Data_NFI_t[[#This Row],[Adult Clothes]],0)</f>
        <v>0</v>
      </c>
      <c r="AJ510" s="131">
        <f>IF(NFI_Expiration=1,IF($A510&lt;VLOOKUP(U$5,NFI,5,0),1,0)*Data_NFI_t[[#This Row],[Children Clothes]],0)</f>
        <v>0</v>
      </c>
      <c r="AK510" s="131">
        <f>IF(NFI_Expiration=1,IF($A510&lt;VLOOKUP(V$5,NFI,5,0),1,0)*Data_NFI_t[[#This Row],[Sewing Kit]],0)</f>
        <v>0</v>
      </c>
      <c r="AL510" s="901">
        <f>IF(NFI_Expiration=1,IF($A510&lt;VLOOKUP(V$5,NFI,5,0),1,0)*Data_NFI_t[[#This Row],[Solar Lantern]],0)</f>
        <v>0</v>
      </c>
      <c r="AM510" s="131" t="str">
        <f ca="1">IFERROR(OFFSET(Camp_List[P_Code],MATCH(Data_NFI_t[[#This Row],[Camp Name]],Camp_List[Camp Name],0)-1,0,1,1),"")</f>
        <v/>
      </c>
      <c r="AN510" s="513" t="str">
        <f ca="1">IFERROR(OFFSET(Camp_List[Status],MATCH(Data_NFI_t[[#This Row],[Camp Name]],Camp_List[Camp Name],0)-1,0,1,1),"")</f>
        <v/>
      </c>
      <c r="AO510" s="131"/>
    </row>
    <row r="511" spans="1:41" s="789" customFormat="1" ht="19.5" customHeight="1" x14ac:dyDescent="0.25">
      <c r="A511" s="242" t="str">
        <f t="shared" si="10"/>
        <v/>
      </c>
      <c r="B511" s="522">
        <f>YEAR(Data_NFI_t[[#This Row],[Distribution Date]])</f>
        <v>1900</v>
      </c>
      <c r="C511" s="913"/>
      <c r="D511" s="489"/>
      <c r="E511" s="488"/>
      <c r="F511" s="489"/>
      <c r="G511" s="790"/>
      <c r="H511" s="790"/>
      <c r="I511" s="790"/>
      <c r="J511" s="51"/>
      <c r="K511" s="51"/>
      <c r="L511" s="119"/>
      <c r="M511" s="119"/>
      <c r="N511" s="119"/>
      <c r="O511" s="119"/>
      <c r="P511" s="119"/>
      <c r="Q511" s="119"/>
      <c r="R511" s="512"/>
      <c r="S511" s="119"/>
      <c r="T511" s="119"/>
      <c r="U511" s="119"/>
      <c r="V511" s="119"/>
      <c r="W511" s="119"/>
      <c r="X511" s="131">
        <f>IF(NFI_Expiration=1,IF($A511&lt;VLOOKUP(I$5,NFI,5,0),1,0)*Data_NFI_t[[#This Row],[Hygiene Kit]],0)</f>
        <v>0</v>
      </c>
      <c r="Y511" s="131">
        <f>IF(NFI_Expiration=1,IF($A511&lt;VLOOKUP(J$5,NFI,5,0),1,0)*Data_NFI_t[[#This Row],[NFI Core Kit]],0)</f>
        <v>0</v>
      </c>
      <c r="Z511" s="112">
        <f>IF(NFI_Expiration=1,IF($A511&lt;VLOOKUP(K$5,NFI,5,0),1,0)*Data_NFI_t[[#This Row],[Sanitary Kit]],0)</f>
        <v>0</v>
      </c>
      <c r="AA511" s="112">
        <f>IF(NFI_Expiration=1,IF($A511&lt;VLOOKUP(L$5,NFI,5,0),1,0)*Data_NFI_t[[#This Row],[Mosquito net]],0)</f>
        <v>0</v>
      </c>
      <c r="AB511" s="112">
        <f>IF(NFI_Expiration=1,IF($A511&lt;VLOOKUP(M$5,NFI,5,0),1,0)*Data_NFI_t[[#This Row],[Tarpaulin]],0)</f>
        <v>0</v>
      </c>
      <c r="AC511" s="112">
        <f>IF(NFI_Expiration=1,IF($A511&lt;VLOOKUP(N$5,NFI,5,0),1,0)*Data_NFI_t[[#This Row],[Blanket]],0)</f>
        <v>0</v>
      </c>
      <c r="AD511" s="112">
        <f>IF(NFI_Expiration=1,IF($A511&lt;VLOOKUP(O$5,NFI,5,0),1,0)*Data_NFI_t[[#This Row],[Kitchen Set]],0)</f>
        <v>0</v>
      </c>
      <c r="AE511" s="112">
        <f>IF(NFI_Expiration=1,IF($A511&lt;VLOOKUP(P$5,NFI,5,0),1,0)*Data_NFI_t[[#This Row],[Complementary Kit]],0)</f>
        <v>0</v>
      </c>
      <c r="AF511" s="112">
        <f>IF(NFI_Expiration=1,IF($A511&lt;VLOOKUP(Q$5,NFI,5,0),1,0)*Data_NFI_t[[#This Row],[Plastic Bucket]],0)</f>
        <v>0</v>
      </c>
      <c r="AG511" s="131">
        <f>IF(NFI_Expiration=1,IF($A511&lt;VLOOKUP(R$5,NFI,5,0),1,0)*Data_NFI_t[[#This Row],[Jerry Can]],0)</f>
        <v>0</v>
      </c>
      <c r="AH511" s="131">
        <f>IF(NFI_Expiration=1,IF($A511&lt;VLOOKUP(S$5,NFI,5,0),1,0)*Data_NFI_t[[#This Row],[Plastic Mat]],0)*IF(Data_NFI_t[[#This Row],[Distribution Date]]&gt;"01-06-2015",1,2.5)</f>
        <v>0</v>
      </c>
      <c r="AI511" s="901">
        <f>IF(NFI_Expiration=1,IF($A511&lt;VLOOKUP(T$5,NFI,5,0),1,0)*Data_NFI_t[[#This Row],[Adult Clothes]],0)</f>
        <v>0</v>
      </c>
      <c r="AJ511" s="131">
        <f>IF(NFI_Expiration=1,IF($A511&lt;VLOOKUP(U$5,NFI,5,0),1,0)*Data_NFI_t[[#This Row],[Children Clothes]],0)</f>
        <v>0</v>
      </c>
      <c r="AK511" s="131">
        <f>IF(NFI_Expiration=1,IF($A511&lt;VLOOKUP(V$5,NFI,5,0),1,0)*Data_NFI_t[[#This Row],[Sewing Kit]],0)</f>
        <v>0</v>
      </c>
      <c r="AL511" s="901">
        <f>IF(NFI_Expiration=1,IF($A511&lt;VLOOKUP(V$5,NFI,5,0),1,0)*Data_NFI_t[[#This Row],[Solar Lantern]],0)</f>
        <v>0</v>
      </c>
      <c r="AM511" s="131" t="str">
        <f ca="1">IFERROR(OFFSET(Camp_List[P_Code],MATCH(Data_NFI_t[[#This Row],[Camp Name]],Camp_List[Camp Name],0)-1,0,1,1),"")</f>
        <v/>
      </c>
      <c r="AN511" s="513" t="str">
        <f ca="1">IFERROR(OFFSET(Camp_List[Status],MATCH(Data_NFI_t[[#This Row],[Camp Name]],Camp_List[Camp Name],0)-1,0,1,1),"")</f>
        <v/>
      </c>
      <c r="AO511" s="131"/>
    </row>
    <row r="512" spans="1:41" s="789" customFormat="1" ht="19.5" customHeight="1" x14ac:dyDescent="0.25">
      <c r="A512" s="242" t="str">
        <f t="shared" si="10"/>
        <v/>
      </c>
      <c r="B512" s="522">
        <f>YEAR(Data_NFI_t[[#This Row],[Distribution Date]])</f>
        <v>1900</v>
      </c>
      <c r="C512" s="913"/>
      <c r="D512" s="489"/>
      <c r="E512" s="488"/>
      <c r="F512" s="489"/>
      <c r="G512" s="790"/>
      <c r="H512" s="790"/>
      <c r="I512" s="790"/>
      <c r="J512" s="51"/>
      <c r="K512" s="51"/>
      <c r="L512" s="119"/>
      <c r="M512" s="119"/>
      <c r="N512" s="119"/>
      <c r="O512" s="119"/>
      <c r="P512" s="119"/>
      <c r="Q512" s="119"/>
      <c r="R512" s="512"/>
      <c r="S512" s="119"/>
      <c r="T512" s="119"/>
      <c r="U512" s="119"/>
      <c r="V512" s="119"/>
      <c r="W512" s="119"/>
      <c r="X512" s="131">
        <f>IF(NFI_Expiration=1,IF($A512&lt;VLOOKUP(I$5,NFI,5,0),1,0)*Data_NFI_t[[#This Row],[Hygiene Kit]],0)</f>
        <v>0</v>
      </c>
      <c r="Y512" s="131">
        <f>IF(NFI_Expiration=1,IF($A512&lt;VLOOKUP(J$5,NFI,5,0),1,0)*Data_NFI_t[[#This Row],[NFI Core Kit]],0)</f>
        <v>0</v>
      </c>
      <c r="Z512" s="112">
        <f>IF(NFI_Expiration=1,IF($A512&lt;VLOOKUP(K$5,NFI,5,0),1,0)*Data_NFI_t[[#This Row],[Sanitary Kit]],0)</f>
        <v>0</v>
      </c>
      <c r="AA512" s="112">
        <f>IF(NFI_Expiration=1,IF($A512&lt;VLOOKUP(L$5,NFI,5,0),1,0)*Data_NFI_t[[#This Row],[Mosquito net]],0)</f>
        <v>0</v>
      </c>
      <c r="AB512" s="112">
        <f>IF(NFI_Expiration=1,IF($A512&lt;VLOOKUP(M$5,NFI,5,0),1,0)*Data_NFI_t[[#This Row],[Tarpaulin]],0)</f>
        <v>0</v>
      </c>
      <c r="AC512" s="112">
        <f>IF(NFI_Expiration=1,IF($A512&lt;VLOOKUP(N$5,NFI,5,0),1,0)*Data_NFI_t[[#This Row],[Blanket]],0)</f>
        <v>0</v>
      </c>
      <c r="AD512" s="112">
        <f>IF(NFI_Expiration=1,IF($A512&lt;VLOOKUP(O$5,NFI,5,0),1,0)*Data_NFI_t[[#This Row],[Kitchen Set]],0)</f>
        <v>0</v>
      </c>
      <c r="AE512" s="112">
        <f>IF(NFI_Expiration=1,IF($A512&lt;VLOOKUP(P$5,NFI,5,0),1,0)*Data_NFI_t[[#This Row],[Complementary Kit]],0)</f>
        <v>0</v>
      </c>
      <c r="AF512" s="112">
        <f>IF(NFI_Expiration=1,IF($A512&lt;VLOOKUP(Q$5,NFI,5,0),1,0)*Data_NFI_t[[#This Row],[Plastic Bucket]],0)</f>
        <v>0</v>
      </c>
      <c r="AG512" s="131">
        <f>IF(NFI_Expiration=1,IF($A512&lt;VLOOKUP(R$5,NFI,5,0),1,0)*Data_NFI_t[[#This Row],[Jerry Can]],0)</f>
        <v>0</v>
      </c>
      <c r="AH512" s="131">
        <f>IF(NFI_Expiration=1,IF($A512&lt;VLOOKUP(S$5,NFI,5,0),1,0)*Data_NFI_t[[#This Row],[Plastic Mat]],0)*IF(Data_NFI_t[[#This Row],[Distribution Date]]&gt;"01-06-2015",1,2.5)</f>
        <v>0</v>
      </c>
      <c r="AI512" s="901">
        <f>IF(NFI_Expiration=1,IF($A512&lt;VLOOKUP(T$5,NFI,5,0),1,0)*Data_NFI_t[[#This Row],[Adult Clothes]],0)</f>
        <v>0</v>
      </c>
      <c r="AJ512" s="131">
        <f>IF(NFI_Expiration=1,IF($A512&lt;VLOOKUP(U$5,NFI,5,0),1,0)*Data_NFI_t[[#This Row],[Children Clothes]],0)</f>
        <v>0</v>
      </c>
      <c r="AK512" s="131">
        <f>IF(NFI_Expiration=1,IF($A512&lt;VLOOKUP(V$5,NFI,5,0),1,0)*Data_NFI_t[[#This Row],[Sewing Kit]],0)</f>
        <v>0</v>
      </c>
      <c r="AL512" s="901">
        <f>IF(NFI_Expiration=1,IF($A512&lt;VLOOKUP(V$5,NFI,5,0),1,0)*Data_NFI_t[[#This Row],[Solar Lantern]],0)</f>
        <v>0</v>
      </c>
      <c r="AM512" s="131" t="str">
        <f ca="1">IFERROR(OFFSET(Camp_List[P_Code],MATCH(Data_NFI_t[[#This Row],[Camp Name]],Camp_List[Camp Name],0)-1,0,1,1),"")</f>
        <v/>
      </c>
      <c r="AN512" s="513" t="str">
        <f ca="1">IFERROR(OFFSET(Camp_List[Status],MATCH(Data_NFI_t[[#This Row],[Camp Name]],Camp_List[Camp Name],0)-1,0,1,1),"")</f>
        <v/>
      </c>
      <c r="AO512" s="131"/>
    </row>
    <row r="513" spans="1:41" s="789" customFormat="1" ht="19.5" customHeight="1" x14ac:dyDescent="0.25">
      <c r="A513" s="242" t="str">
        <f t="shared" si="10"/>
        <v/>
      </c>
      <c r="B513" s="522">
        <f>YEAR(Data_NFI_t[[#This Row],[Distribution Date]])</f>
        <v>1900</v>
      </c>
      <c r="C513" s="913"/>
      <c r="D513" s="489"/>
      <c r="E513" s="488"/>
      <c r="F513" s="489"/>
      <c r="G513" s="790"/>
      <c r="H513" s="790"/>
      <c r="I513" s="790"/>
      <c r="J513" s="51"/>
      <c r="K513" s="51"/>
      <c r="L513" s="119"/>
      <c r="M513" s="119"/>
      <c r="N513" s="119"/>
      <c r="O513" s="119"/>
      <c r="P513" s="119"/>
      <c r="Q513" s="119"/>
      <c r="R513" s="512"/>
      <c r="S513" s="119"/>
      <c r="T513" s="119"/>
      <c r="U513" s="119"/>
      <c r="V513" s="119"/>
      <c r="W513" s="119"/>
      <c r="X513" s="131">
        <f>IF(NFI_Expiration=1,IF($A513&lt;VLOOKUP(I$5,NFI,5,0),1,0)*Data_NFI_t[[#This Row],[Hygiene Kit]],0)</f>
        <v>0</v>
      </c>
      <c r="Y513" s="131">
        <f>IF(NFI_Expiration=1,IF($A513&lt;VLOOKUP(J$5,NFI,5,0),1,0)*Data_NFI_t[[#This Row],[NFI Core Kit]],0)</f>
        <v>0</v>
      </c>
      <c r="Z513" s="112">
        <f>IF(NFI_Expiration=1,IF($A513&lt;VLOOKUP(K$5,NFI,5,0),1,0)*Data_NFI_t[[#This Row],[Sanitary Kit]],0)</f>
        <v>0</v>
      </c>
      <c r="AA513" s="112">
        <f>IF(NFI_Expiration=1,IF($A513&lt;VLOOKUP(L$5,NFI,5,0),1,0)*Data_NFI_t[[#This Row],[Mosquito net]],0)</f>
        <v>0</v>
      </c>
      <c r="AB513" s="112">
        <f>IF(NFI_Expiration=1,IF($A513&lt;VLOOKUP(M$5,NFI,5,0),1,0)*Data_NFI_t[[#This Row],[Tarpaulin]],0)</f>
        <v>0</v>
      </c>
      <c r="AC513" s="112">
        <f>IF(NFI_Expiration=1,IF($A513&lt;VLOOKUP(N$5,NFI,5,0),1,0)*Data_NFI_t[[#This Row],[Blanket]],0)</f>
        <v>0</v>
      </c>
      <c r="AD513" s="112">
        <f>IF(NFI_Expiration=1,IF($A513&lt;VLOOKUP(O$5,NFI,5,0),1,0)*Data_NFI_t[[#This Row],[Kitchen Set]],0)</f>
        <v>0</v>
      </c>
      <c r="AE513" s="112">
        <f>IF(NFI_Expiration=1,IF($A513&lt;VLOOKUP(P$5,NFI,5,0),1,0)*Data_NFI_t[[#This Row],[Complementary Kit]],0)</f>
        <v>0</v>
      </c>
      <c r="AF513" s="112">
        <f>IF(NFI_Expiration=1,IF($A513&lt;VLOOKUP(Q$5,NFI,5,0),1,0)*Data_NFI_t[[#This Row],[Plastic Bucket]],0)</f>
        <v>0</v>
      </c>
      <c r="AG513" s="131">
        <f>IF(NFI_Expiration=1,IF($A513&lt;VLOOKUP(R$5,NFI,5,0),1,0)*Data_NFI_t[[#This Row],[Jerry Can]],0)</f>
        <v>0</v>
      </c>
      <c r="AH513" s="131">
        <f>IF(NFI_Expiration=1,IF($A513&lt;VLOOKUP(S$5,NFI,5,0),1,0)*Data_NFI_t[[#This Row],[Plastic Mat]],0)*IF(Data_NFI_t[[#This Row],[Distribution Date]]&gt;"01-06-2015",1,2.5)</f>
        <v>0</v>
      </c>
      <c r="AI513" s="901">
        <f>IF(NFI_Expiration=1,IF($A513&lt;VLOOKUP(T$5,NFI,5,0),1,0)*Data_NFI_t[[#This Row],[Adult Clothes]],0)</f>
        <v>0</v>
      </c>
      <c r="AJ513" s="131">
        <f>IF(NFI_Expiration=1,IF($A513&lt;VLOOKUP(U$5,NFI,5,0),1,0)*Data_NFI_t[[#This Row],[Children Clothes]],0)</f>
        <v>0</v>
      </c>
      <c r="AK513" s="131">
        <f>IF(NFI_Expiration=1,IF($A513&lt;VLOOKUP(V$5,NFI,5,0),1,0)*Data_NFI_t[[#This Row],[Sewing Kit]],0)</f>
        <v>0</v>
      </c>
      <c r="AL513" s="901">
        <f>IF(NFI_Expiration=1,IF($A513&lt;VLOOKUP(V$5,NFI,5,0),1,0)*Data_NFI_t[[#This Row],[Solar Lantern]],0)</f>
        <v>0</v>
      </c>
      <c r="AM513" s="131" t="str">
        <f ca="1">IFERROR(OFFSET(Camp_List[P_Code],MATCH(Data_NFI_t[[#This Row],[Camp Name]],Camp_List[Camp Name],0)-1,0,1,1),"")</f>
        <v/>
      </c>
      <c r="AN513" s="513" t="str">
        <f ca="1">IFERROR(OFFSET(Camp_List[Status],MATCH(Data_NFI_t[[#This Row],[Camp Name]],Camp_List[Camp Name],0)-1,0,1,1),"")</f>
        <v/>
      </c>
      <c r="AO513" s="131"/>
    </row>
    <row r="514" spans="1:41" s="789" customFormat="1" ht="19.5" customHeight="1" x14ac:dyDescent="0.25">
      <c r="A514" s="242" t="str">
        <f t="shared" si="10"/>
        <v/>
      </c>
      <c r="B514" s="522">
        <f>YEAR(Data_NFI_t[[#This Row],[Distribution Date]])</f>
        <v>1900</v>
      </c>
      <c r="C514" s="913"/>
      <c r="D514" s="489"/>
      <c r="E514" s="488"/>
      <c r="F514" s="489"/>
      <c r="G514" s="790"/>
      <c r="H514" s="790"/>
      <c r="I514" s="790"/>
      <c r="J514" s="51"/>
      <c r="K514" s="51"/>
      <c r="L514" s="119"/>
      <c r="M514" s="119"/>
      <c r="N514" s="119"/>
      <c r="O514" s="119"/>
      <c r="P514" s="119"/>
      <c r="Q514" s="119"/>
      <c r="R514" s="512"/>
      <c r="S514" s="119"/>
      <c r="T514" s="119"/>
      <c r="U514" s="119"/>
      <c r="V514" s="119"/>
      <c r="W514" s="119"/>
      <c r="X514" s="131">
        <f>IF(NFI_Expiration=1,IF($A514&lt;VLOOKUP(I$5,NFI,5,0),1,0)*Data_NFI_t[[#This Row],[Hygiene Kit]],0)</f>
        <v>0</v>
      </c>
      <c r="Y514" s="131">
        <f>IF(NFI_Expiration=1,IF($A514&lt;VLOOKUP(J$5,NFI,5,0),1,0)*Data_NFI_t[[#This Row],[NFI Core Kit]],0)</f>
        <v>0</v>
      </c>
      <c r="Z514" s="112">
        <f>IF(NFI_Expiration=1,IF($A514&lt;VLOOKUP(K$5,NFI,5,0),1,0)*Data_NFI_t[[#This Row],[Sanitary Kit]],0)</f>
        <v>0</v>
      </c>
      <c r="AA514" s="112">
        <f>IF(NFI_Expiration=1,IF($A514&lt;VLOOKUP(L$5,NFI,5,0),1,0)*Data_NFI_t[[#This Row],[Mosquito net]],0)</f>
        <v>0</v>
      </c>
      <c r="AB514" s="112">
        <f>IF(NFI_Expiration=1,IF($A514&lt;VLOOKUP(M$5,NFI,5,0),1,0)*Data_NFI_t[[#This Row],[Tarpaulin]],0)</f>
        <v>0</v>
      </c>
      <c r="AC514" s="112">
        <f>IF(NFI_Expiration=1,IF($A514&lt;VLOOKUP(N$5,NFI,5,0),1,0)*Data_NFI_t[[#This Row],[Blanket]],0)</f>
        <v>0</v>
      </c>
      <c r="AD514" s="112">
        <f>IF(NFI_Expiration=1,IF($A514&lt;VLOOKUP(O$5,NFI,5,0),1,0)*Data_NFI_t[[#This Row],[Kitchen Set]],0)</f>
        <v>0</v>
      </c>
      <c r="AE514" s="112">
        <f>IF(NFI_Expiration=1,IF($A514&lt;VLOOKUP(P$5,NFI,5,0),1,0)*Data_NFI_t[[#This Row],[Complementary Kit]],0)</f>
        <v>0</v>
      </c>
      <c r="AF514" s="112">
        <f>IF(NFI_Expiration=1,IF($A514&lt;VLOOKUP(Q$5,NFI,5,0),1,0)*Data_NFI_t[[#This Row],[Plastic Bucket]],0)</f>
        <v>0</v>
      </c>
      <c r="AG514" s="131">
        <f>IF(NFI_Expiration=1,IF($A514&lt;VLOOKUP(R$5,NFI,5,0),1,0)*Data_NFI_t[[#This Row],[Jerry Can]],0)</f>
        <v>0</v>
      </c>
      <c r="AH514" s="131">
        <f>IF(NFI_Expiration=1,IF($A514&lt;VLOOKUP(S$5,NFI,5,0),1,0)*Data_NFI_t[[#This Row],[Plastic Mat]],0)*IF(Data_NFI_t[[#This Row],[Distribution Date]]&gt;"01-06-2015",1,2.5)</f>
        <v>0</v>
      </c>
      <c r="AI514" s="901">
        <f>IF(NFI_Expiration=1,IF($A514&lt;VLOOKUP(T$5,NFI,5,0),1,0)*Data_NFI_t[[#This Row],[Adult Clothes]],0)</f>
        <v>0</v>
      </c>
      <c r="AJ514" s="131">
        <f>IF(NFI_Expiration=1,IF($A514&lt;VLOOKUP(U$5,NFI,5,0),1,0)*Data_NFI_t[[#This Row],[Children Clothes]],0)</f>
        <v>0</v>
      </c>
      <c r="AK514" s="131">
        <f>IF(NFI_Expiration=1,IF($A514&lt;VLOOKUP(V$5,NFI,5,0),1,0)*Data_NFI_t[[#This Row],[Sewing Kit]],0)</f>
        <v>0</v>
      </c>
      <c r="AL514" s="901">
        <f>IF(NFI_Expiration=1,IF($A514&lt;VLOOKUP(V$5,NFI,5,0),1,0)*Data_NFI_t[[#This Row],[Solar Lantern]],0)</f>
        <v>0</v>
      </c>
      <c r="AM514" s="131" t="str">
        <f ca="1">IFERROR(OFFSET(Camp_List[P_Code],MATCH(Data_NFI_t[[#This Row],[Camp Name]],Camp_List[Camp Name],0)-1,0,1,1),"")</f>
        <v/>
      </c>
      <c r="AN514" s="513" t="str">
        <f ca="1">IFERROR(OFFSET(Camp_List[Status],MATCH(Data_NFI_t[[#This Row],[Camp Name]],Camp_List[Camp Name],0)-1,0,1,1),"")</f>
        <v/>
      </c>
      <c r="AO514" s="131"/>
    </row>
    <row r="515" spans="1:41" s="789" customFormat="1" ht="19.5" customHeight="1" x14ac:dyDescent="0.25">
      <c r="A515" s="242" t="str">
        <f t="shared" si="10"/>
        <v/>
      </c>
      <c r="B515" s="522">
        <f>YEAR(Data_NFI_t[[#This Row],[Distribution Date]])</f>
        <v>1900</v>
      </c>
      <c r="C515" s="913"/>
      <c r="D515" s="489"/>
      <c r="E515" s="488"/>
      <c r="F515" s="489"/>
      <c r="G515" s="790"/>
      <c r="H515" s="790"/>
      <c r="I515" s="790"/>
      <c r="J515" s="51"/>
      <c r="K515" s="51"/>
      <c r="L515" s="119"/>
      <c r="M515" s="119"/>
      <c r="N515" s="119"/>
      <c r="O515" s="119"/>
      <c r="P515" s="119"/>
      <c r="Q515" s="119"/>
      <c r="R515" s="512"/>
      <c r="S515" s="119"/>
      <c r="T515" s="119"/>
      <c r="U515" s="119"/>
      <c r="V515" s="119"/>
      <c r="W515" s="119"/>
      <c r="X515" s="131">
        <f>IF(NFI_Expiration=1,IF($A515&lt;VLOOKUP(I$5,NFI,5,0),1,0)*Data_NFI_t[[#This Row],[Hygiene Kit]],0)</f>
        <v>0</v>
      </c>
      <c r="Y515" s="131">
        <f>IF(NFI_Expiration=1,IF($A515&lt;VLOOKUP(J$5,NFI,5,0),1,0)*Data_NFI_t[[#This Row],[NFI Core Kit]],0)</f>
        <v>0</v>
      </c>
      <c r="Z515" s="112">
        <f>IF(NFI_Expiration=1,IF($A515&lt;VLOOKUP(K$5,NFI,5,0),1,0)*Data_NFI_t[[#This Row],[Sanitary Kit]],0)</f>
        <v>0</v>
      </c>
      <c r="AA515" s="112">
        <f>IF(NFI_Expiration=1,IF($A515&lt;VLOOKUP(L$5,NFI,5,0),1,0)*Data_NFI_t[[#This Row],[Mosquito net]],0)</f>
        <v>0</v>
      </c>
      <c r="AB515" s="112">
        <f>IF(NFI_Expiration=1,IF($A515&lt;VLOOKUP(M$5,NFI,5,0),1,0)*Data_NFI_t[[#This Row],[Tarpaulin]],0)</f>
        <v>0</v>
      </c>
      <c r="AC515" s="112">
        <f>IF(NFI_Expiration=1,IF($A515&lt;VLOOKUP(N$5,NFI,5,0),1,0)*Data_NFI_t[[#This Row],[Blanket]],0)</f>
        <v>0</v>
      </c>
      <c r="AD515" s="112">
        <f>IF(NFI_Expiration=1,IF($A515&lt;VLOOKUP(O$5,NFI,5,0),1,0)*Data_NFI_t[[#This Row],[Kitchen Set]],0)</f>
        <v>0</v>
      </c>
      <c r="AE515" s="112">
        <f>IF(NFI_Expiration=1,IF($A515&lt;VLOOKUP(P$5,NFI,5,0),1,0)*Data_NFI_t[[#This Row],[Complementary Kit]],0)</f>
        <v>0</v>
      </c>
      <c r="AF515" s="112">
        <f>IF(NFI_Expiration=1,IF($A515&lt;VLOOKUP(Q$5,NFI,5,0),1,0)*Data_NFI_t[[#This Row],[Plastic Bucket]],0)</f>
        <v>0</v>
      </c>
      <c r="AG515" s="131">
        <f>IF(NFI_Expiration=1,IF($A515&lt;VLOOKUP(R$5,NFI,5,0),1,0)*Data_NFI_t[[#This Row],[Jerry Can]],0)</f>
        <v>0</v>
      </c>
      <c r="AH515" s="131">
        <f>IF(NFI_Expiration=1,IF($A515&lt;VLOOKUP(S$5,NFI,5,0),1,0)*Data_NFI_t[[#This Row],[Plastic Mat]],0)*IF(Data_NFI_t[[#This Row],[Distribution Date]]&gt;"01-06-2015",1,2.5)</f>
        <v>0</v>
      </c>
      <c r="AI515" s="901">
        <f>IF(NFI_Expiration=1,IF($A515&lt;VLOOKUP(T$5,NFI,5,0),1,0)*Data_NFI_t[[#This Row],[Adult Clothes]],0)</f>
        <v>0</v>
      </c>
      <c r="AJ515" s="131">
        <f>IF(NFI_Expiration=1,IF($A515&lt;VLOOKUP(U$5,NFI,5,0),1,0)*Data_NFI_t[[#This Row],[Children Clothes]],0)</f>
        <v>0</v>
      </c>
      <c r="AK515" s="131">
        <f>IF(NFI_Expiration=1,IF($A515&lt;VLOOKUP(V$5,NFI,5,0),1,0)*Data_NFI_t[[#This Row],[Sewing Kit]],0)</f>
        <v>0</v>
      </c>
      <c r="AL515" s="901">
        <f>IF(NFI_Expiration=1,IF($A515&lt;VLOOKUP(V$5,NFI,5,0),1,0)*Data_NFI_t[[#This Row],[Solar Lantern]],0)</f>
        <v>0</v>
      </c>
      <c r="AM515" s="131" t="str">
        <f ca="1">IFERROR(OFFSET(Camp_List[P_Code],MATCH(Data_NFI_t[[#This Row],[Camp Name]],Camp_List[Camp Name],0)-1,0,1,1),"")</f>
        <v/>
      </c>
      <c r="AN515" s="513" t="str">
        <f ca="1">IFERROR(OFFSET(Camp_List[Status],MATCH(Data_NFI_t[[#This Row],[Camp Name]],Camp_List[Camp Name],0)-1,0,1,1),"")</f>
        <v/>
      </c>
      <c r="AO515" s="131"/>
    </row>
    <row r="516" spans="1:41" s="789" customFormat="1" ht="19.5" customHeight="1" x14ac:dyDescent="0.25">
      <c r="A516" s="242" t="str">
        <f t="shared" si="10"/>
        <v/>
      </c>
      <c r="B516" s="522">
        <f>YEAR(Data_NFI_t[[#This Row],[Distribution Date]])</f>
        <v>1900</v>
      </c>
      <c r="C516" s="913"/>
      <c r="D516" s="489"/>
      <c r="E516" s="488"/>
      <c r="F516" s="489"/>
      <c r="G516" s="790"/>
      <c r="H516" s="790"/>
      <c r="I516" s="790"/>
      <c r="J516" s="51"/>
      <c r="K516" s="51"/>
      <c r="L516" s="119"/>
      <c r="M516" s="119"/>
      <c r="N516" s="119"/>
      <c r="O516" s="119"/>
      <c r="P516" s="119"/>
      <c r="Q516" s="119"/>
      <c r="R516" s="512"/>
      <c r="S516" s="119"/>
      <c r="T516" s="119"/>
      <c r="U516" s="119"/>
      <c r="V516" s="119"/>
      <c r="W516" s="119"/>
      <c r="X516" s="131">
        <f>IF(NFI_Expiration=1,IF($A516&lt;VLOOKUP(I$5,NFI,5,0),1,0)*Data_NFI_t[[#This Row],[Hygiene Kit]],0)</f>
        <v>0</v>
      </c>
      <c r="Y516" s="131">
        <f>IF(NFI_Expiration=1,IF($A516&lt;VLOOKUP(J$5,NFI,5,0),1,0)*Data_NFI_t[[#This Row],[NFI Core Kit]],0)</f>
        <v>0</v>
      </c>
      <c r="Z516" s="112">
        <f>IF(NFI_Expiration=1,IF($A516&lt;VLOOKUP(K$5,NFI,5,0),1,0)*Data_NFI_t[[#This Row],[Sanitary Kit]],0)</f>
        <v>0</v>
      </c>
      <c r="AA516" s="112">
        <f>IF(NFI_Expiration=1,IF($A516&lt;VLOOKUP(L$5,NFI,5,0),1,0)*Data_NFI_t[[#This Row],[Mosquito net]],0)</f>
        <v>0</v>
      </c>
      <c r="AB516" s="112">
        <f>IF(NFI_Expiration=1,IF($A516&lt;VLOOKUP(M$5,NFI,5,0),1,0)*Data_NFI_t[[#This Row],[Tarpaulin]],0)</f>
        <v>0</v>
      </c>
      <c r="AC516" s="112">
        <f>IF(NFI_Expiration=1,IF($A516&lt;VLOOKUP(N$5,NFI,5,0),1,0)*Data_NFI_t[[#This Row],[Blanket]],0)</f>
        <v>0</v>
      </c>
      <c r="AD516" s="112">
        <f>IF(NFI_Expiration=1,IF($A516&lt;VLOOKUP(O$5,NFI,5,0),1,0)*Data_NFI_t[[#This Row],[Kitchen Set]],0)</f>
        <v>0</v>
      </c>
      <c r="AE516" s="112">
        <f>IF(NFI_Expiration=1,IF($A516&lt;VLOOKUP(P$5,NFI,5,0),1,0)*Data_NFI_t[[#This Row],[Complementary Kit]],0)</f>
        <v>0</v>
      </c>
      <c r="AF516" s="112">
        <f>IF(NFI_Expiration=1,IF($A516&lt;VLOOKUP(Q$5,NFI,5,0),1,0)*Data_NFI_t[[#This Row],[Plastic Bucket]],0)</f>
        <v>0</v>
      </c>
      <c r="AG516" s="131">
        <f>IF(NFI_Expiration=1,IF($A516&lt;VLOOKUP(R$5,NFI,5,0),1,0)*Data_NFI_t[[#This Row],[Jerry Can]],0)</f>
        <v>0</v>
      </c>
      <c r="AH516" s="131">
        <f>IF(NFI_Expiration=1,IF($A516&lt;VLOOKUP(S$5,NFI,5,0),1,0)*Data_NFI_t[[#This Row],[Plastic Mat]],0)*IF(Data_NFI_t[[#This Row],[Distribution Date]]&gt;"01-06-2015",1,2.5)</f>
        <v>0</v>
      </c>
      <c r="AI516" s="901">
        <f>IF(NFI_Expiration=1,IF($A516&lt;VLOOKUP(T$5,NFI,5,0),1,0)*Data_NFI_t[[#This Row],[Adult Clothes]],0)</f>
        <v>0</v>
      </c>
      <c r="AJ516" s="131">
        <f>IF(NFI_Expiration=1,IF($A516&lt;VLOOKUP(U$5,NFI,5,0),1,0)*Data_NFI_t[[#This Row],[Children Clothes]],0)</f>
        <v>0</v>
      </c>
      <c r="AK516" s="131">
        <f>IF(NFI_Expiration=1,IF($A516&lt;VLOOKUP(V$5,NFI,5,0),1,0)*Data_NFI_t[[#This Row],[Sewing Kit]],0)</f>
        <v>0</v>
      </c>
      <c r="AL516" s="901">
        <f>IF(NFI_Expiration=1,IF($A516&lt;VLOOKUP(V$5,NFI,5,0),1,0)*Data_NFI_t[[#This Row],[Solar Lantern]],0)</f>
        <v>0</v>
      </c>
      <c r="AM516" s="131" t="str">
        <f ca="1">IFERROR(OFFSET(Camp_List[P_Code],MATCH(Data_NFI_t[[#This Row],[Camp Name]],Camp_List[Camp Name],0)-1,0,1,1),"")</f>
        <v/>
      </c>
      <c r="AN516" s="513" t="str">
        <f ca="1">IFERROR(OFFSET(Camp_List[Status],MATCH(Data_NFI_t[[#This Row],[Camp Name]],Camp_List[Camp Name],0)-1,0,1,1),"")</f>
        <v/>
      </c>
      <c r="AO516" s="131"/>
    </row>
    <row r="517" spans="1:41" s="789" customFormat="1" ht="19.5" customHeight="1" x14ac:dyDescent="0.25">
      <c r="A517" s="242" t="str">
        <f t="shared" si="10"/>
        <v/>
      </c>
      <c r="B517" s="522">
        <f>YEAR(Data_NFI_t[[#This Row],[Distribution Date]])</f>
        <v>1900</v>
      </c>
      <c r="C517" s="913"/>
      <c r="D517" s="489"/>
      <c r="E517" s="488"/>
      <c r="F517" s="489"/>
      <c r="G517" s="790"/>
      <c r="H517" s="790"/>
      <c r="I517" s="790"/>
      <c r="J517" s="51"/>
      <c r="K517" s="51"/>
      <c r="L517" s="119"/>
      <c r="M517" s="119"/>
      <c r="N517" s="119"/>
      <c r="O517" s="119"/>
      <c r="P517" s="119"/>
      <c r="Q517" s="119"/>
      <c r="R517" s="512"/>
      <c r="S517" s="119"/>
      <c r="T517" s="119"/>
      <c r="U517" s="119"/>
      <c r="V517" s="119"/>
      <c r="W517" s="119"/>
      <c r="X517" s="131">
        <f>IF(NFI_Expiration=1,IF($A517&lt;VLOOKUP(I$5,NFI,5,0),1,0)*Data_NFI_t[[#This Row],[Hygiene Kit]],0)</f>
        <v>0</v>
      </c>
      <c r="Y517" s="131">
        <f>IF(NFI_Expiration=1,IF($A517&lt;VLOOKUP(J$5,NFI,5,0),1,0)*Data_NFI_t[[#This Row],[NFI Core Kit]],0)</f>
        <v>0</v>
      </c>
      <c r="Z517" s="112">
        <f>IF(NFI_Expiration=1,IF($A517&lt;VLOOKUP(K$5,NFI,5,0),1,0)*Data_NFI_t[[#This Row],[Sanitary Kit]],0)</f>
        <v>0</v>
      </c>
      <c r="AA517" s="112">
        <f>IF(NFI_Expiration=1,IF($A517&lt;VLOOKUP(L$5,NFI,5,0),1,0)*Data_NFI_t[[#This Row],[Mosquito net]],0)</f>
        <v>0</v>
      </c>
      <c r="AB517" s="112">
        <f>IF(NFI_Expiration=1,IF($A517&lt;VLOOKUP(M$5,NFI,5,0),1,0)*Data_NFI_t[[#This Row],[Tarpaulin]],0)</f>
        <v>0</v>
      </c>
      <c r="AC517" s="112">
        <f>IF(NFI_Expiration=1,IF($A517&lt;VLOOKUP(N$5,NFI,5,0),1,0)*Data_NFI_t[[#This Row],[Blanket]],0)</f>
        <v>0</v>
      </c>
      <c r="AD517" s="112">
        <f>IF(NFI_Expiration=1,IF($A517&lt;VLOOKUP(O$5,NFI,5,0),1,0)*Data_NFI_t[[#This Row],[Kitchen Set]],0)</f>
        <v>0</v>
      </c>
      <c r="AE517" s="112">
        <f>IF(NFI_Expiration=1,IF($A517&lt;VLOOKUP(P$5,NFI,5,0),1,0)*Data_NFI_t[[#This Row],[Complementary Kit]],0)</f>
        <v>0</v>
      </c>
      <c r="AF517" s="112">
        <f>IF(NFI_Expiration=1,IF($A517&lt;VLOOKUP(Q$5,NFI,5,0),1,0)*Data_NFI_t[[#This Row],[Plastic Bucket]],0)</f>
        <v>0</v>
      </c>
      <c r="AG517" s="131">
        <f>IF(NFI_Expiration=1,IF($A517&lt;VLOOKUP(R$5,NFI,5,0),1,0)*Data_NFI_t[[#This Row],[Jerry Can]],0)</f>
        <v>0</v>
      </c>
      <c r="AH517" s="131">
        <f>IF(NFI_Expiration=1,IF($A517&lt;VLOOKUP(S$5,NFI,5,0),1,0)*Data_NFI_t[[#This Row],[Plastic Mat]],0)*IF(Data_NFI_t[[#This Row],[Distribution Date]]&gt;"01-06-2015",1,2.5)</f>
        <v>0</v>
      </c>
      <c r="AI517" s="901">
        <f>IF(NFI_Expiration=1,IF($A517&lt;VLOOKUP(T$5,NFI,5,0),1,0)*Data_NFI_t[[#This Row],[Adult Clothes]],0)</f>
        <v>0</v>
      </c>
      <c r="AJ517" s="131">
        <f>IF(NFI_Expiration=1,IF($A517&lt;VLOOKUP(U$5,NFI,5,0),1,0)*Data_NFI_t[[#This Row],[Children Clothes]],0)</f>
        <v>0</v>
      </c>
      <c r="AK517" s="131">
        <f>IF(NFI_Expiration=1,IF($A517&lt;VLOOKUP(V$5,NFI,5,0),1,0)*Data_NFI_t[[#This Row],[Sewing Kit]],0)</f>
        <v>0</v>
      </c>
      <c r="AL517" s="901">
        <f>IF(NFI_Expiration=1,IF($A517&lt;VLOOKUP(V$5,NFI,5,0),1,0)*Data_NFI_t[[#This Row],[Solar Lantern]],0)</f>
        <v>0</v>
      </c>
      <c r="AM517" s="131" t="str">
        <f ca="1">IFERROR(OFFSET(Camp_List[P_Code],MATCH(Data_NFI_t[[#This Row],[Camp Name]],Camp_List[Camp Name],0)-1,0,1,1),"")</f>
        <v/>
      </c>
      <c r="AN517" s="513" t="str">
        <f ca="1">IFERROR(OFFSET(Camp_List[Status],MATCH(Data_NFI_t[[#This Row],[Camp Name]],Camp_List[Camp Name],0)-1,0,1,1),"")</f>
        <v/>
      </c>
      <c r="AO517" s="131"/>
    </row>
    <row r="518" spans="1:41" s="789" customFormat="1" ht="19.5" customHeight="1" x14ac:dyDescent="0.25">
      <c r="A518" s="242" t="str">
        <f t="shared" si="10"/>
        <v/>
      </c>
      <c r="B518" s="522">
        <f>YEAR(Data_NFI_t[[#This Row],[Distribution Date]])</f>
        <v>1900</v>
      </c>
      <c r="C518" s="913"/>
      <c r="D518" s="489"/>
      <c r="E518" s="488"/>
      <c r="F518" s="489"/>
      <c r="G518" s="790"/>
      <c r="H518" s="790"/>
      <c r="I518" s="790"/>
      <c r="J518" s="51"/>
      <c r="K518" s="51"/>
      <c r="L518" s="119"/>
      <c r="M518" s="119"/>
      <c r="N518" s="119"/>
      <c r="O518" s="119"/>
      <c r="P518" s="119"/>
      <c r="Q518" s="119"/>
      <c r="R518" s="512"/>
      <c r="S518" s="119"/>
      <c r="T518" s="119"/>
      <c r="U518" s="119"/>
      <c r="V518" s="119"/>
      <c r="W518" s="119"/>
      <c r="X518" s="131">
        <f>IF(NFI_Expiration=1,IF($A518&lt;VLOOKUP(I$5,NFI,5,0),1,0)*Data_NFI_t[[#This Row],[Hygiene Kit]],0)</f>
        <v>0</v>
      </c>
      <c r="Y518" s="131">
        <f>IF(NFI_Expiration=1,IF($A518&lt;VLOOKUP(J$5,NFI,5,0),1,0)*Data_NFI_t[[#This Row],[NFI Core Kit]],0)</f>
        <v>0</v>
      </c>
      <c r="Z518" s="112">
        <f>IF(NFI_Expiration=1,IF($A518&lt;VLOOKUP(K$5,NFI,5,0),1,0)*Data_NFI_t[[#This Row],[Sanitary Kit]],0)</f>
        <v>0</v>
      </c>
      <c r="AA518" s="112">
        <f>IF(NFI_Expiration=1,IF($A518&lt;VLOOKUP(L$5,NFI,5,0),1,0)*Data_NFI_t[[#This Row],[Mosquito net]],0)</f>
        <v>0</v>
      </c>
      <c r="AB518" s="112">
        <f>IF(NFI_Expiration=1,IF($A518&lt;VLOOKUP(M$5,NFI,5,0),1,0)*Data_NFI_t[[#This Row],[Tarpaulin]],0)</f>
        <v>0</v>
      </c>
      <c r="AC518" s="112">
        <f>IF(NFI_Expiration=1,IF($A518&lt;VLOOKUP(N$5,NFI,5,0),1,0)*Data_NFI_t[[#This Row],[Blanket]],0)</f>
        <v>0</v>
      </c>
      <c r="AD518" s="112">
        <f>IF(NFI_Expiration=1,IF($A518&lt;VLOOKUP(O$5,NFI,5,0),1,0)*Data_NFI_t[[#This Row],[Kitchen Set]],0)</f>
        <v>0</v>
      </c>
      <c r="AE518" s="112">
        <f>IF(NFI_Expiration=1,IF($A518&lt;VLOOKUP(P$5,NFI,5,0),1,0)*Data_NFI_t[[#This Row],[Complementary Kit]],0)</f>
        <v>0</v>
      </c>
      <c r="AF518" s="112">
        <f>IF(NFI_Expiration=1,IF($A518&lt;VLOOKUP(Q$5,NFI,5,0),1,0)*Data_NFI_t[[#This Row],[Plastic Bucket]],0)</f>
        <v>0</v>
      </c>
      <c r="AG518" s="131">
        <f>IF(NFI_Expiration=1,IF($A518&lt;VLOOKUP(R$5,NFI,5,0),1,0)*Data_NFI_t[[#This Row],[Jerry Can]],0)</f>
        <v>0</v>
      </c>
      <c r="AH518" s="131">
        <f>IF(NFI_Expiration=1,IF($A518&lt;VLOOKUP(S$5,NFI,5,0),1,0)*Data_NFI_t[[#This Row],[Plastic Mat]],0)*IF(Data_NFI_t[[#This Row],[Distribution Date]]&gt;"01-06-2015",1,2.5)</f>
        <v>0</v>
      </c>
      <c r="AI518" s="901">
        <f>IF(NFI_Expiration=1,IF($A518&lt;VLOOKUP(T$5,NFI,5,0),1,0)*Data_NFI_t[[#This Row],[Adult Clothes]],0)</f>
        <v>0</v>
      </c>
      <c r="AJ518" s="131">
        <f>IF(NFI_Expiration=1,IF($A518&lt;VLOOKUP(U$5,NFI,5,0),1,0)*Data_NFI_t[[#This Row],[Children Clothes]],0)</f>
        <v>0</v>
      </c>
      <c r="AK518" s="131">
        <f>IF(NFI_Expiration=1,IF($A518&lt;VLOOKUP(V$5,NFI,5,0),1,0)*Data_NFI_t[[#This Row],[Sewing Kit]],0)</f>
        <v>0</v>
      </c>
      <c r="AL518" s="901">
        <f>IF(NFI_Expiration=1,IF($A518&lt;VLOOKUP(V$5,NFI,5,0),1,0)*Data_NFI_t[[#This Row],[Solar Lantern]],0)</f>
        <v>0</v>
      </c>
      <c r="AM518" s="131" t="str">
        <f ca="1">IFERROR(OFFSET(Camp_List[P_Code],MATCH(Data_NFI_t[[#This Row],[Camp Name]],Camp_List[Camp Name],0)-1,0,1,1),"")</f>
        <v/>
      </c>
      <c r="AN518" s="513" t="str">
        <f ca="1">IFERROR(OFFSET(Camp_List[Status],MATCH(Data_NFI_t[[#This Row],[Camp Name]],Camp_List[Camp Name],0)-1,0,1,1),"")</f>
        <v/>
      </c>
      <c r="AO518" s="131"/>
    </row>
    <row r="519" spans="1:41" s="789" customFormat="1" ht="19.5" customHeight="1" x14ac:dyDescent="0.25">
      <c r="A519" s="242" t="str">
        <f t="shared" si="10"/>
        <v/>
      </c>
      <c r="B519" s="522">
        <f>YEAR(Data_NFI_t[[#This Row],[Distribution Date]])</f>
        <v>1900</v>
      </c>
      <c r="C519" s="913"/>
      <c r="D519" s="489"/>
      <c r="E519" s="488"/>
      <c r="F519" s="489"/>
      <c r="G519" s="790"/>
      <c r="H519" s="790"/>
      <c r="I519" s="790"/>
      <c r="J519" s="51"/>
      <c r="K519" s="51"/>
      <c r="L519" s="119"/>
      <c r="M519" s="119"/>
      <c r="N519" s="119"/>
      <c r="O519" s="119"/>
      <c r="P519" s="119"/>
      <c r="Q519" s="119"/>
      <c r="R519" s="512"/>
      <c r="S519" s="119"/>
      <c r="T519" s="119"/>
      <c r="U519" s="119"/>
      <c r="V519" s="119"/>
      <c r="W519" s="119"/>
      <c r="X519" s="131">
        <f>IF(NFI_Expiration=1,IF($A519&lt;VLOOKUP(I$5,NFI,5,0),1,0)*Data_NFI_t[[#This Row],[Hygiene Kit]],0)</f>
        <v>0</v>
      </c>
      <c r="Y519" s="131">
        <f>IF(NFI_Expiration=1,IF($A519&lt;VLOOKUP(J$5,NFI,5,0),1,0)*Data_NFI_t[[#This Row],[NFI Core Kit]],0)</f>
        <v>0</v>
      </c>
      <c r="Z519" s="112">
        <f>IF(NFI_Expiration=1,IF($A519&lt;VLOOKUP(K$5,NFI,5,0),1,0)*Data_NFI_t[[#This Row],[Sanitary Kit]],0)</f>
        <v>0</v>
      </c>
      <c r="AA519" s="112">
        <f>IF(NFI_Expiration=1,IF($A519&lt;VLOOKUP(L$5,NFI,5,0),1,0)*Data_NFI_t[[#This Row],[Mosquito net]],0)</f>
        <v>0</v>
      </c>
      <c r="AB519" s="112">
        <f>IF(NFI_Expiration=1,IF($A519&lt;VLOOKUP(M$5,NFI,5,0),1,0)*Data_NFI_t[[#This Row],[Tarpaulin]],0)</f>
        <v>0</v>
      </c>
      <c r="AC519" s="112">
        <f>IF(NFI_Expiration=1,IF($A519&lt;VLOOKUP(N$5,NFI,5,0),1,0)*Data_NFI_t[[#This Row],[Blanket]],0)</f>
        <v>0</v>
      </c>
      <c r="AD519" s="112">
        <f>IF(NFI_Expiration=1,IF($A519&lt;VLOOKUP(O$5,NFI,5,0),1,0)*Data_NFI_t[[#This Row],[Kitchen Set]],0)</f>
        <v>0</v>
      </c>
      <c r="AE519" s="112">
        <f>IF(NFI_Expiration=1,IF($A519&lt;VLOOKUP(P$5,NFI,5,0),1,0)*Data_NFI_t[[#This Row],[Complementary Kit]],0)</f>
        <v>0</v>
      </c>
      <c r="AF519" s="112">
        <f>IF(NFI_Expiration=1,IF($A519&lt;VLOOKUP(Q$5,NFI,5,0),1,0)*Data_NFI_t[[#This Row],[Plastic Bucket]],0)</f>
        <v>0</v>
      </c>
      <c r="AG519" s="131">
        <f>IF(NFI_Expiration=1,IF($A519&lt;VLOOKUP(R$5,NFI,5,0),1,0)*Data_NFI_t[[#This Row],[Jerry Can]],0)</f>
        <v>0</v>
      </c>
      <c r="AH519" s="131">
        <f>IF(NFI_Expiration=1,IF($A519&lt;VLOOKUP(S$5,NFI,5,0),1,0)*Data_NFI_t[[#This Row],[Plastic Mat]],0)*IF(Data_NFI_t[[#This Row],[Distribution Date]]&gt;"01-06-2015",1,2.5)</f>
        <v>0</v>
      </c>
      <c r="AI519" s="901">
        <f>IF(NFI_Expiration=1,IF($A519&lt;VLOOKUP(T$5,NFI,5,0),1,0)*Data_NFI_t[[#This Row],[Adult Clothes]],0)</f>
        <v>0</v>
      </c>
      <c r="AJ519" s="131">
        <f>IF(NFI_Expiration=1,IF($A519&lt;VLOOKUP(U$5,NFI,5,0),1,0)*Data_NFI_t[[#This Row],[Children Clothes]],0)</f>
        <v>0</v>
      </c>
      <c r="AK519" s="131">
        <f>IF(NFI_Expiration=1,IF($A519&lt;VLOOKUP(V$5,NFI,5,0),1,0)*Data_NFI_t[[#This Row],[Sewing Kit]],0)</f>
        <v>0</v>
      </c>
      <c r="AL519" s="901">
        <f>IF(NFI_Expiration=1,IF($A519&lt;VLOOKUP(V$5,NFI,5,0),1,0)*Data_NFI_t[[#This Row],[Solar Lantern]],0)</f>
        <v>0</v>
      </c>
      <c r="AM519" s="131" t="str">
        <f ca="1">IFERROR(OFFSET(Camp_List[P_Code],MATCH(Data_NFI_t[[#This Row],[Camp Name]],Camp_List[Camp Name],0)-1,0,1,1),"")</f>
        <v/>
      </c>
      <c r="AN519" s="513" t="str">
        <f ca="1">IFERROR(OFFSET(Camp_List[Status],MATCH(Data_NFI_t[[#This Row],[Camp Name]],Camp_List[Camp Name],0)-1,0,1,1),"")</f>
        <v/>
      </c>
      <c r="AO519" s="131"/>
    </row>
    <row r="520" spans="1:41" s="789" customFormat="1" ht="19.5" customHeight="1" x14ac:dyDescent="0.25">
      <c r="A520" s="242" t="str">
        <f t="shared" si="10"/>
        <v/>
      </c>
      <c r="B520" s="522">
        <f>YEAR(Data_NFI_t[[#This Row],[Distribution Date]])</f>
        <v>1900</v>
      </c>
      <c r="C520" s="913"/>
      <c r="D520" s="489"/>
      <c r="E520" s="488"/>
      <c r="F520" s="489"/>
      <c r="G520" s="790"/>
      <c r="H520" s="790"/>
      <c r="I520" s="790"/>
      <c r="J520" s="51"/>
      <c r="K520" s="51"/>
      <c r="L520" s="119"/>
      <c r="M520" s="119"/>
      <c r="N520" s="119"/>
      <c r="O520" s="119"/>
      <c r="P520" s="119"/>
      <c r="Q520" s="119"/>
      <c r="R520" s="512"/>
      <c r="S520" s="119"/>
      <c r="T520" s="119"/>
      <c r="U520" s="119"/>
      <c r="V520" s="119"/>
      <c r="W520" s="119"/>
      <c r="X520" s="131">
        <f>IF(NFI_Expiration=1,IF($A520&lt;VLOOKUP(I$5,NFI,5,0),1,0)*Data_NFI_t[[#This Row],[Hygiene Kit]],0)</f>
        <v>0</v>
      </c>
      <c r="Y520" s="131">
        <f>IF(NFI_Expiration=1,IF($A520&lt;VLOOKUP(J$5,NFI,5,0),1,0)*Data_NFI_t[[#This Row],[NFI Core Kit]],0)</f>
        <v>0</v>
      </c>
      <c r="Z520" s="112">
        <f>IF(NFI_Expiration=1,IF($A520&lt;VLOOKUP(K$5,NFI,5,0),1,0)*Data_NFI_t[[#This Row],[Sanitary Kit]],0)</f>
        <v>0</v>
      </c>
      <c r="AA520" s="112">
        <f>IF(NFI_Expiration=1,IF($A520&lt;VLOOKUP(L$5,NFI,5,0),1,0)*Data_NFI_t[[#This Row],[Mosquito net]],0)</f>
        <v>0</v>
      </c>
      <c r="AB520" s="112">
        <f>IF(NFI_Expiration=1,IF($A520&lt;VLOOKUP(M$5,NFI,5,0),1,0)*Data_NFI_t[[#This Row],[Tarpaulin]],0)</f>
        <v>0</v>
      </c>
      <c r="AC520" s="112">
        <f>IF(NFI_Expiration=1,IF($A520&lt;VLOOKUP(N$5,NFI,5,0),1,0)*Data_NFI_t[[#This Row],[Blanket]],0)</f>
        <v>0</v>
      </c>
      <c r="AD520" s="112">
        <f>IF(NFI_Expiration=1,IF($A520&lt;VLOOKUP(O$5,NFI,5,0),1,0)*Data_NFI_t[[#This Row],[Kitchen Set]],0)</f>
        <v>0</v>
      </c>
      <c r="AE520" s="112">
        <f>IF(NFI_Expiration=1,IF($A520&lt;VLOOKUP(P$5,NFI,5,0),1,0)*Data_NFI_t[[#This Row],[Complementary Kit]],0)</f>
        <v>0</v>
      </c>
      <c r="AF520" s="112">
        <f>IF(NFI_Expiration=1,IF($A520&lt;VLOOKUP(Q$5,NFI,5,0),1,0)*Data_NFI_t[[#This Row],[Plastic Bucket]],0)</f>
        <v>0</v>
      </c>
      <c r="AG520" s="131">
        <f>IF(NFI_Expiration=1,IF($A520&lt;VLOOKUP(R$5,NFI,5,0),1,0)*Data_NFI_t[[#This Row],[Jerry Can]],0)</f>
        <v>0</v>
      </c>
      <c r="AH520" s="131">
        <f>IF(NFI_Expiration=1,IF($A520&lt;VLOOKUP(S$5,NFI,5,0),1,0)*Data_NFI_t[[#This Row],[Plastic Mat]],0)*IF(Data_NFI_t[[#This Row],[Distribution Date]]&gt;"01-06-2015",1,2.5)</f>
        <v>0</v>
      </c>
      <c r="AI520" s="901">
        <f>IF(NFI_Expiration=1,IF($A520&lt;VLOOKUP(T$5,NFI,5,0),1,0)*Data_NFI_t[[#This Row],[Adult Clothes]],0)</f>
        <v>0</v>
      </c>
      <c r="AJ520" s="131">
        <f>IF(NFI_Expiration=1,IF($A520&lt;VLOOKUP(U$5,NFI,5,0),1,0)*Data_NFI_t[[#This Row],[Children Clothes]],0)</f>
        <v>0</v>
      </c>
      <c r="AK520" s="131">
        <f>IF(NFI_Expiration=1,IF($A520&lt;VLOOKUP(V$5,NFI,5,0),1,0)*Data_NFI_t[[#This Row],[Sewing Kit]],0)</f>
        <v>0</v>
      </c>
      <c r="AL520" s="901">
        <f>IF(NFI_Expiration=1,IF($A520&lt;VLOOKUP(V$5,NFI,5,0),1,0)*Data_NFI_t[[#This Row],[Solar Lantern]],0)</f>
        <v>0</v>
      </c>
      <c r="AM520" s="131" t="str">
        <f ca="1">IFERROR(OFFSET(Camp_List[P_Code],MATCH(Data_NFI_t[[#This Row],[Camp Name]],Camp_List[Camp Name],0)-1,0,1,1),"")</f>
        <v/>
      </c>
      <c r="AN520" s="513" t="str">
        <f ca="1">IFERROR(OFFSET(Camp_List[Status],MATCH(Data_NFI_t[[#This Row],[Camp Name]],Camp_List[Camp Name],0)-1,0,1,1),"")</f>
        <v/>
      </c>
      <c r="AO520" s="131"/>
    </row>
    <row r="521" spans="1:41" s="789" customFormat="1" ht="19.5" customHeight="1" x14ac:dyDescent="0.25">
      <c r="A521" s="242" t="str">
        <f t="shared" ref="A521:A552" si="11">IF(ISBLANK(C521),"",(Report_Date-C521)/30)</f>
        <v/>
      </c>
      <c r="B521" s="522">
        <f>YEAR(Data_NFI_t[[#This Row],[Distribution Date]])</f>
        <v>1900</v>
      </c>
      <c r="C521" s="913"/>
      <c r="D521" s="489"/>
      <c r="E521" s="488"/>
      <c r="F521" s="489"/>
      <c r="G521" s="790"/>
      <c r="H521" s="790"/>
      <c r="I521" s="790"/>
      <c r="J521" s="51"/>
      <c r="K521" s="51"/>
      <c r="L521" s="119"/>
      <c r="M521" s="119"/>
      <c r="N521" s="119"/>
      <c r="O521" s="119"/>
      <c r="P521" s="119"/>
      <c r="Q521" s="119"/>
      <c r="R521" s="512"/>
      <c r="S521" s="119"/>
      <c r="T521" s="119"/>
      <c r="U521" s="119"/>
      <c r="V521" s="119"/>
      <c r="W521" s="119"/>
      <c r="X521" s="131">
        <f>IF(NFI_Expiration=1,IF($A521&lt;VLOOKUP(I$5,NFI,5,0),1,0)*Data_NFI_t[[#This Row],[Hygiene Kit]],0)</f>
        <v>0</v>
      </c>
      <c r="Y521" s="131">
        <f>IF(NFI_Expiration=1,IF($A521&lt;VLOOKUP(J$5,NFI,5,0),1,0)*Data_NFI_t[[#This Row],[NFI Core Kit]],0)</f>
        <v>0</v>
      </c>
      <c r="Z521" s="112">
        <f>IF(NFI_Expiration=1,IF($A521&lt;VLOOKUP(K$5,NFI,5,0),1,0)*Data_NFI_t[[#This Row],[Sanitary Kit]],0)</f>
        <v>0</v>
      </c>
      <c r="AA521" s="112">
        <f>IF(NFI_Expiration=1,IF($A521&lt;VLOOKUP(L$5,NFI,5,0),1,0)*Data_NFI_t[[#This Row],[Mosquito net]],0)</f>
        <v>0</v>
      </c>
      <c r="AB521" s="112">
        <f>IF(NFI_Expiration=1,IF($A521&lt;VLOOKUP(M$5,NFI,5,0),1,0)*Data_NFI_t[[#This Row],[Tarpaulin]],0)</f>
        <v>0</v>
      </c>
      <c r="AC521" s="112">
        <f>IF(NFI_Expiration=1,IF($A521&lt;VLOOKUP(N$5,NFI,5,0),1,0)*Data_NFI_t[[#This Row],[Blanket]],0)</f>
        <v>0</v>
      </c>
      <c r="AD521" s="112">
        <f>IF(NFI_Expiration=1,IF($A521&lt;VLOOKUP(O$5,NFI,5,0),1,0)*Data_NFI_t[[#This Row],[Kitchen Set]],0)</f>
        <v>0</v>
      </c>
      <c r="AE521" s="112">
        <f>IF(NFI_Expiration=1,IF($A521&lt;VLOOKUP(P$5,NFI,5,0),1,0)*Data_NFI_t[[#This Row],[Complementary Kit]],0)</f>
        <v>0</v>
      </c>
      <c r="AF521" s="112">
        <f>IF(NFI_Expiration=1,IF($A521&lt;VLOOKUP(Q$5,NFI,5,0),1,0)*Data_NFI_t[[#This Row],[Plastic Bucket]],0)</f>
        <v>0</v>
      </c>
      <c r="AG521" s="131">
        <f>IF(NFI_Expiration=1,IF($A521&lt;VLOOKUP(R$5,NFI,5,0),1,0)*Data_NFI_t[[#This Row],[Jerry Can]],0)</f>
        <v>0</v>
      </c>
      <c r="AH521" s="131">
        <f>IF(NFI_Expiration=1,IF($A521&lt;VLOOKUP(S$5,NFI,5,0),1,0)*Data_NFI_t[[#This Row],[Plastic Mat]],0)*IF(Data_NFI_t[[#This Row],[Distribution Date]]&gt;"01-06-2015",1,2.5)</f>
        <v>0</v>
      </c>
      <c r="AI521" s="901">
        <f>IF(NFI_Expiration=1,IF($A521&lt;VLOOKUP(T$5,NFI,5,0),1,0)*Data_NFI_t[[#This Row],[Adult Clothes]],0)</f>
        <v>0</v>
      </c>
      <c r="AJ521" s="131">
        <f>IF(NFI_Expiration=1,IF($A521&lt;VLOOKUP(U$5,NFI,5,0),1,0)*Data_NFI_t[[#This Row],[Children Clothes]],0)</f>
        <v>0</v>
      </c>
      <c r="AK521" s="131">
        <f>IF(NFI_Expiration=1,IF($A521&lt;VLOOKUP(V$5,NFI,5,0),1,0)*Data_NFI_t[[#This Row],[Sewing Kit]],0)</f>
        <v>0</v>
      </c>
      <c r="AL521" s="901">
        <f>IF(NFI_Expiration=1,IF($A521&lt;VLOOKUP(V$5,NFI,5,0),1,0)*Data_NFI_t[[#This Row],[Solar Lantern]],0)</f>
        <v>0</v>
      </c>
      <c r="AM521" s="131" t="str">
        <f ca="1">IFERROR(OFFSET(Camp_List[P_Code],MATCH(Data_NFI_t[[#This Row],[Camp Name]],Camp_List[Camp Name],0)-1,0,1,1),"")</f>
        <v/>
      </c>
      <c r="AN521" s="513" t="str">
        <f ca="1">IFERROR(OFFSET(Camp_List[Status],MATCH(Data_NFI_t[[#This Row],[Camp Name]],Camp_List[Camp Name],0)-1,0,1,1),"")</f>
        <v/>
      </c>
      <c r="AO521" s="131"/>
    </row>
    <row r="522" spans="1:41" s="789" customFormat="1" ht="19.5" customHeight="1" x14ac:dyDescent="0.25">
      <c r="A522" s="242" t="str">
        <f t="shared" si="11"/>
        <v/>
      </c>
      <c r="B522" s="522">
        <f>YEAR(Data_NFI_t[[#This Row],[Distribution Date]])</f>
        <v>1900</v>
      </c>
      <c r="C522" s="913"/>
      <c r="D522" s="489"/>
      <c r="E522" s="488"/>
      <c r="F522" s="489"/>
      <c r="G522" s="790"/>
      <c r="H522" s="790"/>
      <c r="I522" s="790"/>
      <c r="J522" s="51"/>
      <c r="K522" s="51"/>
      <c r="L522" s="119"/>
      <c r="M522" s="119"/>
      <c r="N522" s="119"/>
      <c r="O522" s="119"/>
      <c r="P522" s="119"/>
      <c r="Q522" s="119"/>
      <c r="R522" s="512"/>
      <c r="S522" s="119"/>
      <c r="T522" s="119"/>
      <c r="U522" s="119"/>
      <c r="V522" s="119"/>
      <c r="W522" s="119"/>
      <c r="X522" s="131">
        <f>IF(NFI_Expiration=1,IF($A522&lt;VLOOKUP(I$5,NFI,5,0),1,0)*Data_NFI_t[[#This Row],[Hygiene Kit]],0)</f>
        <v>0</v>
      </c>
      <c r="Y522" s="131">
        <f>IF(NFI_Expiration=1,IF($A522&lt;VLOOKUP(J$5,NFI,5,0),1,0)*Data_NFI_t[[#This Row],[NFI Core Kit]],0)</f>
        <v>0</v>
      </c>
      <c r="Z522" s="112">
        <f>IF(NFI_Expiration=1,IF($A522&lt;VLOOKUP(K$5,NFI,5,0),1,0)*Data_NFI_t[[#This Row],[Sanitary Kit]],0)</f>
        <v>0</v>
      </c>
      <c r="AA522" s="112">
        <f>IF(NFI_Expiration=1,IF($A522&lt;VLOOKUP(L$5,NFI,5,0),1,0)*Data_NFI_t[[#This Row],[Mosquito net]],0)</f>
        <v>0</v>
      </c>
      <c r="AB522" s="112">
        <f>IF(NFI_Expiration=1,IF($A522&lt;VLOOKUP(M$5,NFI,5,0),1,0)*Data_NFI_t[[#This Row],[Tarpaulin]],0)</f>
        <v>0</v>
      </c>
      <c r="AC522" s="112">
        <f>IF(NFI_Expiration=1,IF($A522&lt;VLOOKUP(N$5,NFI,5,0),1,0)*Data_NFI_t[[#This Row],[Blanket]],0)</f>
        <v>0</v>
      </c>
      <c r="AD522" s="112">
        <f>IF(NFI_Expiration=1,IF($A522&lt;VLOOKUP(O$5,NFI,5,0),1,0)*Data_NFI_t[[#This Row],[Kitchen Set]],0)</f>
        <v>0</v>
      </c>
      <c r="AE522" s="112">
        <f>IF(NFI_Expiration=1,IF($A522&lt;VLOOKUP(P$5,NFI,5,0),1,0)*Data_NFI_t[[#This Row],[Complementary Kit]],0)</f>
        <v>0</v>
      </c>
      <c r="AF522" s="112">
        <f>IF(NFI_Expiration=1,IF($A522&lt;VLOOKUP(Q$5,NFI,5,0),1,0)*Data_NFI_t[[#This Row],[Plastic Bucket]],0)</f>
        <v>0</v>
      </c>
      <c r="AG522" s="131">
        <f>IF(NFI_Expiration=1,IF($A522&lt;VLOOKUP(R$5,NFI,5,0),1,0)*Data_NFI_t[[#This Row],[Jerry Can]],0)</f>
        <v>0</v>
      </c>
      <c r="AH522" s="131">
        <f>IF(NFI_Expiration=1,IF($A522&lt;VLOOKUP(S$5,NFI,5,0),1,0)*Data_NFI_t[[#This Row],[Plastic Mat]],0)*IF(Data_NFI_t[[#This Row],[Distribution Date]]&gt;"01-06-2015",1,2.5)</f>
        <v>0</v>
      </c>
      <c r="AI522" s="901">
        <f>IF(NFI_Expiration=1,IF($A522&lt;VLOOKUP(T$5,NFI,5,0),1,0)*Data_NFI_t[[#This Row],[Adult Clothes]],0)</f>
        <v>0</v>
      </c>
      <c r="AJ522" s="131">
        <f>IF(NFI_Expiration=1,IF($A522&lt;VLOOKUP(U$5,NFI,5,0),1,0)*Data_NFI_t[[#This Row],[Children Clothes]],0)</f>
        <v>0</v>
      </c>
      <c r="AK522" s="131">
        <f>IF(NFI_Expiration=1,IF($A522&lt;VLOOKUP(V$5,NFI,5,0),1,0)*Data_NFI_t[[#This Row],[Sewing Kit]],0)</f>
        <v>0</v>
      </c>
      <c r="AL522" s="901">
        <f>IF(NFI_Expiration=1,IF($A522&lt;VLOOKUP(V$5,NFI,5,0),1,0)*Data_NFI_t[[#This Row],[Solar Lantern]],0)</f>
        <v>0</v>
      </c>
      <c r="AM522" s="131" t="str">
        <f ca="1">IFERROR(OFFSET(Camp_List[P_Code],MATCH(Data_NFI_t[[#This Row],[Camp Name]],Camp_List[Camp Name],0)-1,0,1,1),"")</f>
        <v/>
      </c>
      <c r="AN522" s="513" t="str">
        <f ca="1">IFERROR(OFFSET(Camp_List[Status],MATCH(Data_NFI_t[[#This Row],[Camp Name]],Camp_List[Camp Name],0)-1,0,1,1),"")</f>
        <v/>
      </c>
      <c r="AO522" s="131"/>
    </row>
    <row r="523" spans="1:41" s="789" customFormat="1" ht="19.5" customHeight="1" x14ac:dyDescent="0.25">
      <c r="A523" s="242" t="str">
        <f t="shared" si="11"/>
        <v/>
      </c>
      <c r="B523" s="522">
        <f>YEAR(Data_NFI_t[[#This Row],[Distribution Date]])</f>
        <v>1900</v>
      </c>
      <c r="C523" s="913"/>
      <c r="D523" s="489"/>
      <c r="E523" s="488"/>
      <c r="F523" s="489"/>
      <c r="G523" s="790"/>
      <c r="H523" s="790"/>
      <c r="I523" s="790"/>
      <c r="J523" s="51"/>
      <c r="K523" s="51"/>
      <c r="L523" s="119"/>
      <c r="M523" s="119"/>
      <c r="N523" s="119"/>
      <c r="O523" s="119"/>
      <c r="P523" s="119"/>
      <c r="Q523" s="119"/>
      <c r="R523" s="512"/>
      <c r="S523" s="119"/>
      <c r="T523" s="119"/>
      <c r="U523" s="119"/>
      <c r="V523" s="119"/>
      <c r="W523" s="119"/>
      <c r="X523" s="131">
        <f>IF(NFI_Expiration=1,IF($A523&lt;VLOOKUP(I$5,NFI,5,0),1,0)*Data_NFI_t[[#This Row],[Hygiene Kit]],0)</f>
        <v>0</v>
      </c>
      <c r="Y523" s="131">
        <f>IF(NFI_Expiration=1,IF($A523&lt;VLOOKUP(J$5,NFI,5,0),1,0)*Data_NFI_t[[#This Row],[NFI Core Kit]],0)</f>
        <v>0</v>
      </c>
      <c r="Z523" s="112">
        <f>IF(NFI_Expiration=1,IF($A523&lt;VLOOKUP(K$5,NFI,5,0),1,0)*Data_NFI_t[[#This Row],[Sanitary Kit]],0)</f>
        <v>0</v>
      </c>
      <c r="AA523" s="112">
        <f>IF(NFI_Expiration=1,IF($A523&lt;VLOOKUP(L$5,NFI,5,0),1,0)*Data_NFI_t[[#This Row],[Mosquito net]],0)</f>
        <v>0</v>
      </c>
      <c r="AB523" s="112">
        <f>IF(NFI_Expiration=1,IF($A523&lt;VLOOKUP(M$5,NFI,5,0),1,0)*Data_NFI_t[[#This Row],[Tarpaulin]],0)</f>
        <v>0</v>
      </c>
      <c r="AC523" s="112">
        <f>IF(NFI_Expiration=1,IF($A523&lt;VLOOKUP(N$5,NFI,5,0),1,0)*Data_NFI_t[[#This Row],[Blanket]],0)</f>
        <v>0</v>
      </c>
      <c r="AD523" s="112">
        <f>IF(NFI_Expiration=1,IF($A523&lt;VLOOKUP(O$5,NFI,5,0),1,0)*Data_NFI_t[[#This Row],[Kitchen Set]],0)</f>
        <v>0</v>
      </c>
      <c r="AE523" s="112">
        <f>IF(NFI_Expiration=1,IF($A523&lt;VLOOKUP(P$5,NFI,5,0),1,0)*Data_NFI_t[[#This Row],[Complementary Kit]],0)</f>
        <v>0</v>
      </c>
      <c r="AF523" s="112">
        <f>IF(NFI_Expiration=1,IF($A523&lt;VLOOKUP(Q$5,NFI,5,0),1,0)*Data_NFI_t[[#This Row],[Plastic Bucket]],0)</f>
        <v>0</v>
      </c>
      <c r="AG523" s="131">
        <f>IF(NFI_Expiration=1,IF($A523&lt;VLOOKUP(R$5,NFI,5,0),1,0)*Data_NFI_t[[#This Row],[Jerry Can]],0)</f>
        <v>0</v>
      </c>
      <c r="AH523" s="131">
        <f>IF(NFI_Expiration=1,IF($A523&lt;VLOOKUP(S$5,NFI,5,0),1,0)*Data_NFI_t[[#This Row],[Plastic Mat]],0)*IF(Data_NFI_t[[#This Row],[Distribution Date]]&gt;"01-06-2015",1,2.5)</f>
        <v>0</v>
      </c>
      <c r="AI523" s="901">
        <f>IF(NFI_Expiration=1,IF($A523&lt;VLOOKUP(T$5,NFI,5,0),1,0)*Data_NFI_t[[#This Row],[Adult Clothes]],0)</f>
        <v>0</v>
      </c>
      <c r="AJ523" s="131">
        <f>IF(NFI_Expiration=1,IF($A523&lt;VLOOKUP(U$5,NFI,5,0),1,0)*Data_NFI_t[[#This Row],[Children Clothes]],0)</f>
        <v>0</v>
      </c>
      <c r="AK523" s="131">
        <f>IF(NFI_Expiration=1,IF($A523&lt;VLOOKUP(V$5,NFI,5,0),1,0)*Data_NFI_t[[#This Row],[Sewing Kit]],0)</f>
        <v>0</v>
      </c>
      <c r="AL523" s="901">
        <f>IF(NFI_Expiration=1,IF($A523&lt;VLOOKUP(V$5,NFI,5,0),1,0)*Data_NFI_t[[#This Row],[Solar Lantern]],0)</f>
        <v>0</v>
      </c>
      <c r="AM523" s="131" t="str">
        <f ca="1">IFERROR(OFFSET(Camp_List[P_Code],MATCH(Data_NFI_t[[#This Row],[Camp Name]],Camp_List[Camp Name],0)-1,0,1,1),"")</f>
        <v/>
      </c>
      <c r="AN523" s="513" t="str">
        <f ca="1">IFERROR(OFFSET(Camp_List[Status],MATCH(Data_NFI_t[[#This Row],[Camp Name]],Camp_List[Camp Name],0)-1,0,1,1),"")</f>
        <v/>
      </c>
      <c r="AO523" s="131"/>
    </row>
    <row r="524" spans="1:41" s="789" customFormat="1" ht="19.5" customHeight="1" x14ac:dyDescent="0.25">
      <c r="A524" s="242" t="str">
        <f t="shared" si="11"/>
        <v/>
      </c>
      <c r="B524" s="522">
        <f>YEAR(Data_NFI_t[[#This Row],[Distribution Date]])</f>
        <v>1900</v>
      </c>
      <c r="C524" s="913"/>
      <c r="D524" s="489"/>
      <c r="E524" s="488"/>
      <c r="F524" s="489"/>
      <c r="G524" s="790"/>
      <c r="H524" s="790"/>
      <c r="I524" s="790"/>
      <c r="J524" s="51"/>
      <c r="K524" s="51"/>
      <c r="L524" s="119"/>
      <c r="M524" s="119"/>
      <c r="N524" s="119"/>
      <c r="O524" s="119"/>
      <c r="P524" s="119"/>
      <c r="Q524" s="119"/>
      <c r="R524" s="512"/>
      <c r="S524" s="119"/>
      <c r="T524" s="119"/>
      <c r="U524" s="119"/>
      <c r="V524" s="119"/>
      <c r="W524" s="119"/>
      <c r="X524" s="131">
        <f>IF(NFI_Expiration=1,IF($A524&lt;VLOOKUP(I$5,NFI,5,0),1,0)*Data_NFI_t[[#This Row],[Hygiene Kit]],0)</f>
        <v>0</v>
      </c>
      <c r="Y524" s="131">
        <f>IF(NFI_Expiration=1,IF($A524&lt;VLOOKUP(J$5,NFI,5,0),1,0)*Data_NFI_t[[#This Row],[NFI Core Kit]],0)</f>
        <v>0</v>
      </c>
      <c r="Z524" s="112">
        <f>IF(NFI_Expiration=1,IF($A524&lt;VLOOKUP(K$5,NFI,5,0),1,0)*Data_NFI_t[[#This Row],[Sanitary Kit]],0)</f>
        <v>0</v>
      </c>
      <c r="AA524" s="112">
        <f>IF(NFI_Expiration=1,IF($A524&lt;VLOOKUP(L$5,NFI,5,0),1,0)*Data_NFI_t[[#This Row],[Mosquito net]],0)</f>
        <v>0</v>
      </c>
      <c r="AB524" s="112">
        <f>IF(NFI_Expiration=1,IF($A524&lt;VLOOKUP(M$5,NFI,5,0),1,0)*Data_NFI_t[[#This Row],[Tarpaulin]],0)</f>
        <v>0</v>
      </c>
      <c r="AC524" s="112">
        <f>IF(NFI_Expiration=1,IF($A524&lt;VLOOKUP(N$5,NFI,5,0),1,0)*Data_NFI_t[[#This Row],[Blanket]],0)</f>
        <v>0</v>
      </c>
      <c r="AD524" s="112">
        <f>IF(NFI_Expiration=1,IF($A524&lt;VLOOKUP(O$5,NFI,5,0),1,0)*Data_NFI_t[[#This Row],[Kitchen Set]],0)</f>
        <v>0</v>
      </c>
      <c r="AE524" s="112">
        <f>IF(NFI_Expiration=1,IF($A524&lt;VLOOKUP(P$5,NFI,5,0),1,0)*Data_NFI_t[[#This Row],[Complementary Kit]],0)</f>
        <v>0</v>
      </c>
      <c r="AF524" s="112">
        <f>IF(NFI_Expiration=1,IF($A524&lt;VLOOKUP(Q$5,NFI,5,0),1,0)*Data_NFI_t[[#This Row],[Plastic Bucket]],0)</f>
        <v>0</v>
      </c>
      <c r="AG524" s="131">
        <f>IF(NFI_Expiration=1,IF($A524&lt;VLOOKUP(R$5,NFI,5,0),1,0)*Data_NFI_t[[#This Row],[Jerry Can]],0)</f>
        <v>0</v>
      </c>
      <c r="AH524" s="131">
        <f>IF(NFI_Expiration=1,IF($A524&lt;VLOOKUP(S$5,NFI,5,0),1,0)*Data_NFI_t[[#This Row],[Plastic Mat]],0)*IF(Data_NFI_t[[#This Row],[Distribution Date]]&gt;"01-06-2015",1,2.5)</f>
        <v>0</v>
      </c>
      <c r="AI524" s="901">
        <f>IF(NFI_Expiration=1,IF($A524&lt;VLOOKUP(T$5,NFI,5,0),1,0)*Data_NFI_t[[#This Row],[Adult Clothes]],0)</f>
        <v>0</v>
      </c>
      <c r="AJ524" s="131">
        <f>IF(NFI_Expiration=1,IF($A524&lt;VLOOKUP(U$5,NFI,5,0),1,0)*Data_NFI_t[[#This Row],[Children Clothes]],0)</f>
        <v>0</v>
      </c>
      <c r="AK524" s="131">
        <f>IF(NFI_Expiration=1,IF($A524&lt;VLOOKUP(V$5,NFI,5,0),1,0)*Data_NFI_t[[#This Row],[Sewing Kit]],0)</f>
        <v>0</v>
      </c>
      <c r="AL524" s="901">
        <f>IF(NFI_Expiration=1,IF($A524&lt;VLOOKUP(V$5,NFI,5,0),1,0)*Data_NFI_t[[#This Row],[Solar Lantern]],0)</f>
        <v>0</v>
      </c>
      <c r="AM524" s="131" t="str">
        <f ca="1">IFERROR(OFFSET(Camp_List[P_Code],MATCH(Data_NFI_t[[#This Row],[Camp Name]],Camp_List[Camp Name],0)-1,0,1,1),"")</f>
        <v/>
      </c>
      <c r="AN524" s="513" t="str">
        <f ca="1">IFERROR(OFFSET(Camp_List[Status],MATCH(Data_NFI_t[[#This Row],[Camp Name]],Camp_List[Camp Name],0)-1,0,1,1),"")</f>
        <v/>
      </c>
      <c r="AO524" s="131"/>
    </row>
    <row r="525" spans="1:41" s="789" customFormat="1" ht="19.5" customHeight="1" x14ac:dyDescent="0.25">
      <c r="A525" s="242" t="str">
        <f t="shared" si="11"/>
        <v/>
      </c>
      <c r="B525" s="522">
        <f>YEAR(Data_NFI_t[[#This Row],[Distribution Date]])</f>
        <v>1900</v>
      </c>
      <c r="C525" s="913"/>
      <c r="D525" s="489"/>
      <c r="E525" s="488"/>
      <c r="F525" s="489"/>
      <c r="G525" s="790"/>
      <c r="H525" s="790"/>
      <c r="I525" s="790"/>
      <c r="J525" s="51"/>
      <c r="K525" s="51"/>
      <c r="L525" s="119"/>
      <c r="M525" s="119"/>
      <c r="N525" s="119"/>
      <c r="O525" s="119"/>
      <c r="P525" s="119"/>
      <c r="Q525" s="119"/>
      <c r="R525" s="512"/>
      <c r="S525" s="119"/>
      <c r="T525" s="119"/>
      <c r="U525" s="119"/>
      <c r="V525" s="119"/>
      <c r="W525" s="119"/>
      <c r="X525" s="131">
        <f>IF(NFI_Expiration=1,IF($A525&lt;VLOOKUP(I$5,NFI,5,0),1,0)*Data_NFI_t[[#This Row],[Hygiene Kit]],0)</f>
        <v>0</v>
      </c>
      <c r="Y525" s="131">
        <f>IF(NFI_Expiration=1,IF($A525&lt;VLOOKUP(J$5,NFI,5,0),1,0)*Data_NFI_t[[#This Row],[NFI Core Kit]],0)</f>
        <v>0</v>
      </c>
      <c r="Z525" s="112">
        <f>IF(NFI_Expiration=1,IF($A525&lt;VLOOKUP(K$5,NFI,5,0),1,0)*Data_NFI_t[[#This Row],[Sanitary Kit]],0)</f>
        <v>0</v>
      </c>
      <c r="AA525" s="112">
        <f>IF(NFI_Expiration=1,IF($A525&lt;VLOOKUP(L$5,NFI,5,0),1,0)*Data_NFI_t[[#This Row],[Mosquito net]],0)</f>
        <v>0</v>
      </c>
      <c r="AB525" s="112">
        <f>IF(NFI_Expiration=1,IF($A525&lt;VLOOKUP(M$5,NFI,5,0),1,0)*Data_NFI_t[[#This Row],[Tarpaulin]],0)</f>
        <v>0</v>
      </c>
      <c r="AC525" s="112">
        <f>IF(NFI_Expiration=1,IF($A525&lt;VLOOKUP(N$5,NFI,5,0),1,0)*Data_NFI_t[[#This Row],[Blanket]],0)</f>
        <v>0</v>
      </c>
      <c r="AD525" s="112">
        <f>IF(NFI_Expiration=1,IF($A525&lt;VLOOKUP(O$5,NFI,5,0),1,0)*Data_NFI_t[[#This Row],[Kitchen Set]],0)</f>
        <v>0</v>
      </c>
      <c r="AE525" s="112">
        <f>IF(NFI_Expiration=1,IF($A525&lt;VLOOKUP(P$5,NFI,5,0),1,0)*Data_NFI_t[[#This Row],[Complementary Kit]],0)</f>
        <v>0</v>
      </c>
      <c r="AF525" s="112">
        <f>IF(NFI_Expiration=1,IF($A525&lt;VLOOKUP(Q$5,NFI,5,0),1,0)*Data_NFI_t[[#This Row],[Plastic Bucket]],0)</f>
        <v>0</v>
      </c>
      <c r="AG525" s="131">
        <f>IF(NFI_Expiration=1,IF($A525&lt;VLOOKUP(R$5,NFI,5,0),1,0)*Data_NFI_t[[#This Row],[Jerry Can]],0)</f>
        <v>0</v>
      </c>
      <c r="AH525" s="131">
        <f>IF(NFI_Expiration=1,IF($A525&lt;VLOOKUP(S$5,NFI,5,0),1,0)*Data_NFI_t[[#This Row],[Plastic Mat]],0)*IF(Data_NFI_t[[#This Row],[Distribution Date]]&gt;"01-06-2015",1,2.5)</f>
        <v>0</v>
      </c>
      <c r="AI525" s="901">
        <f>IF(NFI_Expiration=1,IF($A525&lt;VLOOKUP(T$5,NFI,5,0),1,0)*Data_NFI_t[[#This Row],[Adult Clothes]],0)</f>
        <v>0</v>
      </c>
      <c r="AJ525" s="131">
        <f>IF(NFI_Expiration=1,IF($A525&lt;VLOOKUP(U$5,NFI,5,0),1,0)*Data_NFI_t[[#This Row],[Children Clothes]],0)</f>
        <v>0</v>
      </c>
      <c r="AK525" s="131">
        <f>IF(NFI_Expiration=1,IF($A525&lt;VLOOKUP(V$5,NFI,5,0),1,0)*Data_NFI_t[[#This Row],[Sewing Kit]],0)</f>
        <v>0</v>
      </c>
      <c r="AL525" s="901">
        <f>IF(NFI_Expiration=1,IF($A525&lt;VLOOKUP(V$5,NFI,5,0),1,0)*Data_NFI_t[[#This Row],[Solar Lantern]],0)</f>
        <v>0</v>
      </c>
      <c r="AM525" s="131" t="str">
        <f ca="1">IFERROR(OFFSET(Camp_List[P_Code],MATCH(Data_NFI_t[[#This Row],[Camp Name]],Camp_List[Camp Name],0)-1,0,1,1),"")</f>
        <v/>
      </c>
      <c r="AN525" s="513" t="str">
        <f ca="1">IFERROR(OFFSET(Camp_List[Status],MATCH(Data_NFI_t[[#This Row],[Camp Name]],Camp_List[Camp Name],0)-1,0,1,1),"")</f>
        <v/>
      </c>
      <c r="AO525" s="131"/>
    </row>
    <row r="526" spans="1:41" s="789" customFormat="1" ht="19.5" customHeight="1" x14ac:dyDescent="0.25">
      <c r="A526" s="242" t="str">
        <f t="shared" si="11"/>
        <v/>
      </c>
      <c r="B526" s="522">
        <f>YEAR(Data_NFI_t[[#This Row],[Distribution Date]])</f>
        <v>1900</v>
      </c>
      <c r="C526" s="913"/>
      <c r="D526" s="489"/>
      <c r="E526" s="488"/>
      <c r="F526" s="489"/>
      <c r="G526" s="790"/>
      <c r="H526" s="790"/>
      <c r="I526" s="790"/>
      <c r="J526" s="51"/>
      <c r="K526" s="51"/>
      <c r="L526" s="119"/>
      <c r="M526" s="119"/>
      <c r="N526" s="119"/>
      <c r="O526" s="119"/>
      <c r="P526" s="119"/>
      <c r="Q526" s="119"/>
      <c r="R526" s="512"/>
      <c r="S526" s="119"/>
      <c r="T526" s="119"/>
      <c r="U526" s="119"/>
      <c r="V526" s="119"/>
      <c r="W526" s="119"/>
      <c r="X526" s="131">
        <f>IF(NFI_Expiration=1,IF($A526&lt;VLOOKUP(I$5,NFI,5,0),1,0)*Data_NFI_t[[#This Row],[Hygiene Kit]],0)</f>
        <v>0</v>
      </c>
      <c r="Y526" s="131">
        <f>IF(NFI_Expiration=1,IF($A526&lt;VLOOKUP(J$5,NFI,5,0),1,0)*Data_NFI_t[[#This Row],[NFI Core Kit]],0)</f>
        <v>0</v>
      </c>
      <c r="Z526" s="112">
        <f>IF(NFI_Expiration=1,IF($A526&lt;VLOOKUP(K$5,NFI,5,0),1,0)*Data_NFI_t[[#This Row],[Sanitary Kit]],0)</f>
        <v>0</v>
      </c>
      <c r="AA526" s="112">
        <f>IF(NFI_Expiration=1,IF($A526&lt;VLOOKUP(L$5,NFI,5,0),1,0)*Data_NFI_t[[#This Row],[Mosquito net]],0)</f>
        <v>0</v>
      </c>
      <c r="AB526" s="112">
        <f>IF(NFI_Expiration=1,IF($A526&lt;VLOOKUP(M$5,NFI,5,0),1,0)*Data_NFI_t[[#This Row],[Tarpaulin]],0)</f>
        <v>0</v>
      </c>
      <c r="AC526" s="112">
        <f>IF(NFI_Expiration=1,IF($A526&lt;VLOOKUP(N$5,NFI,5,0),1,0)*Data_NFI_t[[#This Row],[Blanket]],0)</f>
        <v>0</v>
      </c>
      <c r="AD526" s="112">
        <f>IF(NFI_Expiration=1,IF($A526&lt;VLOOKUP(O$5,NFI,5,0),1,0)*Data_NFI_t[[#This Row],[Kitchen Set]],0)</f>
        <v>0</v>
      </c>
      <c r="AE526" s="112">
        <f>IF(NFI_Expiration=1,IF($A526&lt;VLOOKUP(P$5,NFI,5,0),1,0)*Data_NFI_t[[#This Row],[Complementary Kit]],0)</f>
        <v>0</v>
      </c>
      <c r="AF526" s="112">
        <f>IF(NFI_Expiration=1,IF($A526&lt;VLOOKUP(Q$5,NFI,5,0),1,0)*Data_NFI_t[[#This Row],[Plastic Bucket]],0)</f>
        <v>0</v>
      </c>
      <c r="AG526" s="131">
        <f>IF(NFI_Expiration=1,IF($A526&lt;VLOOKUP(R$5,NFI,5,0),1,0)*Data_NFI_t[[#This Row],[Jerry Can]],0)</f>
        <v>0</v>
      </c>
      <c r="AH526" s="131">
        <f>IF(NFI_Expiration=1,IF($A526&lt;VLOOKUP(S$5,NFI,5,0),1,0)*Data_NFI_t[[#This Row],[Plastic Mat]],0)*IF(Data_NFI_t[[#This Row],[Distribution Date]]&gt;"01-06-2015",1,2.5)</f>
        <v>0</v>
      </c>
      <c r="AI526" s="901">
        <f>IF(NFI_Expiration=1,IF($A526&lt;VLOOKUP(T$5,NFI,5,0),1,0)*Data_NFI_t[[#This Row],[Adult Clothes]],0)</f>
        <v>0</v>
      </c>
      <c r="AJ526" s="131">
        <f>IF(NFI_Expiration=1,IF($A526&lt;VLOOKUP(U$5,NFI,5,0),1,0)*Data_NFI_t[[#This Row],[Children Clothes]],0)</f>
        <v>0</v>
      </c>
      <c r="AK526" s="131">
        <f>IF(NFI_Expiration=1,IF($A526&lt;VLOOKUP(V$5,NFI,5,0),1,0)*Data_NFI_t[[#This Row],[Sewing Kit]],0)</f>
        <v>0</v>
      </c>
      <c r="AL526" s="901">
        <f>IF(NFI_Expiration=1,IF($A526&lt;VLOOKUP(V$5,NFI,5,0),1,0)*Data_NFI_t[[#This Row],[Solar Lantern]],0)</f>
        <v>0</v>
      </c>
      <c r="AM526" s="131" t="str">
        <f ca="1">IFERROR(OFFSET(Camp_List[P_Code],MATCH(Data_NFI_t[[#This Row],[Camp Name]],Camp_List[Camp Name],0)-1,0,1,1),"")</f>
        <v/>
      </c>
      <c r="AN526" s="513" t="str">
        <f ca="1">IFERROR(OFFSET(Camp_List[Status],MATCH(Data_NFI_t[[#This Row],[Camp Name]],Camp_List[Camp Name],0)-1,0,1,1),"")</f>
        <v/>
      </c>
      <c r="AO526" s="131"/>
    </row>
    <row r="527" spans="1:41" s="789" customFormat="1" ht="19.5" customHeight="1" x14ac:dyDescent="0.25">
      <c r="A527" s="242" t="str">
        <f t="shared" si="11"/>
        <v/>
      </c>
      <c r="B527" s="522">
        <f>YEAR(Data_NFI_t[[#This Row],[Distribution Date]])</f>
        <v>1900</v>
      </c>
      <c r="C527" s="913"/>
      <c r="D527" s="489"/>
      <c r="E527" s="488"/>
      <c r="F527" s="489"/>
      <c r="G527" s="790"/>
      <c r="H527" s="790"/>
      <c r="I527" s="790"/>
      <c r="J527" s="51"/>
      <c r="K527" s="51"/>
      <c r="L527" s="119"/>
      <c r="M527" s="119"/>
      <c r="N527" s="119"/>
      <c r="O527" s="119"/>
      <c r="P527" s="119"/>
      <c r="Q527" s="119"/>
      <c r="R527" s="512"/>
      <c r="S527" s="119"/>
      <c r="T527" s="119"/>
      <c r="U527" s="119"/>
      <c r="V527" s="119"/>
      <c r="W527" s="119"/>
      <c r="X527" s="131">
        <f>IF(NFI_Expiration=1,IF($A527&lt;VLOOKUP(I$5,NFI,5,0),1,0)*Data_NFI_t[[#This Row],[Hygiene Kit]],0)</f>
        <v>0</v>
      </c>
      <c r="Y527" s="131">
        <f>IF(NFI_Expiration=1,IF($A527&lt;VLOOKUP(J$5,NFI,5,0),1,0)*Data_NFI_t[[#This Row],[NFI Core Kit]],0)</f>
        <v>0</v>
      </c>
      <c r="Z527" s="112">
        <f>IF(NFI_Expiration=1,IF($A527&lt;VLOOKUP(K$5,NFI,5,0),1,0)*Data_NFI_t[[#This Row],[Sanitary Kit]],0)</f>
        <v>0</v>
      </c>
      <c r="AA527" s="112">
        <f>IF(NFI_Expiration=1,IF($A527&lt;VLOOKUP(L$5,NFI,5,0),1,0)*Data_NFI_t[[#This Row],[Mosquito net]],0)</f>
        <v>0</v>
      </c>
      <c r="AB527" s="112">
        <f>IF(NFI_Expiration=1,IF($A527&lt;VLOOKUP(M$5,NFI,5,0),1,0)*Data_NFI_t[[#This Row],[Tarpaulin]],0)</f>
        <v>0</v>
      </c>
      <c r="AC527" s="112">
        <f>IF(NFI_Expiration=1,IF($A527&lt;VLOOKUP(N$5,NFI,5,0),1,0)*Data_NFI_t[[#This Row],[Blanket]],0)</f>
        <v>0</v>
      </c>
      <c r="AD527" s="112">
        <f>IF(NFI_Expiration=1,IF($A527&lt;VLOOKUP(O$5,NFI,5,0),1,0)*Data_NFI_t[[#This Row],[Kitchen Set]],0)</f>
        <v>0</v>
      </c>
      <c r="AE527" s="112">
        <f>IF(NFI_Expiration=1,IF($A527&lt;VLOOKUP(P$5,NFI,5,0),1,0)*Data_NFI_t[[#This Row],[Complementary Kit]],0)</f>
        <v>0</v>
      </c>
      <c r="AF527" s="112">
        <f>IF(NFI_Expiration=1,IF($A527&lt;VLOOKUP(Q$5,NFI,5,0),1,0)*Data_NFI_t[[#This Row],[Plastic Bucket]],0)</f>
        <v>0</v>
      </c>
      <c r="AG527" s="131">
        <f>IF(NFI_Expiration=1,IF($A527&lt;VLOOKUP(R$5,NFI,5,0),1,0)*Data_NFI_t[[#This Row],[Jerry Can]],0)</f>
        <v>0</v>
      </c>
      <c r="AH527" s="131">
        <f>IF(NFI_Expiration=1,IF($A527&lt;VLOOKUP(S$5,NFI,5,0),1,0)*Data_NFI_t[[#This Row],[Plastic Mat]],0)*IF(Data_NFI_t[[#This Row],[Distribution Date]]&gt;"01-06-2015",1,2.5)</f>
        <v>0</v>
      </c>
      <c r="AI527" s="901">
        <f>IF(NFI_Expiration=1,IF($A527&lt;VLOOKUP(T$5,NFI,5,0),1,0)*Data_NFI_t[[#This Row],[Adult Clothes]],0)</f>
        <v>0</v>
      </c>
      <c r="AJ527" s="131">
        <f>IF(NFI_Expiration=1,IF($A527&lt;VLOOKUP(U$5,NFI,5,0),1,0)*Data_NFI_t[[#This Row],[Children Clothes]],0)</f>
        <v>0</v>
      </c>
      <c r="AK527" s="131">
        <f>IF(NFI_Expiration=1,IF($A527&lt;VLOOKUP(V$5,NFI,5,0),1,0)*Data_NFI_t[[#This Row],[Sewing Kit]],0)</f>
        <v>0</v>
      </c>
      <c r="AL527" s="901">
        <f>IF(NFI_Expiration=1,IF($A527&lt;VLOOKUP(V$5,NFI,5,0),1,0)*Data_NFI_t[[#This Row],[Solar Lantern]],0)</f>
        <v>0</v>
      </c>
      <c r="AM527" s="131" t="str">
        <f ca="1">IFERROR(OFFSET(Camp_List[P_Code],MATCH(Data_NFI_t[[#This Row],[Camp Name]],Camp_List[Camp Name],0)-1,0,1,1),"")</f>
        <v/>
      </c>
      <c r="AN527" s="513" t="str">
        <f ca="1">IFERROR(OFFSET(Camp_List[Status],MATCH(Data_NFI_t[[#This Row],[Camp Name]],Camp_List[Camp Name],0)-1,0,1,1),"")</f>
        <v/>
      </c>
      <c r="AO527" s="131"/>
    </row>
    <row r="528" spans="1:41" s="789" customFormat="1" ht="19.5" customHeight="1" x14ac:dyDescent="0.25">
      <c r="A528" s="242" t="str">
        <f t="shared" si="11"/>
        <v/>
      </c>
      <c r="B528" s="522">
        <f>YEAR(Data_NFI_t[[#This Row],[Distribution Date]])</f>
        <v>1900</v>
      </c>
      <c r="C528" s="913"/>
      <c r="D528" s="489"/>
      <c r="E528" s="488"/>
      <c r="F528" s="489"/>
      <c r="G528" s="790"/>
      <c r="H528" s="790"/>
      <c r="I528" s="790"/>
      <c r="J528" s="51"/>
      <c r="K528" s="51"/>
      <c r="L528" s="119"/>
      <c r="M528" s="119"/>
      <c r="N528" s="119"/>
      <c r="O528" s="119"/>
      <c r="P528" s="119"/>
      <c r="Q528" s="119"/>
      <c r="R528" s="512"/>
      <c r="S528" s="119"/>
      <c r="T528" s="119"/>
      <c r="U528" s="119"/>
      <c r="V528" s="119"/>
      <c r="W528" s="119"/>
      <c r="X528" s="131">
        <f>IF(NFI_Expiration=1,IF($A528&lt;VLOOKUP(I$5,NFI,5,0),1,0)*Data_NFI_t[[#This Row],[Hygiene Kit]],0)</f>
        <v>0</v>
      </c>
      <c r="Y528" s="131">
        <f>IF(NFI_Expiration=1,IF($A528&lt;VLOOKUP(J$5,NFI,5,0),1,0)*Data_NFI_t[[#This Row],[NFI Core Kit]],0)</f>
        <v>0</v>
      </c>
      <c r="Z528" s="112">
        <f>IF(NFI_Expiration=1,IF($A528&lt;VLOOKUP(K$5,NFI,5,0),1,0)*Data_NFI_t[[#This Row],[Sanitary Kit]],0)</f>
        <v>0</v>
      </c>
      <c r="AA528" s="112">
        <f>IF(NFI_Expiration=1,IF($A528&lt;VLOOKUP(L$5,NFI,5,0),1,0)*Data_NFI_t[[#This Row],[Mosquito net]],0)</f>
        <v>0</v>
      </c>
      <c r="AB528" s="112">
        <f>IF(NFI_Expiration=1,IF($A528&lt;VLOOKUP(M$5,NFI,5,0),1,0)*Data_NFI_t[[#This Row],[Tarpaulin]],0)</f>
        <v>0</v>
      </c>
      <c r="AC528" s="112">
        <f>IF(NFI_Expiration=1,IF($A528&lt;VLOOKUP(N$5,NFI,5,0),1,0)*Data_NFI_t[[#This Row],[Blanket]],0)</f>
        <v>0</v>
      </c>
      <c r="AD528" s="112">
        <f>IF(NFI_Expiration=1,IF($A528&lt;VLOOKUP(O$5,NFI,5,0),1,0)*Data_NFI_t[[#This Row],[Kitchen Set]],0)</f>
        <v>0</v>
      </c>
      <c r="AE528" s="112">
        <f>IF(NFI_Expiration=1,IF($A528&lt;VLOOKUP(P$5,NFI,5,0),1,0)*Data_NFI_t[[#This Row],[Complementary Kit]],0)</f>
        <v>0</v>
      </c>
      <c r="AF528" s="112">
        <f>IF(NFI_Expiration=1,IF($A528&lt;VLOOKUP(Q$5,NFI,5,0),1,0)*Data_NFI_t[[#This Row],[Plastic Bucket]],0)</f>
        <v>0</v>
      </c>
      <c r="AG528" s="131">
        <f>IF(NFI_Expiration=1,IF($A528&lt;VLOOKUP(R$5,NFI,5,0),1,0)*Data_NFI_t[[#This Row],[Jerry Can]],0)</f>
        <v>0</v>
      </c>
      <c r="AH528" s="131">
        <f>IF(NFI_Expiration=1,IF($A528&lt;VLOOKUP(S$5,NFI,5,0),1,0)*Data_NFI_t[[#This Row],[Plastic Mat]],0)*IF(Data_NFI_t[[#This Row],[Distribution Date]]&gt;"01-06-2015",1,2.5)</f>
        <v>0</v>
      </c>
      <c r="AI528" s="901">
        <f>IF(NFI_Expiration=1,IF($A528&lt;VLOOKUP(T$5,NFI,5,0),1,0)*Data_NFI_t[[#This Row],[Adult Clothes]],0)</f>
        <v>0</v>
      </c>
      <c r="AJ528" s="131">
        <f>IF(NFI_Expiration=1,IF($A528&lt;VLOOKUP(U$5,NFI,5,0),1,0)*Data_NFI_t[[#This Row],[Children Clothes]],0)</f>
        <v>0</v>
      </c>
      <c r="AK528" s="131">
        <f>IF(NFI_Expiration=1,IF($A528&lt;VLOOKUP(V$5,NFI,5,0),1,0)*Data_NFI_t[[#This Row],[Sewing Kit]],0)</f>
        <v>0</v>
      </c>
      <c r="AL528" s="901">
        <f>IF(NFI_Expiration=1,IF($A528&lt;VLOOKUP(V$5,NFI,5,0),1,0)*Data_NFI_t[[#This Row],[Solar Lantern]],0)</f>
        <v>0</v>
      </c>
      <c r="AM528" s="131" t="str">
        <f ca="1">IFERROR(OFFSET(Camp_List[P_Code],MATCH(Data_NFI_t[[#This Row],[Camp Name]],Camp_List[Camp Name],0)-1,0,1,1),"")</f>
        <v/>
      </c>
      <c r="AN528" s="513" t="str">
        <f ca="1">IFERROR(OFFSET(Camp_List[Status],MATCH(Data_NFI_t[[#This Row],[Camp Name]],Camp_List[Camp Name],0)-1,0,1,1),"")</f>
        <v/>
      </c>
      <c r="AO528" s="131"/>
    </row>
    <row r="529" spans="1:41" s="789" customFormat="1" ht="19.5" customHeight="1" x14ac:dyDescent="0.25">
      <c r="A529" s="242" t="str">
        <f t="shared" si="11"/>
        <v/>
      </c>
      <c r="B529" s="522">
        <f>YEAR(Data_NFI_t[[#This Row],[Distribution Date]])</f>
        <v>1900</v>
      </c>
      <c r="C529" s="913"/>
      <c r="D529" s="489"/>
      <c r="E529" s="488"/>
      <c r="F529" s="489"/>
      <c r="G529" s="790"/>
      <c r="H529" s="790"/>
      <c r="I529" s="790"/>
      <c r="J529" s="51"/>
      <c r="K529" s="51"/>
      <c r="L529" s="119"/>
      <c r="M529" s="119"/>
      <c r="N529" s="119"/>
      <c r="O529" s="119"/>
      <c r="P529" s="119"/>
      <c r="Q529" s="119"/>
      <c r="R529" s="512"/>
      <c r="S529" s="119"/>
      <c r="T529" s="119"/>
      <c r="U529" s="119"/>
      <c r="V529" s="119"/>
      <c r="W529" s="119"/>
      <c r="X529" s="131">
        <f>IF(NFI_Expiration=1,IF($A529&lt;VLOOKUP(I$5,NFI,5,0),1,0)*Data_NFI_t[[#This Row],[Hygiene Kit]],0)</f>
        <v>0</v>
      </c>
      <c r="Y529" s="131">
        <f>IF(NFI_Expiration=1,IF($A529&lt;VLOOKUP(J$5,NFI,5,0),1,0)*Data_NFI_t[[#This Row],[NFI Core Kit]],0)</f>
        <v>0</v>
      </c>
      <c r="Z529" s="112">
        <f>IF(NFI_Expiration=1,IF($A529&lt;VLOOKUP(K$5,NFI,5,0),1,0)*Data_NFI_t[[#This Row],[Sanitary Kit]],0)</f>
        <v>0</v>
      </c>
      <c r="AA529" s="112">
        <f>IF(NFI_Expiration=1,IF($A529&lt;VLOOKUP(L$5,NFI,5,0),1,0)*Data_NFI_t[[#This Row],[Mosquito net]],0)</f>
        <v>0</v>
      </c>
      <c r="AB529" s="112">
        <f>IF(NFI_Expiration=1,IF($A529&lt;VLOOKUP(M$5,NFI,5,0),1,0)*Data_NFI_t[[#This Row],[Tarpaulin]],0)</f>
        <v>0</v>
      </c>
      <c r="AC529" s="112">
        <f>IF(NFI_Expiration=1,IF($A529&lt;VLOOKUP(N$5,NFI,5,0),1,0)*Data_NFI_t[[#This Row],[Blanket]],0)</f>
        <v>0</v>
      </c>
      <c r="AD529" s="112">
        <f>IF(NFI_Expiration=1,IF($A529&lt;VLOOKUP(O$5,NFI,5,0),1,0)*Data_NFI_t[[#This Row],[Kitchen Set]],0)</f>
        <v>0</v>
      </c>
      <c r="AE529" s="112">
        <f>IF(NFI_Expiration=1,IF($A529&lt;VLOOKUP(P$5,NFI,5,0),1,0)*Data_NFI_t[[#This Row],[Complementary Kit]],0)</f>
        <v>0</v>
      </c>
      <c r="AF529" s="112">
        <f>IF(NFI_Expiration=1,IF($A529&lt;VLOOKUP(Q$5,NFI,5,0),1,0)*Data_NFI_t[[#This Row],[Plastic Bucket]],0)</f>
        <v>0</v>
      </c>
      <c r="AG529" s="131">
        <f>IF(NFI_Expiration=1,IF($A529&lt;VLOOKUP(R$5,NFI,5,0),1,0)*Data_NFI_t[[#This Row],[Jerry Can]],0)</f>
        <v>0</v>
      </c>
      <c r="AH529" s="131">
        <f>IF(NFI_Expiration=1,IF($A529&lt;VLOOKUP(S$5,NFI,5,0),1,0)*Data_NFI_t[[#This Row],[Plastic Mat]],0)*IF(Data_NFI_t[[#This Row],[Distribution Date]]&gt;"01-06-2015",1,2.5)</f>
        <v>0</v>
      </c>
      <c r="AI529" s="901">
        <f>IF(NFI_Expiration=1,IF($A529&lt;VLOOKUP(T$5,NFI,5,0),1,0)*Data_NFI_t[[#This Row],[Adult Clothes]],0)</f>
        <v>0</v>
      </c>
      <c r="AJ529" s="131">
        <f>IF(NFI_Expiration=1,IF($A529&lt;VLOOKUP(U$5,NFI,5,0),1,0)*Data_NFI_t[[#This Row],[Children Clothes]],0)</f>
        <v>0</v>
      </c>
      <c r="AK529" s="131">
        <f>IF(NFI_Expiration=1,IF($A529&lt;VLOOKUP(V$5,NFI,5,0),1,0)*Data_NFI_t[[#This Row],[Sewing Kit]],0)</f>
        <v>0</v>
      </c>
      <c r="AL529" s="901">
        <f>IF(NFI_Expiration=1,IF($A529&lt;VLOOKUP(V$5,NFI,5,0),1,0)*Data_NFI_t[[#This Row],[Solar Lantern]],0)</f>
        <v>0</v>
      </c>
      <c r="AM529" s="131" t="str">
        <f ca="1">IFERROR(OFFSET(Camp_List[P_Code],MATCH(Data_NFI_t[[#This Row],[Camp Name]],Camp_List[Camp Name],0)-1,0,1,1),"")</f>
        <v/>
      </c>
      <c r="AN529" s="513" t="str">
        <f ca="1">IFERROR(OFFSET(Camp_List[Status],MATCH(Data_NFI_t[[#This Row],[Camp Name]],Camp_List[Camp Name],0)-1,0,1,1),"")</f>
        <v/>
      </c>
      <c r="AO529" s="131"/>
    </row>
    <row r="530" spans="1:41" s="789" customFormat="1" ht="19.5" customHeight="1" x14ac:dyDescent="0.25">
      <c r="A530" s="242" t="str">
        <f t="shared" si="11"/>
        <v/>
      </c>
      <c r="B530" s="522">
        <f>YEAR(Data_NFI_t[[#This Row],[Distribution Date]])</f>
        <v>1900</v>
      </c>
      <c r="C530" s="913"/>
      <c r="D530" s="489"/>
      <c r="E530" s="488"/>
      <c r="F530" s="489"/>
      <c r="G530" s="790"/>
      <c r="H530" s="790"/>
      <c r="I530" s="790"/>
      <c r="J530" s="51"/>
      <c r="K530" s="51"/>
      <c r="L530" s="119"/>
      <c r="M530" s="119"/>
      <c r="N530" s="119"/>
      <c r="O530" s="119"/>
      <c r="P530" s="119"/>
      <c r="Q530" s="119"/>
      <c r="R530" s="512"/>
      <c r="S530" s="119"/>
      <c r="T530" s="119"/>
      <c r="U530" s="119"/>
      <c r="V530" s="119"/>
      <c r="W530" s="119"/>
      <c r="X530" s="131">
        <f>IF(NFI_Expiration=1,IF($A530&lt;VLOOKUP(I$5,NFI,5,0),1,0)*Data_NFI_t[[#This Row],[Hygiene Kit]],0)</f>
        <v>0</v>
      </c>
      <c r="Y530" s="131">
        <f>IF(NFI_Expiration=1,IF($A530&lt;VLOOKUP(J$5,NFI,5,0),1,0)*Data_NFI_t[[#This Row],[NFI Core Kit]],0)</f>
        <v>0</v>
      </c>
      <c r="Z530" s="112">
        <f>IF(NFI_Expiration=1,IF($A530&lt;VLOOKUP(K$5,NFI,5,0),1,0)*Data_NFI_t[[#This Row],[Sanitary Kit]],0)</f>
        <v>0</v>
      </c>
      <c r="AA530" s="112">
        <f>IF(NFI_Expiration=1,IF($A530&lt;VLOOKUP(L$5,NFI,5,0),1,0)*Data_NFI_t[[#This Row],[Mosquito net]],0)</f>
        <v>0</v>
      </c>
      <c r="AB530" s="112">
        <f>IF(NFI_Expiration=1,IF($A530&lt;VLOOKUP(M$5,NFI,5,0),1,0)*Data_NFI_t[[#This Row],[Tarpaulin]],0)</f>
        <v>0</v>
      </c>
      <c r="AC530" s="112">
        <f>IF(NFI_Expiration=1,IF($A530&lt;VLOOKUP(N$5,NFI,5,0),1,0)*Data_NFI_t[[#This Row],[Blanket]],0)</f>
        <v>0</v>
      </c>
      <c r="AD530" s="112">
        <f>IF(NFI_Expiration=1,IF($A530&lt;VLOOKUP(O$5,NFI,5,0),1,0)*Data_NFI_t[[#This Row],[Kitchen Set]],0)</f>
        <v>0</v>
      </c>
      <c r="AE530" s="112">
        <f>IF(NFI_Expiration=1,IF($A530&lt;VLOOKUP(P$5,NFI,5,0),1,0)*Data_NFI_t[[#This Row],[Complementary Kit]],0)</f>
        <v>0</v>
      </c>
      <c r="AF530" s="112">
        <f>IF(NFI_Expiration=1,IF($A530&lt;VLOOKUP(Q$5,NFI,5,0),1,0)*Data_NFI_t[[#This Row],[Plastic Bucket]],0)</f>
        <v>0</v>
      </c>
      <c r="AG530" s="131">
        <f>IF(NFI_Expiration=1,IF($A530&lt;VLOOKUP(R$5,NFI,5,0),1,0)*Data_NFI_t[[#This Row],[Jerry Can]],0)</f>
        <v>0</v>
      </c>
      <c r="AH530" s="131">
        <f>IF(NFI_Expiration=1,IF($A530&lt;VLOOKUP(S$5,NFI,5,0),1,0)*Data_NFI_t[[#This Row],[Plastic Mat]],0)*IF(Data_NFI_t[[#This Row],[Distribution Date]]&gt;"01-06-2015",1,2.5)</f>
        <v>0</v>
      </c>
      <c r="AI530" s="901">
        <f>IF(NFI_Expiration=1,IF($A530&lt;VLOOKUP(T$5,NFI,5,0),1,0)*Data_NFI_t[[#This Row],[Adult Clothes]],0)</f>
        <v>0</v>
      </c>
      <c r="AJ530" s="131">
        <f>IF(NFI_Expiration=1,IF($A530&lt;VLOOKUP(U$5,NFI,5,0),1,0)*Data_NFI_t[[#This Row],[Children Clothes]],0)</f>
        <v>0</v>
      </c>
      <c r="AK530" s="131">
        <f>IF(NFI_Expiration=1,IF($A530&lt;VLOOKUP(V$5,NFI,5,0),1,0)*Data_NFI_t[[#This Row],[Sewing Kit]],0)</f>
        <v>0</v>
      </c>
      <c r="AL530" s="901">
        <f>IF(NFI_Expiration=1,IF($A530&lt;VLOOKUP(V$5,NFI,5,0),1,0)*Data_NFI_t[[#This Row],[Solar Lantern]],0)</f>
        <v>0</v>
      </c>
      <c r="AM530" s="131" t="str">
        <f ca="1">IFERROR(OFFSET(Camp_List[P_Code],MATCH(Data_NFI_t[[#This Row],[Camp Name]],Camp_List[Camp Name],0)-1,0,1,1),"")</f>
        <v/>
      </c>
      <c r="AN530" s="513" t="str">
        <f ca="1">IFERROR(OFFSET(Camp_List[Status],MATCH(Data_NFI_t[[#This Row],[Camp Name]],Camp_List[Camp Name],0)-1,0,1,1),"")</f>
        <v/>
      </c>
      <c r="AO530" s="131"/>
    </row>
    <row r="531" spans="1:41" s="789" customFormat="1" ht="19.5" customHeight="1" x14ac:dyDescent="0.25">
      <c r="A531" s="242" t="str">
        <f t="shared" si="11"/>
        <v/>
      </c>
      <c r="B531" s="522">
        <f>YEAR(Data_NFI_t[[#This Row],[Distribution Date]])</f>
        <v>1900</v>
      </c>
      <c r="C531" s="913"/>
      <c r="D531" s="489"/>
      <c r="E531" s="488"/>
      <c r="F531" s="489"/>
      <c r="G531" s="790"/>
      <c r="H531" s="790"/>
      <c r="I531" s="790"/>
      <c r="J531" s="51"/>
      <c r="K531" s="51"/>
      <c r="L531" s="119"/>
      <c r="M531" s="119"/>
      <c r="N531" s="119"/>
      <c r="O531" s="119"/>
      <c r="P531" s="119"/>
      <c r="Q531" s="119"/>
      <c r="R531" s="512"/>
      <c r="S531" s="119"/>
      <c r="T531" s="119"/>
      <c r="U531" s="119"/>
      <c r="V531" s="119"/>
      <c r="W531" s="119"/>
      <c r="X531" s="131">
        <f>IF(NFI_Expiration=1,IF($A531&lt;VLOOKUP(I$5,NFI,5,0),1,0)*Data_NFI_t[[#This Row],[Hygiene Kit]],0)</f>
        <v>0</v>
      </c>
      <c r="Y531" s="131">
        <f>IF(NFI_Expiration=1,IF($A531&lt;VLOOKUP(J$5,NFI,5,0),1,0)*Data_NFI_t[[#This Row],[NFI Core Kit]],0)</f>
        <v>0</v>
      </c>
      <c r="Z531" s="112">
        <f>IF(NFI_Expiration=1,IF($A531&lt;VLOOKUP(K$5,NFI,5,0),1,0)*Data_NFI_t[[#This Row],[Sanitary Kit]],0)</f>
        <v>0</v>
      </c>
      <c r="AA531" s="112">
        <f>IF(NFI_Expiration=1,IF($A531&lt;VLOOKUP(L$5,NFI,5,0),1,0)*Data_NFI_t[[#This Row],[Mosquito net]],0)</f>
        <v>0</v>
      </c>
      <c r="AB531" s="112">
        <f>IF(NFI_Expiration=1,IF($A531&lt;VLOOKUP(M$5,NFI,5,0),1,0)*Data_NFI_t[[#This Row],[Tarpaulin]],0)</f>
        <v>0</v>
      </c>
      <c r="AC531" s="112">
        <f>IF(NFI_Expiration=1,IF($A531&lt;VLOOKUP(N$5,NFI,5,0),1,0)*Data_NFI_t[[#This Row],[Blanket]],0)</f>
        <v>0</v>
      </c>
      <c r="AD531" s="112">
        <f>IF(NFI_Expiration=1,IF($A531&lt;VLOOKUP(O$5,NFI,5,0),1,0)*Data_NFI_t[[#This Row],[Kitchen Set]],0)</f>
        <v>0</v>
      </c>
      <c r="AE531" s="112">
        <f>IF(NFI_Expiration=1,IF($A531&lt;VLOOKUP(P$5,NFI,5,0),1,0)*Data_NFI_t[[#This Row],[Complementary Kit]],0)</f>
        <v>0</v>
      </c>
      <c r="AF531" s="112">
        <f>IF(NFI_Expiration=1,IF($A531&lt;VLOOKUP(Q$5,NFI,5,0),1,0)*Data_NFI_t[[#This Row],[Plastic Bucket]],0)</f>
        <v>0</v>
      </c>
      <c r="AG531" s="131">
        <f>IF(NFI_Expiration=1,IF($A531&lt;VLOOKUP(R$5,NFI,5,0),1,0)*Data_NFI_t[[#This Row],[Jerry Can]],0)</f>
        <v>0</v>
      </c>
      <c r="AH531" s="131">
        <f>IF(NFI_Expiration=1,IF($A531&lt;VLOOKUP(S$5,NFI,5,0),1,0)*Data_NFI_t[[#This Row],[Plastic Mat]],0)*IF(Data_NFI_t[[#This Row],[Distribution Date]]&gt;"01-06-2015",1,2.5)</f>
        <v>0</v>
      </c>
      <c r="AI531" s="901">
        <f>IF(NFI_Expiration=1,IF($A531&lt;VLOOKUP(T$5,NFI,5,0),1,0)*Data_NFI_t[[#This Row],[Adult Clothes]],0)</f>
        <v>0</v>
      </c>
      <c r="AJ531" s="131">
        <f>IF(NFI_Expiration=1,IF($A531&lt;VLOOKUP(U$5,NFI,5,0),1,0)*Data_NFI_t[[#This Row],[Children Clothes]],0)</f>
        <v>0</v>
      </c>
      <c r="AK531" s="131">
        <f>IF(NFI_Expiration=1,IF($A531&lt;VLOOKUP(V$5,NFI,5,0),1,0)*Data_NFI_t[[#This Row],[Sewing Kit]],0)</f>
        <v>0</v>
      </c>
      <c r="AL531" s="901">
        <f>IF(NFI_Expiration=1,IF($A531&lt;VLOOKUP(V$5,NFI,5,0),1,0)*Data_NFI_t[[#This Row],[Solar Lantern]],0)</f>
        <v>0</v>
      </c>
      <c r="AM531" s="131" t="str">
        <f ca="1">IFERROR(OFFSET(Camp_List[P_Code],MATCH(Data_NFI_t[[#This Row],[Camp Name]],Camp_List[Camp Name],0)-1,0,1,1),"")</f>
        <v/>
      </c>
      <c r="AN531" s="513" t="str">
        <f ca="1">IFERROR(OFFSET(Camp_List[Status],MATCH(Data_NFI_t[[#This Row],[Camp Name]],Camp_List[Camp Name],0)-1,0,1,1),"")</f>
        <v/>
      </c>
      <c r="AO531" s="131"/>
    </row>
    <row r="532" spans="1:41" s="789" customFormat="1" ht="19.5" customHeight="1" x14ac:dyDescent="0.25">
      <c r="A532" s="242" t="str">
        <f t="shared" si="11"/>
        <v/>
      </c>
      <c r="B532" s="522">
        <f>YEAR(Data_NFI_t[[#This Row],[Distribution Date]])</f>
        <v>1900</v>
      </c>
      <c r="C532" s="913"/>
      <c r="D532" s="489"/>
      <c r="E532" s="488"/>
      <c r="F532" s="489"/>
      <c r="G532" s="790"/>
      <c r="H532" s="790"/>
      <c r="I532" s="790"/>
      <c r="J532" s="51"/>
      <c r="K532" s="51"/>
      <c r="L532" s="119"/>
      <c r="M532" s="119"/>
      <c r="N532" s="119"/>
      <c r="O532" s="119"/>
      <c r="P532" s="119"/>
      <c r="Q532" s="119"/>
      <c r="R532" s="512"/>
      <c r="S532" s="119"/>
      <c r="T532" s="119"/>
      <c r="U532" s="119"/>
      <c r="V532" s="119"/>
      <c r="W532" s="119"/>
      <c r="X532" s="131">
        <f>IF(NFI_Expiration=1,IF($A532&lt;VLOOKUP(I$5,NFI,5,0),1,0)*Data_NFI_t[[#This Row],[Hygiene Kit]],0)</f>
        <v>0</v>
      </c>
      <c r="Y532" s="131">
        <f>IF(NFI_Expiration=1,IF($A532&lt;VLOOKUP(J$5,NFI,5,0),1,0)*Data_NFI_t[[#This Row],[NFI Core Kit]],0)</f>
        <v>0</v>
      </c>
      <c r="Z532" s="112">
        <f>IF(NFI_Expiration=1,IF($A532&lt;VLOOKUP(K$5,NFI,5,0),1,0)*Data_NFI_t[[#This Row],[Sanitary Kit]],0)</f>
        <v>0</v>
      </c>
      <c r="AA532" s="112">
        <f>IF(NFI_Expiration=1,IF($A532&lt;VLOOKUP(L$5,NFI,5,0),1,0)*Data_NFI_t[[#This Row],[Mosquito net]],0)</f>
        <v>0</v>
      </c>
      <c r="AB532" s="112">
        <f>IF(NFI_Expiration=1,IF($A532&lt;VLOOKUP(M$5,NFI,5,0),1,0)*Data_NFI_t[[#This Row],[Tarpaulin]],0)</f>
        <v>0</v>
      </c>
      <c r="AC532" s="112">
        <f>IF(NFI_Expiration=1,IF($A532&lt;VLOOKUP(N$5,NFI,5,0),1,0)*Data_NFI_t[[#This Row],[Blanket]],0)</f>
        <v>0</v>
      </c>
      <c r="AD532" s="112">
        <f>IF(NFI_Expiration=1,IF($A532&lt;VLOOKUP(O$5,NFI,5,0),1,0)*Data_NFI_t[[#This Row],[Kitchen Set]],0)</f>
        <v>0</v>
      </c>
      <c r="AE532" s="112">
        <f>IF(NFI_Expiration=1,IF($A532&lt;VLOOKUP(P$5,NFI,5,0),1,0)*Data_NFI_t[[#This Row],[Complementary Kit]],0)</f>
        <v>0</v>
      </c>
      <c r="AF532" s="112">
        <f>IF(NFI_Expiration=1,IF($A532&lt;VLOOKUP(Q$5,NFI,5,0),1,0)*Data_NFI_t[[#This Row],[Plastic Bucket]],0)</f>
        <v>0</v>
      </c>
      <c r="AG532" s="131">
        <f>IF(NFI_Expiration=1,IF($A532&lt;VLOOKUP(R$5,NFI,5,0),1,0)*Data_NFI_t[[#This Row],[Jerry Can]],0)</f>
        <v>0</v>
      </c>
      <c r="AH532" s="131">
        <f>IF(NFI_Expiration=1,IF($A532&lt;VLOOKUP(S$5,NFI,5,0),1,0)*Data_NFI_t[[#This Row],[Plastic Mat]],0)*IF(Data_NFI_t[[#This Row],[Distribution Date]]&gt;"01-06-2015",1,2.5)</f>
        <v>0</v>
      </c>
      <c r="AI532" s="901">
        <f>IF(NFI_Expiration=1,IF($A532&lt;VLOOKUP(T$5,NFI,5,0),1,0)*Data_NFI_t[[#This Row],[Adult Clothes]],0)</f>
        <v>0</v>
      </c>
      <c r="AJ532" s="131">
        <f>IF(NFI_Expiration=1,IF($A532&lt;VLOOKUP(U$5,NFI,5,0),1,0)*Data_NFI_t[[#This Row],[Children Clothes]],0)</f>
        <v>0</v>
      </c>
      <c r="AK532" s="131">
        <f>IF(NFI_Expiration=1,IF($A532&lt;VLOOKUP(V$5,NFI,5,0),1,0)*Data_NFI_t[[#This Row],[Sewing Kit]],0)</f>
        <v>0</v>
      </c>
      <c r="AL532" s="901">
        <f>IF(NFI_Expiration=1,IF($A532&lt;VLOOKUP(V$5,NFI,5,0),1,0)*Data_NFI_t[[#This Row],[Solar Lantern]],0)</f>
        <v>0</v>
      </c>
      <c r="AM532" s="131" t="str">
        <f ca="1">IFERROR(OFFSET(Camp_List[P_Code],MATCH(Data_NFI_t[[#This Row],[Camp Name]],Camp_List[Camp Name],0)-1,0,1,1),"")</f>
        <v/>
      </c>
      <c r="AN532" s="513" t="str">
        <f ca="1">IFERROR(OFFSET(Camp_List[Status],MATCH(Data_NFI_t[[#This Row],[Camp Name]],Camp_List[Camp Name],0)-1,0,1,1),"")</f>
        <v/>
      </c>
      <c r="AO532" s="131"/>
    </row>
    <row r="533" spans="1:41" s="789" customFormat="1" ht="19.5" customHeight="1" x14ac:dyDescent="0.25">
      <c r="A533" s="242" t="str">
        <f t="shared" si="11"/>
        <v/>
      </c>
      <c r="B533" s="522">
        <f>YEAR(Data_NFI_t[[#This Row],[Distribution Date]])</f>
        <v>1900</v>
      </c>
      <c r="C533" s="913"/>
      <c r="D533" s="489"/>
      <c r="E533" s="488"/>
      <c r="F533" s="489"/>
      <c r="G533" s="790"/>
      <c r="H533" s="790"/>
      <c r="I533" s="790"/>
      <c r="J533" s="51"/>
      <c r="K533" s="51"/>
      <c r="L533" s="119"/>
      <c r="M533" s="119"/>
      <c r="N533" s="119"/>
      <c r="O533" s="119"/>
      <c r="P533" s="119"/>
      <c r="Q533" s="119"/>
      <c r="R533" s="512"/>
      <c r="S533" s="119"/>
      <c r="T533" s="119"/>
      <c r="U533" s="119"/>
      <c r="V533" s="119"/>
      <c r="W533" s="119"/>
      <c r="X533" s="131">
        <f>IF(NFI_Expiration=1,IF($A533&lt;VLOOKUP(I$5,NFI,5,0),1,0)*Data_NFI_t[[#This Row],[Hygiene Kit]],0)</f>
        <v>0</v>
      </c>
      <c r="Y533" s="131">
        <f>IF(NFI_Expiration=1,IF($A533&lt;VLOOKUP(J$5,NFI,5,0),1,0)*Data_NFI_t[[#This Row],[NFI Core Kit]],0)</f>
        <v>0</v>
      </c>
      <c r="Z533" s="112">
        <f>IF(NFI_Expiration=1,IF($A533&lt;VLOOKUP(K$5,NFI,5,0),1,0)*Data_NFI_t[[#This Row],[Sanitary Kit]],0)</f>
        <v>0</v>
      </c>
      <c r="AA533" s="112">
        <f>IF(NFI_Expiration=1,IF($A533&lt;VLOOKUP(L$5,NFI,5,0),1,0)*Data_NFI_t[[#This Row],[Mosquito net]],0)</f>
        <v>0</v>
      </c>
      <c r="AB533" s="112">
        <f>IF(NFI_Expiration=1,IF($A533&lt;VLOOKUP(M$5,NFI,5,0),1,0)*Data_NFI_t[[#This Row],[Tarpaulin]],0)</f>
        <v>0</v>
      </c>
      <c r="AC533" s="112">
        <f>IF(NFI_Expiration=1,IF($A533&lt;VLOOKUP(N$5,NFI,5,0),1,0)*Data_NFI_t[[#This Row],[Blanket]],0)</f>
        <v>0</v>
      </c>
      <c r="AD533" s="112">
        <f>IF(NFI_Expiration=1,IF($A533&lt;VLOOKUP(O$5,NFI,5,0),1,0)*Data_NFI_t[[#This Row],[Kitchen Set]],0)</f>
        <v>0</v>
      </c>
      <c r="AE533" s="112">
        <f>IF(NFI_Expiration=1,IF($A533&lt;VLOOKUP(P$5,NFI,5,0),1,0)*Data_NFI_t[[#This Row],[Complementary Kit]],0)</f>
        <v>0</v>
      </c>
      <c r="AF533" s="112">
        <f>IF(NFI_Expiration=1,IF($A533&lt;VLOOKUP(Q$5,NFI,5,0),1,0)*Data_NFI_t[[#This Row],[Plastic Bucket]],0)</f>
        <v>0</v>
      </c>
      <c r="AG533" s="131">
        <f>IF(NFI_Expiration=1,IF($A533&lt;VLOOKUP(R$5,NFI,5,0),1,0)*Data_NFI_t[[#This Row],[Jerry Can]],0)</f>
        <v>0</v>
      </c>
      <c r="AH533" s="131">
        <f>IF(NFI_Expiration=1,IF($A533&lt;VLOOKUP(S$5,NFI,5,0),1,0)*Data_NFI_t[[#This Row],[Plastic Mat]],0)*IF(Data_NFI_t[[#This Row],[Distribution Date]]&gt;"01-06-2015",1,2.5)</f>
        <v>0</v>
      </c>
      <c r="AI533" s="901">
        <f>IF(NFI_Expiration=1,IF($A533&lt;VLOOKUP(T$5,NFI,5,0),1,0)*Data_NFI_t[[#This Row],[Adult Clothes]],0)</f>
        <v>0</v>
      </c>
      <c r="AJ533" s="131">
        <f>IF(NFI_Expiration=1,IF($A533&lt;VLOOKUP(U$5,NFI,5,0),1,0)*Data_NFI_t[[#This Row],[Children Clothes]],0)</f>
        <v>0</v>
      </c>
      <c r="AK533" s="131">
        <f>IF(NFI_Expiration=1,IF($A533&lt;VLOOKUP(V$5,NFI,5,0),1,0)*Data_NFI_t[[#This Row],[Sewing Kit]],0)</f>
        <v>0</v>
      </c>
      <c r="AL533" s="901">
        <f>IF(NFI_Expiration=1,IF($A533&lt;VLOOKUP(V$5,NFI,5,0),1,0)*Data_NFI_t[[#This Row],[Solar Lantern]],0)</f>
        <v>0</v>
      </c>
      <c r="AM533" s="131" t="str">
        <f ca="1">IFERROR(OFFSET(Camp_List[P_Code],MATCH(Data_NFI_t[[#This Row],[Camp Name]],Camp_List[Camp Name],0)-1,0,1,1),"")</f>
        <v/>
      </c>
      <c r="AN533" s="513" t="str">
        <f ca="1">IFERROR(OFFSET(Camp_List[Status],MATCH(Data_NFI_t[[#This Row],[Camp Name]],Camp_List[Camp Name],0)-1,0,1,1),"")</f>
        <v/>
      </c>
      <c r="AO533" s="131"/>
    </row>
    <row r="534" spans="1:41" s="789" customFormat="1" ht="19.5" customHeight="1" x14ac:dyDescent="0.25">
      <c r="A534" s="242" t="str">
        <f t="shared" si="11"/>
        <v/>
      </c>
      <c r="B534" s="522">
        <f>YEAR(Data_NFI_t[[#This Row],[Distribution Date]])</f>
        <v>1900</v>
      </c>
      <c r="C534" s="913"/>
      <c r="D534" s="489"/>
      <c r="E534" s="488"/>
      <c r="F534" s="489"/>
      <c r="G534" s="790"/>
      <c r="H534" s="790"/>
      <c r="I534" s="790"/>
      <c r="J534" s="51"/>
      <c r="K534" s="51"/>
      <c r="L534" s="119"/>
      <c r="M534" s="119"/>
      <c r="N534" s="119"/>
      <c r="O534" s="119"/>
      <c r="P534" s="119"/>
      <c r="Q534" s="119"/>
      <c r="R534" s="512"/>
      <c r="S534" s="119"/>
      <c r="T534" s="119"/>
      <c r="U534" s="119"/>
      <c r="V534" s="119"/>
      <c r="W534" s="119"/>
      <c r="X534" s="131">
        <f>IF(NFI_Expiration=1,IF($A534&lt;VLOOKUP(I$5,NFI,5,0),1,0)*Data_NFI_t[[#This Row],[Hygiene Kit]],0)</f>
        <v>0</v>
      </c>
      <c r="Y534" s="131">
        <f>IF(NFI_Expiration=1,IF($A534&lt;VLOOKUP(J$5,NFI,5,0),1,0)*Data_NFI_t[[#This Row],[NFI Core Kit]],0)</f>
        <v>0</v>
      </c>
      <c r="Z534" s="112">
        <f>IF(NFI_Expiration=1,IF($A534&lt;VLOOKUP(K$5,NFI,5,0),1,0)*Data_NFI_t[[#This Row],[Sanitary Kit]],0)</f>
        <v>0</v>
      </c>
      <c r="AA534" s="112">
        <f>IF(NFI_Expiration=1,IF($A534&lt;VLOOKUP(L$5,NFI,5,0),1,0)*Data_NFI_t[[#This Row],[Mosquito net]],0)</f>
        <v>0</v>
      </c>
      <c r="AB534" s="112">
        <f>IF(NFI_Expiration=1,IF($A534&lt;VLOOKUP(M$5,NFI,5,0),1,0)*Data_NFI_t[[#This Row],[Tarpaulin]],0)</f>
        <v>0</v>
      </c>
      <c r="AC534" s="112">
        <f>IF(NFI_Expiration=1,IF($A534&lt;VLOOKUP(N$5,NFI,5,0),1,0)*Data_NFI_t[[#This Row],[Blanket]],0)</f>
        <v>0</v>
      </c>
      <c r="AD534" s="112">
        <f>IF(NFI_Expiration=1,IF($A534&lt;VLOOKUP(O$5,NFI,5,0),1,0)*Data_NFI_t[[#This Row],[Kitchen Set]],0)</f>
        <v>0</v>
      </c>
      <c r="AE534" s="112">
        <f>IF(NFI_Expiration=1,IF($A534&lt;VLOOKUP(P$5,NFI,5,0),1,0)*Data_NFI_t[[#This Row],[Complementary Kit]],0)</f>
        <v>0</v>
      </c>
      <c r="AF534" s="112">
        <f>IF(NFI_Expiration=1,IF($A534&lt;VLOOKUP(Q$5,NFI,5,0),1,0)*Data_NFI_t[[#This Row],[Plastic Bucket]],0)</f>
        <v>0</v>
      </c>
      <c r="AG534" s="131">
        <f>IF(NFI_Expiration=1,IF($A534&lt;VLOOKUP(R$5,NFI,5,0),1,0)*Data_NFI_t[[#This Row],[Jerry Can]],0)</f>
        <v>0</v>
      </c>
      <c r="AH534" s="131">
        <f>IF(NFI_Expiration=1,IF($A534&lt;VLOOKUP(S$5,NFI,5,0),1,0)*Data_NFI_t[[#This Row],[Plastic Mat]],0)*IF(Data_NFI_t[[#This Row],[Distribution Date]]&gt;"01-06-2015",1,2.5)</f>
        <v>0</v>
      </c>
      <c r="AI534" s="901">
        <f>IF(NFI_Expiration=1,IF($A534&lt;VLOOKUP(T$5,NFI,5,0),1,0)*Data_NFI_t[[#This Row],[Adult Clothes]],0)</f>
        <v>0</v>
      </c>
      <c r="AJ534" s="131">
        <f>IF(NFI_Expiration=1,IF($A534&lt;VLOOKUP(U$5,NFI,5,0),1,0)*Data_NFI_t[[#This Row],[Children Clothes]],0)</f>
        <v>0</v>
      </c>
      <c r="AK534" s="131">
        <f>IF(NFI_Expiration=1,IF($A534&lt;VLOOKUP(V$5,NFI,5,0),1,0)*Data_NFI_t[[#This Row],[Sewing Kit]],0)</f>
        <v>0</v>
      </c>
      <c r="AL534" s="901">
        <f>IF(NFI_Expiration=1,IF($A534&lt;VLOOKUP(V$5,NFI,5,0),1,0)*Data_NFI_t[[#This Row],[Solar Lantern]],0)</f>
        <v>0</v>
      </c>
      <c r="AM534" s="131" t="str">
        <f ca="1">IFERROR(OFFSET(Camp_List[P_Code],MATCH(Data_NFI_t[[#This Row],[Camp Name]],Camp_List[Camp Name],0)-1,0,1,1),"")</f>
        <v/>
      </c>
      <c r="AN534" s="513" t="str">
        <f ca="1">IFERROR(OFFSET(Camp_List[Status],MATCH(Data_NFI_t[[#This Row],[Camp Name]],Camp_List[Camp Name],0)-1,0,1,1),"")</f>
        <v/>
      </c>
      <c r="AO534" s="131"/>
    </row>
    <row r="535" spans="1:41" s="789" customFormat="1" ht="19.5" customHeight="1" x14ac:dyDescent="0.25">
      <c r="A535" s="242" t="str">
        <f t="shared" si="11"/>
        <v/>
      </c>
      <c r="B535" s="522">
        <f>YEAR(Data_NFI_t[[#This Row],[Distribution Date]])</f>
        <v>1900</v>
      </c>
      <c r="C535" s="913"/>
      <c r="D535" s="489"/>
      <c r="E535" s="488"/>
      <c r="F535" s="489"/>
      <c r="G535" s="790"/>
      <c r="H535" s="790"/>
      <c r="I535" s="790"/>
      <c r="J535" s="51"/>
      <c r="K535" s="51"/>
      <c r="L535" s="119"/>
      <c r="M535" s="119"/>
      <c r="N535" s="119"/>
      <c r="O535" s="119"/>
      <c r="P535" s="119"/>
      <c r="Q535" s="119"/>
      <c r="R535" s="512"/>
      <c r="S535" s="119"/>
      <c r="T535" s="119"/>
      <c r="U535" s="119"/>
      <c r="V535" s="119"/>
      <c r="W535" s="119"/>
      <c r="X535" s="131">
        <f>IF(NFI_Expiration=1,IF($A535&lt;VLOOKUP(I$5,NFI,5,0),1,0)*Data_NFI_t[[#This Row],[Hygiene Kit]],0)</f>
        <v>0</v>
      </c>
      <c r="Y535" s="131">
        <f>IF(NFI_Expiration=1,IF($A535&lt;VLOOKUP(J$5,NFI,5,0),1,0)*Data_NFI_t[[#This Row],[NFI Core Kit]],0)</f>
        <v>0</v>
      </c>
      <c r="Z535" s="112">
        <f>IF(NFI_Expiration=1,IF($A535&lt;VLOOKUP(K$5,NFI,5,0),1,0)*Data_NFI_t[[#This Row],[Sanitary Kit]],0)</f>
        <v>0</v>
      </c>
      <c r="AA535" s="112">
        <f>IF(NFI_Expiration=1,IF($A535&lt;VLOOKUP(L$5,NFI,5,0),1,0)*Data_NFI_t[[#This Row],[Mosquito net]],0)</f>
        <v>0</v>
      </c>
      <c r="AB535" s="112">
        <f>IF(NFI_Expiration=1,IF($A535&lt;VLOOKUP(M$5,NFI,5,0),1,0)*Data_NFI_t[[#This Row],[Tarpaulin]],0)</f>
        <v>0</v>
      </c>
      <c r="AC535" s="112">
        <f>IF(NFI_Expiration=1,IF($A535&lt;VLOOKUP(N$5,NFI,5,0),1,0)*Data_NFI_t[[#This Row],[Blanket]],0)</f>
        <v>0</v>
      </c>
      <c r="AD535" s="112">
        <f>IF(NFI_Expiration=1,IF($A535&lt;VLOOKUP(O$5,NFI,5,0),1,0)*Data_NFI_t[[#This Row],[Kitchen Set]],0)</f>
        <v>0</v>
      </c>
      <c r="AE535" s="112">
        <f>IF(NFI_Expiration=1,IF($A535&lt;VLOOKUP(P$5,NFI,5,0),1,0)*Data_NFI_t[[#This Row],[Complementary Kit]],0)</f>
        <v>0</v>
      </c>
      <c r="AF535" s="112">
        <f>IF(NFI_Expiration=1,IF($A535&lt;VLOOKUP(Q$5,NFI,5,0),1,0)*Data_NFI_t[[#This Row],[Plastic Bucket]],0)</f>
        <v>0</v>
      </c>
      <c r="AG535" s="131">
        <f>IF(NFI_Expiration=1,IF($A535&lt;VLOOKUP(R$5,NFI,5,0),1,0)*Data_NFI_t[[#This Row],[Jerry Can]],0)</f>
        <v>0</v>
      </c>
      <c r="AH535" s="131">
        <f>IF(NFI_Expiration=1,IF($A535&lt;VLOOKUP(S$5,NFI,5,0),1,0)*Data_NFI_t[[#This Row],[Plastic Mat]],0)*IF(Data_NFI_t[[#This Row],[Distribution Date]]&gt;"01-06-2015",1,2.5)</f>
        <v>0</v>
      </c>
      <c r="AI535" s="901">
        <f>IF(NFI_Expiration=1,IF($A535&lt;VLOOKUP(T$5,NFI,5,0),1,0)*Data_NFI_t[[#This Row],[Adult Clothes]],0)</f>
        <v>0</v>
      </c>
      <c r="AJ535" s="131">
        <f>IF(NFI_Expiration=1,IF($A535&lt;VLOOKUP(U$5,NFI,5,0),1,0)*Data_NFI_t[[#This Row],[Children Clothes]],0)</f>
        <v>0</v>
      </c>
      <c r="AK535" s="131">
        <f>IF(NFI_Expiration=1,IF($A535&lt;VLOOKUP(V$5,NFI,5,0),1,0)*Data_NFI_t[[#This Row],[Sewing Kit]],0)</f>
        <v>0</v>
      </c>
      <c r="AL535" s="901">
        <f>IF(NFI_Expiration=1,IF($A535&lt;VLOOKUP(V$5,NFI,5,0),1,0)*Data_NFI_t[[#This Row],[Solar Lantern]],0)</f>
        <v>0</v>
      </c>
      <c r="AM535" s="131" t="str">
        <f ca="1">IFERROR(OFFSET(Camp_List[P_Code],MATCH(Data_NFI_t[[#This Row],[Camp Name]],Camp_List[Camp Name],0)-1,0,1,1),"")</f>
        <v/>
      </c>
      <c r="AN535" s="513" t="str">
        <f ca="1">IFERROR(OFFSET(Camp_List[Status],MATCH(Data_NFI_t[[#This Row],[Camp Name]],Camp_List[Camp Name],0)-1,0,1,1),"")</f>
        <v/>
      </c>
      <c r="AO535" s="131"/>
    </row>
    <row r="536" spans="1:41" s="789" customFormat="1" ht="19.5" customHeight="1" x14ac:dyDescent="0.25">
      <c r="A536" s="242" t="str">
        <f t="shared" si="11"/>
        <v/>
      </c>
      <c r="B536" s="522">
        <f>YEAR(Data_NFI_t[[#This Row],[Distribution Date]])</f>
        <v>1900</v>
      </c>
      <c r="C536" s="913"/>
      <c r="D536" s="489"/>
      <c r="E536" s="488"/>
      <c r="F536" s="489"/>
      <c r="G536" s="790"/>
      <c r="H536" s="790"/>
      <c r="I536" s="790"/>
      <c r="J536" s="51"/>
      <c r="K536" s="51"/>
      <c r="L536" s="119"/>
      <c r="M536" s="119"/>
      <c r="N536" s="119"/>
      <c r="O536" s="119"/>
      <c r="P536" s="119"/>
      <c r="Q536" s="119"/>
      <c r="R536" s="512"/>
      <c r="S536" s="119"/>
      <c r="T536" s="119"/>
      <c r="U536" s="119"/>
      <c r="V536" s="119"/>
      <c r="W536" s="119"/>
      <c r="X536" s="131">
        <f>IF(NFI_Expiration=1,IF($A536&lt;VLOOKUP(I$5,NFI,5,0),1,0)*Data_NFI_t[[#This Row],[Hygiene Kit]],0)</f>
        <v>0</v>
      </c>
      <c r="Y536" s="131">
        <f>IF(NFI_Expiration=1,IF($A536&lt;VLOOKUP(J$5,NFI,5,0),1,0)*Data_NFI_t[[#This Row],[NFI Core Kit]],0)</f>
        <v>0</v>
      </c>
      <c r="Z536" s="112">
        <f>IF(NFI_Expiration=1,IF($A536&lt;VLOOKUP(K$5,NFI,5,0),1,0)*Data_NFI_t[[#This Row],[Sanitary Kit]],0)</f>
        <v>0</v>
      </c>
      <c r="AA536" s="112">
        <f>IF(NFI_Expiration=1,IF($A536&lt;VLOOKUP(L$5,NFI,5,0),1,0)*Data_NFI_t[[#This Row],[Mosquito net]],0)</f>
        <v>0</v>
      </c>
      <c r="AB536" s="112">
        <f>IF(NFI_Expiration=1,IF($A536&lt;VLOOKUP(M$5,NFI,5,0),1,0)*Data_NFI_t[[#This Row],[Tarpaulin]],0)</f>
        <v>0</v>
      </c>
      <c r="AC536" s="112">
        <f>IF(NFI_Expiration=1,IF($A536&lt;VLOOKUP(N$5,NFI,5,0),1,0)*Data_NFI_t[[#This Row],[Blanket]],0)</f>
        <v>0</v>
      </c>
      <c r="AD536" s="112">
        <f>IF(NFI_Expiration=1,IF($A536&lt;VLOOKUP(O$5,NFI,5,0),1,0)*Data_NFI_t[[#This Row],[Kitchen Set]],0)</f>
        <v>0</v>
      </c>
      <c r="AE536" s="112">
        <f>IF(NFI_Expiration=1,IF($A536&lt;VLOOKUP(P$5,NFI,5,0),1,0)*Data_NFI_t[[#This Row],[Complementary Kit]],0)</f>
        <v>0</v>
      </c>
      <c r="AF536" s="112">
        <f>IF(NFI_Expiration=1,IF($A536&lt;VLOOKUP(Q$5,NFI,5,0),1,0)*Data_NFI_t[[#This Row],[Plastic Bucket]],0)</f>
        <v>0</v>
      </c>
      <c r="AG536" s="131">
        <f>IF(NFI_Expiration=1,IF($A536&lt;VLOOKUP(R$5,NFI,5,0),1,0)*Data_NFI_t[[#This Row],[Jerry Can]],0)</f>
        <v>0</v>
      </c>
      <c r="AH536" s="131">
        <f>IF(NFI_Expiration=1,IF($A536&lt;VLOOKUP(S$5,NFI,5,0),1,0)*Data_NFI_t[[#This Row],[Plastic Mat]],0)*IF(Data_NFI_t[[#This Row],[Distribution Date]]&gt;"01-06-2015",1,2.5)</f>
        <v>0</v>
      </c>
      <c r="AI536" s="901">
        <f>IF(NFI_Expiration=1,IF($A536&lt;VLOOKUP(T$5,NFI,5,0),1,0)*Data_NFI_t[[#This Row],[Adult Clothes]],0)</f>
        <v>0</v>
      </c>
      <c r="AJ536" s="131">
        <f>IF(NFI_Expiration=1,IF($A536&lt;VLOOKUP(U$5,NFI,5,0),1,0)*Data_NFI_t[[#This Row],[Children Clothes]],0)</f>
        <v>0</v>
      </c>
      <c r="AK536" s="131">
        <f>IF(NFI_Expiration=1,IF($A536&lt;VLOOKUP(V$5,NFI,5,0),1,0)*Data_NFI_t[[#This Row],[Sewing Kit]],0)</f>
        <v>0</v>
      </c>
      <c r="AL536" s="901">
        <f>IF(NFI_Expiration=1,IF($A536&lt;VLOOKUP(V$5,NFI,5,0),1,0)*Data_NFI_t[[#This Row],[Solar Lantern]],0)</f>
        <v>0</v>
      </c>
      <c r="AM536" s="131" t="str">
        <f ca="1">IFERROR(OFFSET(Camp_List[P_Code],MATCH(Data_NFI_t[[#This Row],[Camp Name]],Camp_List[Camp Name],0)-1,0,1,1),"")</f>
        <v/>
      </c>
      <c r="AN536" s="513" t="str">
        <f ca="1">IFERROR(OFFSET(Camp_List[Status],MATCH(Data_NFI_t[[#This Row],[Camp Name]],Camp_List[Camp Name],0)-1,0,1,1),"")</f>
        <v/>
      </c>
      <c r="AO536" s="131"/>
    </row>
    <row r="537" spans="1:41" s="789" customFormat="1" ht="19.5" customHeight="1" x14ac:dyDescent="0.25">
      <c r="A537" s="242" t="str">
        <f t="shared" si="11"/>
        <v/>
      </c>
      <c r="B537" s="522">
        <f>YEAR(Data_NFI_t[[#This Row],[Distribution Date]])</f>
        <v>1900</v>
      </c>
      <c r="C537" s="913"/>
      <c r="D537" s="489"/>
      <c r="E537" s="488"/>
      <c r="F537" s="489"/>
      <c r="G537" s="790"/>
      <c r="H537" s="790"/>
      <c r="I537" s="790"/>
      <c r="J537" s="51"/>
      <c r="K537" s="51"/>
      <c r="L537" s="119"/>
      <c r="M537" s="119"/>
      <c r="N537" s="119"/>
      <c r="O537" s="119"/>
      <c r="P537" s="119"/>
      <c r="Q537" s="119"/>
      <c r="R537" s="512"/>
      <c r="S537" s="119"/>
      <c r="T537" s="119"/>
      <c r="U537" s="119"/>
      <c r="V537" s="119"/>
      <c r="W537" s="119"/>
      <c r="X537" s="131">
        <f>IF(NFI_Expiration=1,IF($A537&lt;VLOOKUP(I$5,NFI,5,0),1,0)*Data_NFI_t[[#This Row],[Hygiene Kit]],0)</f>
        <v>0</v>
      </c>
      <c r="Y537" s="131">
        <f>IF(NFI_Expiration=1,IF($A537&lt;VLOOKUP(J$5,NFI,5,0),1,0)*Data_NFI_t[[#This Row],[NFI Core Kit]],0)</f>
        <v>0</v>
      </c>
      <c r="Z537" s="112">
        <f>IF(NFI_Expiration=1,IF($A537&lt;VLOOKUP(K$5,NFI,5,0),1,0)*Data_NFI_t[[#This Row],[Sanitary Kit]],0)</f>
        <v>0</v>
      </c>
      <c r="AA537" s="112">
        <f>IF(NFI_Expiration=1,IF($A537&lt;VLOOKUP(L$5,NFI,5,0),1,0)*Data_NFI_t[[#This Row],[Mosquito net]],0)</f>
        <v>0</v>
      </c>
      <c r="AB537" s="112">
        <f>IF(NFI_Expiration=1,IF($A537&lt;VLOOKUP(M$5,NFI,5,0),1,0)*Data_NFI_t[[#This Row],[Tarpaulin]],0)</f>
        <v>0</v>
      </c>
      <c r="AC537" s="112">
        <f>IF(NFI_Expiration=1,IF($A537&lt;VLOOKUP(N$5,NFI,5,0),1,0)*Data_NFI_t[[#This Row],[Blanket]],0)</f>
        <v>0</v>
      </c>
      <c r="AD537" s="112">
        <f>IF(NFI_Expiration=1,IF($A537&lt;VLOOKUP(O$5,NFI,5,0),1,0)*Data_NFI_t[[#This Row],[Kitchen Set]],0)</f>
        <v>0</v>
      </c>
      <c r="AE537" s="112">
        <f>IF(NFI_Expiration=1,IF($A537&lt;VLOOKUP(P$5,NFI,5,0),1,0)*Data_NFI_t[[#This Row],[Complementary Kit]],0)</f>
        <v>0</v>
      </c>
      <c r="AF537" s="112">
        <f>IF(NFI_Expiration=1,IF($A537&lt;VLOOKUP(Q$5,NFI,5,0),1,0)*Data_NFI_t[[#This Row],[Plastic Bucket]],0)</f>
        <v>0</v>
      </c>
      <c r="AG537" s="131">
        <f>IF(NFI_Expiration=1,IF($A537&lt;VLOOKUP(R$5,NFI,5,0),1,0)*Data_NFI_t[[#This Row],[Jerry Can]],0)</f>
        <v>0</v>
      </c>
      <c r="AH537" s="131">
        <f>IF(NFI_Expiration=1,IF($A537&lt;VLOOKUP(S$5,NFI,5,0),1,0)*Data_NFI_t[[#This Row],[Plastic Mat]],0)*IF(Data_NFI_t[[#This Row],[Distribution Date]]&gt;"01-06-2015",1,2.5)</f>
        <v>0</v>
      </c>
      <c r="AI537" s="901">
        <f>IF(NFI_Expiration=1,IF($A537&lt;VLOOKUP(T$5,NFI,5,0),1,0)*Data_NFI_t[[#This Row],[Adult Clothes]],0)</f>
        <v>0</v>
      </c>
      <c r="AJ537" s="131">
        <f>IF(NFI_Expiration=1,IF($A537&lt;VLOOKUP(U$5,NFI,5,0),1,0)*Data_NFI_t[[#This Row],[Children Clothes]],0)</f>
        <v>0</v>
      </c>
      <c r="AK537" s="131">
        <f>IF(NFI_Expiration=1,IF($A537&lt;VLOOKUP(V$5,NFI,5,0),1,0)*Data_NFI_t[[#This Row],[Sewing Kit]],0)</f>
        <v>0</v>
      </c>
      <c r="AL537" s="901">
        <f>IF(NFI_Expiration=1,IF($A537&lt;VLOOKUP(V$5,NFI,5,0),1,0)*Data_NFI_t[[#This Row],[Solar Lantern]],0)</f>
        <v>0</v>
      </c>
      <c r="AM537" s="131" t="str">
        <f ca="1">IFERROR(OFFSET(Camp_List[P_Code],MATCH(Data_NFI_t[[#This Row],[Camp Name]],Camp_List[Camp Name],0)-1,0,1,1),"")</f>
        <v/>
      </c>
      <c r="AN537" s="513" t="str">
        <f ca="1">IFERROR(OFFSET(Camp_List[Status],MATCH(Data_NFI_t[[#This Row],[Camp Name]],Camp_List[Camp Name],0)-1,0,1,1),"")</f>
        <v/>
      </c>
      <c r="AO537" s="131"/>
    </row>
    <row r="538" spans="1:41" s="789" customFormat="1" ht="19.5" customHeight="1" x14ac:dyDescent="0.25">
      <c r="A538" s="242" t="str">
        <f t="shared" si="11"/>
        <v/>
      </c>
      <c r="B538" s="522">
        <f>YEAR(Data_NFI_t[[#This Row],[Distribution Date]])</f>
        <v>1900</v>
      </c>
      <c r="C538" s="913"/>
      <c r="D538" s="489"/>
      <c r="E538" s="488"/>
      <c r="F538" s="489"/>
      <c r="G538" s="790"/>
      <c r="H538" s="790"/>
      <c r="I538" s="790"/>
      <c r="J538" s="51"/>
      <c r="K538" s="51"/>
      <c r="L538" s="119"/>
      <c r="M538" s="119"/>
      <c r="N538" s="119"/>
      <c r="O538" s="119"/>
      <c r="P538" s="119"/>
      <c r="Q538" s="119"/>
      <c r="R538" s="512"/>
      <c r="S538" s="119"/>
      <c r="T538" s="119"/>
      <c r="U538" s="119"/>
      <c r="V538" s="119"/>
      <c r="W538" s="119"/>
      <c r="X538" s="131">
        <f>IF(NFI_Expiration=1,IF($A538&lt;VLOOKUP(I$5,NFI,5,0),1,0)*Data_NFI_t[[#This Row],[Hygiene Kit]],0)</f>
        <v>0</v>
      </c>
      <c r="Y538" s="131">
        <f>IF(NFI_Expiration=1,IF($A538&lt;VLOOKUP(J$5,NFI,5,0),1,0)*Data_NFI_t[[#This Row],[NFI Core Kit]],0)</f>
        <v>0</v>
      </c>
      <c r="Z538" s="112">
        <f>IF(NFI_Expiration=1,IF($A538&lt;VLOOKUP(K$5,NFI,5,0),1,0)*Data_NFI_t[[#This Row],[Sanitary Kit]],0)</f>
        <v>0</v>
      </c>
      <c r="AA538" s="112">
        <f>IF(NFI_Expiration=1,IF($A538&lt;VLOOKUP(L$5,NFI,5,0),1,0)*Data_NFI_t[[#This Row],[Mosquito net]],0)</f>
        <v>0</v>
      </c>
      <c r="AB538" s="112">
        <f>IF(NFI_Expiration=1,IF($A538&lt;VLOOKUP(M$5,NFI,5,0),1,0)*Data_NFI_t[[#This Row],[Tarpaulin]],0)</f>
        <v>0</v>
      </c>
      <c r="AC538" s="112">
        <f>IF(NFI_Expiration=1,IF($A538&lt;VLOOKUP(N$5,NFI,5,0),1,0)*Data_NFI_t[[#This Row],[Blanket]],0)</f>
        <v>0</v>
      </c>
      <c r="AD538" s="112">
        <f>IF(NFI_Expiration=1,IF($A538&lt;VLOOKUP(O$5,NFI,5,0),1,0)*Data_NFI_t[[#This Row],[Kitchen Set]],0)</f>
        <v>0</v>
      </c>
      <c r="AE538" s="112">
        <f>IF(NFI_Expiration=1,IF($A538&lt;VLOOKUP(P$5,NFI,5,0),1,0)*Data_NFI_t[[#This Row],[Complementary Kit]],0)</f>
        <v>0</v>
      </c>
      <c r="AF538" s="112">
        <f>IF(NFI_Expiration=1,IF($A538&lt;VLOOKUP(Q$5,NFI,5,0),1,0)*Data_NFI_t[[#This Row],[Plastic Bucket]],0)</f>
        <v>0</v>
      </c>
      <c r="AG538" s="131">
        <f>IF(NFI_Expiration=1,IF($A538&lt;VLOOKUP(R$5,NFI,5,0),1,0)*Data_NFI_t[[#This Row],[Jerry Can]],0)</f>
        <v>0</v>
      </c>
      <c r="AH538" s="131">
        <f>IF(NFI_Expiration=1,IF($A538&lt;VLOOKUP(S$5,NFI,5,0),1,0)*Data_NFI_t[[#This Row],[Plastic Mat]],0)*IF(Data_NFI_t[[#This Row],[Distribution Date]]&gt;"01-06-2015",1,2.5)</f>
        <v>0</v>
      </c>
      <c r="AI538" s="901">
        <f>IF(NFI_Expiration=1,IF($A538&lt;VLOOKUP(T$5,NFI,5,0),1,0)*Data_NFI_t[[#This Row],[Adult Clothes]],0)</f>
        <v>0</v>
      </c>
      <c r="AJ538" s="131">
        <f>IF(NFI_Expiration=1,IF($A538&lt;VLOOKUP(U$5,NFI,5,0),1,0)*Data_NFI_t[[#This Row],[Children Clothes]],0)</f>
        <v>0</v>
      </c>
      <c r="AK538" s="131">
        <f>IF(NFI_Expiration=1,IF($A538&lt;VLOOKUP(V$5,NFI,5,0),1,0)*Data_NFI_t[[#This Row],[Sewing Kit]],0)</f>
        <v>0</v>
      </c>
      <c r="AL538" s="901">
        <f>IF(NFI_Expiration=1,IF($A538&lt;VLOOKUP(V$5,NFI,5,0),1,0)*Data_NFI_t[[#This Row],[Solar Lantern]],0)</f>
        <v>0</v>
      </c>
      <c r="AM538" s="131" t="str">
        <f ca="1">IFERROR(OFFSET(Camp_List[P_Code],MATCH(Data_NFI_t[[#This Row],[Camp Name]],Camp_List[Camp Name],0)-1,0,1,1),"")</f>
        <v/>
      </c>
      <c r="AN538" s="513" t="str">
        <f ca="1">IFERROR(OFFSET(Camp_List[Status],MATCH(Data_NFI_t[[#This Row],[Camp Name]],Camp_List[Camp Name],0)-1,0,1,1),"")</f>
        <v/>
      </c>
      <c r="AO538" s="131"/>
    </row>
    <row r="539" spans="1:41" s="789" customFormat="1" ht="19.5" customHeight="1" x14ac:dyDescent="0.25">
      <c r="A539" s="242" t="str">
        <f t="shared" si="11"/>
        <v/>
      </c>
      <c r="B539" s="522">
        <f>YEAR(Data_NFI_t[[#This Row],[Distribution Date]])</f>
        <v>1900</v>
      </c>
      <c r="C539" s="913"/>
      <c r="D539" s="489"/>
      <c r="E539" s="488"/>
      <c r="F539" s="489"/>
      <c r="G539" s="790"/>
      <c r="H539" s="790"/>
      <c r="I539" s="790"/>
      <c r="J539" s="51"/>
      <c r="K539" s="51"/>
      <c r="L539" s="119"/>
      <c r="M539" s="119"/>
      <c r="N539" s="119"/>
      <c r="O539" s="119"/>
      <c r="P539" s="119"/>
      <c r="Q539" s="119"/>
      <c r="R539" s="512"/>
      <c r="S539" s="119"/>
      <c r="T539" s="119"/>
      <c r="U539" s="119"/>
      <c r="V539" s="119"/>
      <c r="W539" s="119"/>
      <c r="X539" s="131">
        <f>IF(NFI_Expiration=1,IF($A539&lt;VLOOKUP(I$5,NFI,5,0),1,0)*Data_NFI_t[[#This Row],[Hygiene Kit]],0)</f>
        <v>0</v>
      </c>
      <c r="Y539" s="131">
        <f>IF(NFI_Expiration=1,IF($A539&lt;VLOOKUP(J$5,NFI,5,0),1,0)*Data_NFI_t[[#This Row],[NFI Core Kit]],0)</f>
        <v>0</v>
      </c>
      <c r="Z539" s="112">
        <f>IF(NFI_Expiration=1,IF($A539&lt;VLOOKUP(K$5,NFI,5,0),1,0)*Data_NFI_t[[#This Row],[Sanitary Kit]],0)</f>
        <v>0</v>
      </c>
      <c r="AA539" s="112">
        <f>IF(NFI_Expiration=1,IF($A539&lt;VLOOKUP(L$5,NFI,5,0),1,0)*Data_NFI_t[[#This Row],[Mosquito net]],0)</f>
        <v>0</v>
      </c>
      <c r="AB539" s="112">
        <f>IF(NFI_Expiration=1,IF($A539&lt;VLOOKUP(M$5,NFI,5,0),1,0)*Data_NFI_t[[#This Row],[Tarpaulin]],0)</f>
        <v>0</v>
      </c>
      <c r="AC539" s="112">
        <f>IF(NFI_Expiration=1,IF($A539&lt;VLOOKUP(N$5,NFI,5,0),1,0)*Data_NFI_t[[#This Row],[Blanket]],0)</f>
        <v>0</v>
      </c>
      <c r="AD539" s="112">
        <f>IF(NFI_Expiration=1,IF($A539&lt;VLOOKUP(O$5,NFI,5,0),1,0)*Data_NFI_t[[#This Row],[Kitchen Set]],0)</f>
        <v>0</v>
      </c>
      <c r="AE539" s="112">
        <f>IF(NFI_Expiration=1,IF($A539&lt;VLOOKUP(P$5,NFI,5,0),1,0)*Data_NFI_t[[#This Row],[Complementary Kit]],0)</f>
        <v>0</v>
      </c>
      <c r="AF539" s="112">
        <f>IF(NFI_Expiration=1,IF($A539&lt;VLOOKUP(Q$5,NFI,5,0),1,0)*Data_NFI_t[[#This Row],[Plastic Bucket]],0)</f>
        <v>0</v>
      </c>
      <c r="AG539" s="131">
        <f>IF(NFI_Expiration=1,IF($A539&lt;VLOOKUP(R$5,NFI,5,0),1,0)*Data_NFI_t[[#This Row],[Jerry Can]],0)</f>
        <v>0</v>
      </c>
      <c r="AH539" s="131">
        <f>IF(NFI_Expiration=1,IF($A539&lt;VLOOKUP(S$5,NFI,5,0),1,0)*Data_NFI_t[[#This Row],[Plastic Mat]],0)*IF(Data_NFI_t[[#This Row],[Distribution Date]]&gt;"01-06-2015",1,2.5)</f>
        <v>0</v>
      </c>
      <c r="AI539" s="901">
        <f>IF(NFI_Expiration=1,IF($A539&lt;VLOOKUP(T$5,NFI,5,0),1,0)*Data_NFI_t[[#This Row],[Adult Clothes]],0)</f>
        <v>0</v>
      </c>
      <c r="AJ539" s="131">
        <f>IF(NFI_Expiration=1,IF($A539&lt;VLOOKUP(U$5,NFI,5,0),1,0)*Data_NFI_t[[#This Row],[Children Clothes]],0)</f>
        <v>0</v>
      </c>
      <c r="AK539" s="131">
        <f>IF(NFI_Expiration=1,IF($A539&lt;VLOOKUP(V$5,NFI,5,0),1,0)*Data_NFI_t[[#This Row],[Sewing Kit]],0)</f>
        <v>0</v>
      </c>
      <c r="AL539" s="901">
        <f>IF(NFI_Expiration=1,IF($A539&lt;VLOOKUP(V$5,NFI,5,0),1,0)*Data_NFI_t[[#This Row],[Solar Lantern]],0)</f>
        <v>0</v>
      </c>
      <c r="AM539" s="131" t="str">
        <f ca="1">IFERROR(OFFSET(Camp_List[P_Code],MATCH(Data_NFI_t[[#This Row],[Camp Name]],Camp_List[Camp Name],0)-1,0,1,1),"")</f>
        <v/>
      </c>
      <c r="AN539" s="513" t="str">
        <f ca="1">IFERROR(OFFSET(Camp_List[Status],MATCH(Data_NFI_t[[#This Row],[Camp Name]],Camp_List[Camp Name],0)-1,0,1,1),"")</f>
        <v/>
      </c>
      <c r="AO539" s="131"/>
    </row>
    <row r="540" spans="1:41" s="789" customFormat="1" ht="19.5" customHeight="1" x14ac:dyDescent="0.25">
      <c r="A540" s="242" t="str">
        <f t="shared" si="11"/>
        <v/>
      </c>
      <c r="B540" s="522">
        <f>YEAR(Data_NFI_t[[#This Row],[Distribution Date]])</f>
        <v>1900</v>
      </c>
      <c r="C540" s="913"/>
      <c r="D540" s="489"/>
      <c r="E540" s="488"/>
      <c r="F540" s="489"/>
      <c r="G540" s="790"/>
      <c r="H540" s="790"/>
      <c r="I540" s="790"/>
      <c r="J540" s="51"/>
      <c r="K540" s="51"/>
      <c r="L540" s="119"/>
      <c r="M540" s="119"/>
      <c r="N540" s="119"/>
      <c r="O540" s="119"/>
      <c r="P540" s="119"/>
      <c r="Q540" s="119"/>
      <c r="R540" s="512"/>
      <c r="S540" s="119"/>
      <c r="T540" s="119"/>
      <c r="U540" s="119"/>
      <c r="V540" s="119"/>
      <c r="W540" s="119"/>
      <c r="X540" s="131">
        <f>IF(NFI_Expiration=1,IF($A540&lt;VLOOKUP(I$5,NFI,5,0),1,0)*Data_NFI_t[[#This Row],[Hygiene Kit]],0)</f>
        <v>0</v>
      </c>
      <c r="Y540" s="131">
        <f>IF(NFI_Expiration=1,IF($A540&lt;VLOOKUP(J$5,NFI,5,0),1,0)*Data_NFI_t[[#This Row],[NFI Core Kit]],0)</f>
        <v>0</v>
      </c>
      <c r="Z540" s="112">
        <f>IF(NFI_Expiration=1,IF($A540&lt;VLOOKUP(K$5,NFI,5,0),1,0)*Data_NFI_t[[#This Row],[Sanitary Kit]],0)</f>
        <v>0</v>
      </c>
      <c r="AA540" s="112">
        <f>IF(NFI_Expiration=1,IF($A540&lt;VLOOKUP(L$5,NFI,5,0),1,0)*Data_NFI_t[[#This Row],[Mosquito net]],0)</f>
        <v>0</v>
      </c>
      <c r="AB540" s="112">
        <f>IF(NFI_Expiration=1,IF($A540&lt;VLOOKUP(M$5,NFI,5,0),1,0)*Data_NFI_t[[#This Row],[Tarpaulin]],0)</f>
        <v>0</v>
      </c>
      <c r="AC540" s="112">
        <f>IF(NFI_Expiration=1,IF($A540&lt;VLOOKUP(N$5,NFI,5,0),1,0)*Data_NFI_t[[#This Row],[Blanket]],0)</f>
        <v>0</v>
      </c>
      <c r="AD540" s="112">
        <f>IF(NFI_Expiration=1,IF($A540&lt;VLOOKUP(O$5,NFI,5,0),1,0)*Data_NFI_t[[#This Row],[Kitchen Set]],0)</f>
        <v>0</v>
      </c>
      <c r="AE540" s="112">
        <f>IF(NFI_Expiration=1,IF($A540&lt;VLOOKUP(P$5,NFI,5,0),1,0)*Data_NFI_t[[#This Row],[Complementary Kit]],0)</f>
        <v>0</v>
      </c>
      <c r="AF540" s="112">
        <f>IF(NFI_Expiration=1,IF($A540&lt;VLOOKUP(Q$5,NFI,5,0),1,0)*Data_NFI_t[[#This Row],[Plastic Bucket]],0)</f>
        <v>0</v>
      </c>
      <c r="AG540" s="131">
        <f>IF(NFI_Expiration=1,IF($A540&lt;VLOOKUP(R$5,NFI,5,0),1,0)*Data_NFI_t[[#This Row],[Jerry Can]],0)</f>
        <v>0</v>
      </c>
      <c r="AH540" s="131">
        <f>IF(NFI_Expiration=1,IF($A540&lt;VLOOKUP(S$5,NFI,5,0),1,0)*Data_NFI_t[[#This Row],[Plastic Mat]],0)*IF(Data_NFI_t[[#This Row],[Distribution Date]]&gt;"01-06-2015",1,2.5)</f>
        <v>0</v>
      </c>
      <c r="AI540" s="901">
        <f>IF(NFI_Expiration=1,IF($A540&lt;VLOOKUP(T$5,NFI,5,0),1,0)*Data_NFI_t[[#This Row],[Adult Clothes]],0)</f>
        <v>0</v>
      </c>
      <c r="AJ540" s="131">
        <f>IF(NFI_Expiration=1,IF($A540&lt;VLOOKUP(U$5,NFI,5,0),1,0)*Data_NFI_t[[#This Row],[Children Clothes]],0)</f>
        <v>0</v>
      </c>
      <c r="AK540" s="131">
        <f>IF(NFI_Expiration=1,IF($A540&lt;VLOOKUP(V$5,NFI,5,0),1,0)*Data_NFI_t[[#This Row],[Sewing Kit]],0)</f>
        <v>0</v>
      </c>
      <c r="AL540" s="901">
        <f>IF(NFI_Expiration=1,IF($A540&lt;VLOOKUP(V$5,NFI,5,0),1,0)*Data_NFI_t[[#This Row],[Solar Lantern]],0)</f>
        <v>0</v>
      </c>
      <c r="AM540" s="131" t="str">
        <f ca="1">IFERROR(OFFSET(Camp_List[P_Code],MATCH(Data_NFI_t[[#This Row],[Camp Name]],Camp_List[Camp Name],0)-1,0,1,1),"")</f>
        <v/>
      </c>
      <c r="AN540" s="513" t="str">
        <f ca="1">IFERROR(OFFSET(Camp_List[Status],MATCH(Data_NFI_t[[#This Row],[Camp Name]],Camp_List[Camp Name],0)-1,0,1,1),"")</f>
        <v/>
      </c>
      <c r="AO540" s="131"/>
    </row>
    <row r="541" spans="1:41" s="789" customFormat="1" ht="19.5" customHeight="1" x14ac:dyDescent="0.25">
      <c r="A541" s="242" t="str">
        <f t="shared" si="11"/>
        <v/>
      </c>
      <c r="B541" s="522">
        <f>YEAR(Data_NFI_t[[#This Row],[Distribution Date]])</f>
        <v>1900</v>
      </c>
      <c r="C541" s="913"/>
      <c r="D541" s="489"/>
      <c r="E541" s="488"/>
      <c r="F541" s="489"/>
      <c r="G541" s="790"/>
      <c r="H541" s="790"/>
      <c r="I541" s="790"/>
      <c r="J541" s="51"/>
      <c r="K541" s="51"/>
      <c r="L541" s="119"/>
      <c r="M541" s="119"/>
      <c r="N541" s="119"/>
      <c r="O541" s="119"/>
      <c r="P541" s="119"/>
      <c r="Q541" s="119"/>
      <c r="R541" s="512"/>
      <c r="S541" s="119"/>
      <c r="T541" s="119"/>
      <c r="U541" s="119"/>
      <c r="V541" s="119"/>
      <c r="W541" s="119"/>
      <c r="X541" s="131">
        <f>IF(NFI_Expiration=1,IF($A541&lt;VLOOKUP(I$5,NFI,5,0),1,0)*Data_NFI_t[[#This Row],[Hygiene Kit]],0)</f>
        <v>0</v>
      </c>
      <c r="Y541" s="131">
        <f>IF(NFI_Expiration=1,IF($A541&lt;VLOOKUP(J$5,NFI,5,0),1,0)*Data_NFI_t[[#This Row],[NFI Core Kit]],0)</f>
        <v>0</v>
      </c>
      <c r="Z541" s="112">
        <f>IF(NFI_Expiration=1,IF($A541&lt;VLOOKUP(K$5,NFI,5,0),1,0)*Data_NFI_t[[#This Row],[Sanitary Kit]],0)</f>
        <v>0</v>
      </c>
      <c r="AA541" s="112">
        <f>IF(NFI_Expiration=1,IF($A541&lt;VLOOKUP(L$5,NFI,5,0),1,0)*Data_NFI_t[[#This Row],[Mosquito net]],0)</f>
        <v>0</v>
      </c>
      <c r="AB541" s="112">
        <f>IF(NFI_Expiration=1,IF($A541&lt;VLOOKUP(M$5,NFI,5,0),1,0)*Data_NFI_t[[#This Row],[Tarpaulin]],0)</f>
        <v>0</v>
      </c>
      <c r="AC541" s="112">
        <f>IF(NFI_Expiration=1,IF($A541&lt;VLOOKUP(N$5,NFI,5,0),1,0)*Data_NFI_t[[#This Row],[Blanket]],0)</f>
        <v>0</v>
      </c>
      <c r="AD541" s="112">
        <f>IF(NFI_Expiration=1,IF($A541&lt;VLOOKUP(O$5,NFI,5,0),1,0)*Data_NFI_t[[#This Row],[Kitchen Set]],0)</f>
        <v>0</v>
      </c>
      <c r="AE541" s="112">
        <f>IF(NFI_Expiration=1,IF($A541&lt;VLOOKUP(P$5,NFI,5,0),1,0)*Data_NFI_t[[#This Row],[Complementary Kit]],0)</f>
        <v>0</v>
      </c>
      <c r="AF541" s="112">
        <f>IF(NFI_Expiration=1,IF($A541&lt;VLOOKUP(Q$5,NFI,5,0),1,0)*Data_NFI_t[[#This Row],[Plastic Bucket]],0)</f>
        <v>0</v>
      </c>
      <c r="AG541" s="131">
        <f>IF(NFI_Expiration=1,IF($A541&lt;VLOOKUP(R$5,NFI,5,0),1,0)*Data_NFI_t[[#This Row],[Jerry Can]],0)</f>
        <v>0</v>
      </c>
      <c r="AH541" s="131">
        <f>IF(NFI_Expiration=1,IF($A541&lt;VLOOKUP(S$5,NFI,5,0),1,0)*Data_NFI_t[[#This Row],[Plastic Mat]],0)*IF(Data_NFI_t[[#This Row],[Distribution Date]]&gt;"01-06-2015",1,2.5)</f>
        <v>0</v>
      </c>
      <c r="AI541" s="901">
        <f>IF(NFI_Expiration=1,IF($A541&lt;VLOOKUP(T$5,NFI,5,0),1,0)*Data_NFI_t[[#This Row],[Adult Clothes]],0)</f>
        <v>0</v>
      </c>
      <c r="AJ541" s="131">
        <f>IF(NFI_Expiration=1,IF($A541&lt;VLOOKUP(U$5,NFI,5,0),1,0)*Data_NFI_t[[#This Row],[Children Clothes]],0)</f>
        <v>0</v>
      </c>
      <c r="AK541" s="131">
        <f>IF(NFI_Expiration=1,IF($A541&lt;VLOOKUP(V$5,NFI,5,0),1,0)*Data_NFI_t[[#This Row],[Sewing Kit]],0)</f>
        <v>0</v>
      </c>
      <c r="AL541" s="901">
        <f>IF(NFI_Expiration=1,IF($A541&lt;VLOOKUP(V$5,NFI,5,0),1,0)*Data_NFI_t[[#This Row],[Solar Lantern]],0)</f>
        <v>0</v>
      </c>
      <c r="AM541" s="131" t="str">
        <f ca="1">IFERROR(OFFSET(Camp_List[P_Code],MATCH(Data_NFI_t[[#This Row],[Camp Name]],Camp_List[Camp Name],0)-1,0,1,1),"")</f>
        <v/>
      </c>
      <c r="AN541" s="513" t="str">
        <f ca="1">IFERROR(OFFSET(Camp_List[Status],MATCH(Data_NFI_t[[#This Row],[Camp Name]],Camp_List[Camp Name],0)-1,0,1,1),"")</f>
        <v/>
      </c>
      <c r="AO541" s="131"/>
    </row>
    <row r="542" spans="1:41" s="789" customFormat="1" ht="19.5" customHeight="1" x14ac:dyDescent="0.25">
      <c r="A542" s="242" t="str">
        <f t="shared" si="11"/>
        <v/>
      </c>
      <c r="B542" s="522">
        <f>YEAR(Data_NFI_t[[#This Row],[Distribution Date]])</f>
        <v>1900</v>
      </c>
      <c r="C542" s="913"/>
      <c r="D542" s="489"/>
      <c r="E542" s="488"/>
      <c r="F542" s="489"/>
      <c r="G542" s="790"/>
      <c r="H542" s="790"/>
      <c r="I542" s="790"/>
      <c r="J542" s="51"/>
      <c r="K542" s="51"/>
      <c r="L542" s="119"/>
      <c r="M542" s="119"/>
      <c r="N542" s="119"/>
      <c r="O542" s="119"/>
      <c r="P542" s="119"/>
      <c r="Q542" s="119"/>
      <c r="R542" s="512"/>
      <c r="S542" s="119"/>
      <c r="T542" s="119"/>
      <c r="U542" s="119"/>
      <c r="V542" s="119"/>
      <c r="W542" s="119"/>
      <c r="X542" s="131">
        <f>IF(NFI_Expiration=1,IF($A542&lt;VLOOKUP(I$5,NFI,5,0),1,0)*Data_NFI_t[[#This Row],[Hygiene Kit]],0)</f>
        <v>0</v>
      </c>
      <c r="Y542" s="131">
        <f>IF(NFI_Expiration=1,IF($A542&lt;VLOOKUP(J$5,NFI,5,0),1,0)*Data_NFI_t[[#This Row],[NFI Core Kit]],0)</f>
        <v>0</v>
      </c>
      <c r="Z542" s="112">
        <f>IF(NFI_Expiration=1,IF($A542&lt;VLOOKUP(K$5,NFI,5,0),1,0)*Data_NFI_t[[#This Row],[Sanitary Kit]],0)</f>
        <v>0</v>
      </c>
      <c r="AA542" s="112">
        <f>IF(NFI_Expiration=1,IF($A542&lt;VLOOKUP(L$5,NFI,5,0),1,0)*Data_NFI_t[[#This Row],[Mosquito net]],0)</f>
        <v>0</v>
      </c>
      <c r="AB542" s="112">
        <f>IF(NFI_Expiration=1,IF($A542&lt;VLOOKUP(M$5,NFI,5,0),1,0)*Data_NFI_t[[#This Row],[Tarpaulin]],0)</f>
        <v>0</v>
      </c>
      <c r="AC542" s="112">
        <f>IF(NFI_Expiration=1,IF($A542&lt;VLOOKUP(N$5,NFI,5,0),1,0)*Data_NFI_t[[#This Row],[Blanket]],0)</f>
        <v>0</v>
      </c>
      <c r="AD542" s="112">
        <f>IF(NFI_Expiration=1,IF($A542&lt;VLOOKUP(O$5,NFI,5,0),1,0)*Data_NFI_t[[#This Row],[Kitchen Set]],0)</f>
        <v>0</v>
      </c>
      <c r="AE542" s="112">
        <f>IF(NFI_Expiration=1,IF($A542&lt;VLOOKUP(P$5,NFI,5,0),1,0)*Data_NFI_t[[#This Row],[Complementary Kit]],0)</f>
        <v>0</v>
      </c>
      <c r="AF542" s="112">
        <f>IF(NFI_Expiration=1,IF($A542&lt;VLOOKUP(Q$5,NFI,5,0),1,0)*Data_NFI_t[[#This Row],[Plastic Bucket]],0)</f>
        <v>0</v>
      </c>
      <c r="AG542" s="131">
        <f>IF(NFI_Expiration=1,IF($A542&lt;VLOOKUP(R$5,NFI,5,0),1,0)*Data_NFI_t[[#This Row],[Jerry Can]],0)</f>
        <v>0</v>
      </c>
      <c r="AH542" s="131">
        <f>IF(NFI_Expiration=1,IF($A542&lt;VLOOKUP(S$5,NFI,5,0),1,0)*Data_NFI_t[[#This Row],[Plastic Mat]],0)*IF(Data_NFI_t[[#This Row],[Distribution Date]]&gt;"01-06-2015",1,2.5)</f>
        <v>0</v>
      </c>
      <c r="AI542" s="901">
        <f>IF(NFI_Expiration=1,IF($A542&lt;VLOOKUP(T$5,NFI,5,0),1,0)*Data_NFI_t[[#This Row],[Adult Clothes]],0)</f>
        <v>0</v>
      </c>
      <c r="AJ542" s="131">
        <f>IF(NFI_Expiration=1,IF($A542&lt;VLOOKUP(U$5,NFI,5,0),1,0)*Data_NFI_t[[#This Row],[Children Clothes]],0)</f>
        <v>0</v>
      </c>
      <c r="AK542" s="131">
        <f>IF(NFI_Expiration=1,IF($A542&lt;VLOOKUP(V$5,NFI,5,0),1,0)*Data_NFI_t[[#This Row],[Sewing Kit]],0)</f>
        <v>0</v>
      </c>
      <c r="AL542" s="901">
        <f>IF(NFI_Expiration=1,IF($A542&lt;VLOOKUP(V$5,NFI,5,0),1,0)*Data_NFI_t[[#This Row],[Solar Lantern]],0)</f>
        <v>0</v>
      </c>
      <c r="AM542" s="131" t="str">
        <f ca="1">IFERROR(OFFSET(Camp_List[P_Code],MATCH(Data_NFI_t[[#This Row],[Camp Name]],Camp_List[Camp Name],0)-1,0,1,1),"")</f>
        <v/>
      </c>
      <c r="AN542" s="513" t="str">
        <f ca="1">IFERROR(OFFSET(Camp_List[Status],MATCH(Data_NFI_t[[#This Row],[Camp Name]],Camp_List[Camp Name],0)-1,0,1,1),"")</f>
        <v/>
      </c>
      <c r="AO542" s="131"/>
    </row>
    <row r="543" spans="1:41" s="789" customFormat="1" ht="19.5" customHeight="1" x14ac:dyDescent="0.25">
      <c r="A543" s="242" t="str">
        <f t="shared" si="11"/>
        <v/>
      </c>
      <c r="B543" s="522">
        <f>YEAR(Data_NFI_t[[#This Row],[Distribution Date]])</f>
        <v>1900</v>
      </c>
      <c r="C543" s="913"/>
      <c r="D543" s="489"/>
      <c r="E543" s="488"/>
      <c r="F543" s="489"/>
      <c r="G543" s="790"/>
      <c r="H543" s="790"/>
      <c r="I543" s="790"/>
      <c r="J543" s="51"/>
      <c r="K543" s="51"/>
      <c r="L543" s="119"/>
      <c r="M543" s="119"/>
      <c r="N543" s="119"/>
      <c r="O543" s="119"/>
      <c r="P543" s="119"/>
      <c r="Q543" s="119"/>
      <c r="R543" s="512"/>
      <c r="S543" s="119"/>
      <c r="T543" s="119"/>
      <c r="U543" s="119"/>
      <c r="V543" s="119"/>
      <c r="W543" s="119"/>
      <c r="X543" s="131">
        <f>IF(NFI_Expiration=1,IF($A543&lt;VLOOKUP(I$5,NFI,5,0),1,0)*Data_NFI_t[[#This Row],[Hygiene Kit]],0)</f>
        <v>0</v>
      </c>
      <c r="Y543" s="131">
        <f>IF(NFI_Expiration=1,IF($A543&lt;VLOOKUP(J$5,NFI,5,0),1,0)*Data_NFI_t[[#This Row],[NFI Core Kit]],0)</f>
        <v>0</v>
      </c>
      <c r="Z543" s="112">
        <f>IF(NFI_Expiration=1,IF($A543&lt;VLOOKUP(K$5,NFI,5,0),1,0)*Data_NFI_t[[#This Row],[Sanitary Kit]],0)</f>
        <v>0</v>
      </c>
      <c r="AA543" s="112">
        <f>IF(NFI_Expiration=1,IF($A543&lt;VLOOKUP(L$5,NFI,5,0),1,0)*Data_NFI_t[[#This Row],[Mosquito net]],0)</f>
        <v>0</v>
      </c>
      <c r="AB543" s="112">
        <f>IF(NFI_Expiration=1,IF($A543&lt;VLOOKUP(M$5,NFI,5,0),1,0)*Data_NFI_t[[#This Row],[Tarpaulin]],0)</f>
        <v>0</v>
      </c>
      <c r="AC543" s="112">
        <f>IF(NFI_Expiration=1,IF($A543&lt;VLOOKUP(N$5,NFI,5,0),1,0)*Data_NFI_t[[#This Row],[Blanket]],0)</f>
        <v>0</v>
      </c>
      <c r="AD543" s="112">
        <f>IF(NFI_Expiration=1,IF($A543&lt;VLOOKUP(O$5,NFI,5,0),1,0)*Data_NFI_t[[#This Row],[Kitchen Set]],0)</f>
        <v>0</v>
      </c>
      <c r="AE543" s="112">
        <f>IF(NFI_Expiration=1,IF($A543&lt;VLOOKUP(P$5,NFI,5,0),1,0)*Data_NFI_t[[#This Row],[Complementary Kit]],0)</f>
        <v>0</v>
      </c>
      <c r="AF543" s="112">
        <f>IF(NFI_Expiration=1,IF($A543&lt;VLOOKUP(Q$5,NFI,5,0),1,0)*Data_NFI_t[[#This Row],[Plastic Bucket]],0)</f>
        <v>0</v>
      </c>
      <c r="AG543" s="131">
        <f>IF(NFI_Expiration=1,IF($A543&lt;VLOOKUP(R$5,NFI,5,0),1,0)*Data_NFI_t[[#This Row],[Jerry Can]],0)</f>
        <v>0</v>
      </c>
      <c r="AH543" s="131">
        <f>IF(NFI_Expiration=1,IF($A543&lt;VLOOKUP(S$5,NFI,5,0),1,0)*Data_NFI_t[[#This Row],[Plastic Mat]],0)*IF(Data_NFI_t[[#This Row],[Distribution Date]]&gt;"01-06-2015",1,2.5)</f>
        <v>0</v>
      </c>
      <c r="AI543" s="901">
        <f>IF(NFI_Expiration=1,IF($A543&lt;VLOOKUP(T$5,NFI,5,0),1,0)*Data_NFI_t[[#This Row],[Adult Clothes]],0)</f>
        <v>0</v>
      </c>
      <c r="AJ543" s="131">
        <f>IF(NFI_Expiration=1,IF($A543&lt;VLOOKUP(U$5,NFI,5,0),1,0)*Data_NFI_t[[#This Row],[Children Clothes]],0)</f>
        <v>0</v>
      </c>
      <c r="AK543" s="131">
        <f>IF(NFI_Expiration=1,IF($A543&lt;VLOOKUP(V$5,NFI,5,0),1,0)*Data_NFI_t[[#This Row],[Sewing Kit]],0)</f>
        <v>0</v>
      </c>
      <c r="AL543" s="901">
        <f>IF(NFI_Expiration=1,IF($A543&lt;VLOOKUP(V$5,NFI,5,0),1,0)*Data_NFI_t[[#This Row],[Solar Lantern]],0)</f>
        <v>0</v>
      </c>
      <c r="AM543" s="131" t="str">
        <f ca="1">IFERROR(OFFSET(Camp_List[P_Code],MATCH(Data_NFI_t[[#This Row],[Camp Name]],Camp_List[Camp Name],0)-1,0,1,1),"")</f>
        <v/>
      </c>
      <c r="AN543" s="513" t="str">
        <f ca="1">IFERROR(OFFSET(Camp_List[Status],MATCH(Data_NFI_t[[#This Row],[Camp Name]],Camp_List[Camp Name],0)-1,0,1,1),"")</f>
        <v/>
      </c>
      <c r="AO543" s="131"/>
    </row>
    <row r="544" spans="1:41" s="789" customFormat="1" ht="19.5" customHeight="1" x14ac:dyDescent="0.25">
      <c r="A544" s="242" t="str">
        <f t="shared" si="11"/>
        <v/>
      </c>
      <c r="B544" s="522">
        <f>YEAR(Data_NFI_t[[#This Row],[Distribution Date]])</f>
        <v>1900</v>
      </c>
      <c r="C544" s="913"/>
      <c r="D544" s="489"/>
      <c r="E544" s="488"/>
      <c r="F544" s="489"/>
      <c r="G544" s="790"/>
      <c r="H544" s="790"/>
      <c r="I544" s="790"/>
      <c r="J544" s="51"/>
      <c r="K544" s="51"/>
      <c r="L544" s="119"/>
      <c r="M544" s="119"/>
      <c r="N544" s="119"/>
      <c r="O544" s="119"/>
      <c r="P544" s="119"/>
      <c r="Q544" s="119"/>
      <c r="R544" s="512"/>
      <c r="S544" s="119"/>
      <c r="T544" s="119"/>
      <c r="U544" s="119"/>
      <c r="V544" s="119"/>
      <c r="W544" s="119"/>
      <c r="X544" s="131">
        <f>IF(NFI_Expiration=1,IF($A544&lt;VLOOKUP(I$5,NFI,5,0),1,0)*Data_NFI_t[[#This Row],[Hygiene Kit]],0)</f>
        <v>0</v>
      </c>
      <c r="Y544" s="131">
        <f>IF(NFI_Expiration=1,IF($A544&lt;VLOOKUP(J$5,NFI,5,0),1,0)*Data_NFI_t[[#This Row],[NFI Core Kit]],0)</f>
        <v>0</v>
      </c>
      <c r="Z544" s="112">
        <f>IF(NFI_Expiration=1,IF($A544&lt;VLOOKUP(K$5,NFI,5,0),1,0)*Data_NFI_t[[#This Row],[Sanitary Kit]],0)</f>
        <v>0</v>
      </c>
      <c r="AA544" s="112">
        <f>IF(NFI_Expiration=1,IF($A544&lt;VLOOKUP(L$5,NFI,5,0),1,0)*Data_NFI_t[[#This Row],[Mosquito net]],0)</f>
        <v>0</v>
      </c>
      <c r="AB544" s="112">
        <f>IF(NFI_Expiration=1,IF($A544&lt;VLOOKUP(M$5,NFI,5,0),1,0)*Data_NFI_t[[#This Row],[Tarpaulin]],0)</f>
        <v>0</v>
      </c>
      <c r="AC544" s="112">
        <f>IF(NFI_Expiration=1,IF($A544&lt;VLOOKUP(N$5,NFI,5,0),1,0)*Data_NFI_t[[#This Row],[Blanket]],0)</f>
        <v>0</v>
      </c>
      <c r="AD544" s="112">
        <f>IF(NFI_Expiration=1,IF($A544&lt;VLOOKUP(O$5,NFI,5,0),1,0)*Data_NFI_t[[#This Row],[Kitchen Set]],0)</f>
        <v>0</v>
      </c>
      <c r="AE544" s="112">
        <f>IF(NFI_Expiration=1,IF($A544&lt;VLOOKUP(P$5,NFI,5,0),1,0)*Data_NFI_t[[#This Row],[Complementary Kit]],0)</f>
        <v>0</v>
      </c>
      <c r="AF544" s="112">
        <f>IF(NFI_Expiration=1,IF($A544&lt;VLOOKUP(Q$5,NFI,5,0),1,0)*Data_NFI_t[[#This Row],[Plastic Bucket]],0)</f>
        <v>0</v>
      </c>
      <c r="AG544" s="131">
        <f>IF(NFI_Expiration=1,IF($A544&lt;VLOOKUP(R$5,NFI,5,0),1,0)*Data_NFI_t[[#This Row],[Jerry Can]],0)</f>
        <v>0</v>
      </c>
      <c r="AH544" s="131">
        <f>IF(NFI_Expiration=1,IF($A544&lt;VLOOKUP(S$5,NFI,5,0),1,0)*Data_NFI_t[[#This Row],[Plastic Mat]],0)*IF(Data_NFI_t[[#This Row],[Distribution Date]]&gt;"01-06-2015",1,2.5)</f>
        <v>0</v>
      </c>
      <c r="AI544" s="901">
        <f>IF(NFI_Expiration=1,IF($A544&lt;VLOOKUP(T$5,NFI,5,0),1,0)*Data_NFI_t[[#This Row],[Adult Clothes]],0)</f>
        <v>0</v>
      </c>
      <c r="AJ544" s="131">
        <f>IF(NFI_Expiration=1,IF($A544&lt;VLOOKUP(U$5,NFI,5,0),1,0)*Data_NFI_t[[#This Row],[Children Clothes]],0)</f>
        <v>0</v>
      </c>
      <c r="AK544" s="131">
        <f>IF(NFI_Expiration=1,IF($A544&lt;VLOOKUP(V$5,NFI,5,0),1,0)*Data_NFI_t[[#This Row],[Sewing Kit]],0)</f>
        <v>0</v>
      </c>
      <c r="AL544" s="901">
        <f>IF(NFI_Expiration=1,IF($A544&lt;VLOOKUP(V$5,NFI,5,0),1,0)*Data_NFI_t[[#This Row],[Solar Lantern]],0)</f>
        <v>0</v>
      </c>
      <c r="AM544" s="131" t="str">
        <f ca="1">IFERROR(OFFSET(Camp_List[P_Code],MATCH(Data_NFI_t[[#This Row],[Camp Name]],Camp_List[Camp Name],0)-1,0,1,1),"")</f>
        <v/>
      </c>
      <c r="AN544" s="513" t="str">
        <f ca="1">IFERROR(OFFSET(Camp_List[Status],MATCH(Data_NFI_t[[#This Row],[Camp Name]],Camp_List[Camp Name],0)-1,0,1,1),"")</f>
        <v/>
      </c>
      <c r="AO544" s="131"/>
    </row>
    <row r="545" spans="1:41" s="789" customFormat="1" ht="19.5" customHeight="1" x14ac:dyDescent="0.25">
      <c r="A545" s="242" t="str">
        <f t="shared" si="11"/>
        <v/>
      </c>
      <c r="B545" s="522">
        <f>YEAR(Data_NFI_t[[#This Row],[Distribution Date]])</f>
        <v>1900</v>
      </c>
      <c r="C545" s="913"/>
      <c r="D545" s="489"/>
      <c r="E545" s="488"/>
      <c r="F545" s="489"/>
      <c r="G545" s="790"/>
      <c r="H545" s="790"/>
      <c r="I545" s="790"/>
      <c r="J545" s="51"/>
      <c r="K545" s="51"/>
      <c r="L545" s="119"/>
      <c r="M545" s="119"/>
      <c r="N545" s="119"/>
      <c r="O545" s="119"/>
      <c r="P545" s="119"/>
      <c r="Q545" s="119"/>
      <c r="R545" s="512"/>
      <c r="S545" s="119"/>
      <c r="T545" s="119"/>
      <c r="U545" s="119"/>
      <c r="V545" s="119"/>
      <c r="W545" s="119"/>
      <c r="X545" s="131">
        <f>IF(NFI_Expiration=1,IF($A545&lt;VLOOKUP(I$5,NFI,5,0),1,0)*Data_NFI_t[[#This Row],[Hygiene Kit]],0)</f>
        <v>0</v>
      </c>
      <c r="Y545" s="131">
        <f>IF(NFI_Expiration=1,IF($A545&lt;VLOOKUP(J$5,NFI,5,0),1,0)*Data_NFI_t[[#This Row],[NFI Core Kit]],0)</f>
        <v>0</v>
      </c>
      <c r="Z545" s="112">
        <f>IF(NFI_Expiration=1,IF($A545&lt;VLOOKUP(K$5,NFI,5,0),1,0)*Data_NFI_t[[#This Row],[Sanitary Kit]],0)</f>
        <v>0</v>
      </c>
      <c r="AA545" s="112">
        <f>IF(NFI_Expiration=1,IF($A545&lt;VLOOKUP(L$5,NFI,5,0),1,0)*Data_NFI_t[[#This Row],[Mosquito net]],0)</f>
        <v>0</v>
      </c>
      <c r="AB545" s="112">
        <f>IF(NFI_Expiration=1,IF($A545&lt;VLOOKUP(M$5,NFI,5,0),1,0)*Data_NFI_t[[#This Row],[Tarpaulin]],0)</f>
        <v>0</v>
      </c>
      <c r="AC545" s="112">
        <f>IF(NFI_Expiration=1,IF($A545&lt;VLOOKUP(N$5,NFI,5,0),1,0)*Data_NFI_t[[#This Row],[Blanket]],0)</f>
        <v>0</v>
      </c>
      <c r="AD545" s="112">
        <f>IF(NFI_Expiration=1,IF($A545&lt;VLOOKUP(O$5,NFI,5,0),1,0)*Data_NFI_t[[#This Row],[Kitchen Set]],0)</f>
        <v>0</v>
      </c>
      <c r="AE545" s="112">
        <f>IF(NFI_Expiration=1,IF($A545&lt;VLOOKUP(P$5,NFI,5,0),1,0)*Data_NFI_t[[#This Row],[Complementary Kit]],0)</f>
        <v>0</v>
      </c>
      <c r="AF545" s="112">
        <f>IF(NFI_Expiration=1,IF($A545&lt;VLOOKUP(Q$5,NFI,5,0),1,0)*Data_NFI_t[[#This Row],[Plastic Bucket]],0)</f>
        <v>0</v>
      </c>
      <c r="AG545" s="131">
        <f>IF(NFI_Expiration=1,IF($A545&lt;VLOOKUP(R$5,NFI,5,0),1,0)*Data_NFI_t[[#This Row],[Jerry Can]],0)</f>
        <v>0</v>
      </c>
      <c r="AH545" s="131">
        <f>IF(NFI_Expiration=1,IF($A545&lt;VLOOKUP(S$5,NFI,5,0),1,0)*Data_NFI_t[[#This Row],[Plastic Mat]],0)*IF(Data_NFI_t[[#This Row],[Distribution Date]]&gt;"01-06-2015",1,2.5)</f>
        <v>0</v>
      </c>
      <c r="AI545" s="901">
        <f>IF(NFI_Expiration=1,IF($A545&lt;VLOOKUP(T$5,NFI,5,0),1,0)*Data_NFI_t[[#This Row],[Adult Clothes]],0)</f>
        <v>0</v>
      </c>
      <c r="AJ545" s="131">
        <f>IF(NFI_Expiration=1,IF($A545&lt;VLOOKUP(U$5,NFI,5,0),1,0)*Data_NFI_t[[#This Row],[Children Clothes]],0)</f>
        <v>0</v>
      </c>
      <c r="AK545" s="131">
        <f>IF(NFI_Expiration=1,IF($A545&lt;VLOOKUP(V$5,NFI,5,0),1,0)*Data_NFI_t[[#This Row],[Sewing Kit]],0)</f>
        <v>0</v>
      </c>
      <c r="AL545" s="901">
        <f>IF(NFI_Expiration=1,IF($A545&lt;VLOOKUP(V$5,NFI,5,0),1,0)*Data_NFI_t[[#This Row],[Solar Lantern]],0)</f>
        <v>0</v>
      </c>
      <c r="AM545" s="131" t="str">
        <f ca="1">IFERROR(OFFSET(Camp_List[P_Code],MATCH(Data_NFI_t[[#This Row],[Camp Name]],Camp_List[Camp Name],0)-1,0,1,1),"")</f>
        <v/>
      </c>
      <c r="AN545" s="513" t="str">
        <f ca="1">IFERROR(OFFSET(Camp_List[Status],MATCH(Data_NFI_t[[#This Row],[Camp Name]],Camp_List[Camp Name],0)-1,0,1,1),"")</f>
        <v/>
      </c>
      <c r="AO545" s="131"/>
    </row>
    <row r="546" spans="1:41" s="789" customFormat="1" ht="19.5" customHeight="1" x14ac:dyDescent="0.25">
      <c r="A546" s="242" t="str">
        <f t="shared" si="11"/>
        <v/>
      </c>
      <c r="B546" s="522">
        <f>YEAR(Data_NFI_t[[#This Row],[Distribution Date]])</f>
        <v>1900</v>
      </c>
      <c r="C546" s="913"/>
      <c r="D546" s="489"/>
      <c r="E546" s="488"/>
      <c r="F546" s="489"/>
      <c r="G546" s="790"/>
      <c r="H546" s="790"/>
      <c r="I546" s="790"/>
      <c r="J546" s="51"/>
      <c r="K546" s="51"/>
      <c r="L546" s="119"/>
      <c r="M546" s="119"/>
      <c r="N546" s="119"/>
      <c r="O546" s="119"/>
      <c r="P546" s="119"/>
      <c r="Q546" s="119"/>
      <c r="R546" s="512"/>
      <c r="S546" s="119"/>
      <c r="T546" s="119"/>
      <c r="U546" s="119"/>
      <c r="V546" s="119"/>
      <c r="W546" s="119"/>
      <c r="X546" s="131">
        <f>IF(NFI_Expiration=1,IF($A546&lt;VLOOKUP(I$5,NFI,5,0),1,0)*Data_NFI_t[[#This Row],[Hygiene Kit]],0)</f>
        <v>0</v>
      </c>
      <c r="Y546" s="131">
        <f>IF(NFI_Expiration=1,IF($A546&lt;VLOOKUP(J$5,NFI,5,0),1,0)*Data_NFI_t[[#This Row],[NFI Core Kit]],0)</f>
        <v>0</v>
      </c>
      <c r="Z546" s="112">
        <f>IF(NFI_Expiration=1,IF($A546&lt;VLOOKUP(K$5,NFI,5,0),1,0)*Data_NFI_t[[#This Row],[Sanitary Kit]],0)</f>
        <v>0</v>
      </c>
      <c r="AA546" s="112">
        <f>IF(NFI_Expiration=1,IF($A546&lt;VLOOKUP(L$5,NFI,5,0),1,0)*Data_NFI_t[[#This Row],[Mosquito net]],0)</f>
        <v>0</v>
      </c>
      <c r="AB546" s="112">
        <f>IF(NFI_Expiration=1,IF($A546&lt;VLOOKUP(M$5,NFI,5,0),1,0)*Data_NFI_t[[#This Row],[Tarpaulin]],0)</f>
        <v>0</v>
      </c>
      <c r="AC546" s="112">
        <f>IF(NFI_Expiration=1,IF($A546&lt;VLOOKUP(N$5,NFI,5,0),1,0)*Data_NFI_t[[#This Row],[Blanket]],0)</f>
        <v>0</v>
      </c>
      <c r="AD546" s="112">
        <f>IF(NFI_Expiration=1,IF($A546&lt;VLOOKUP(O$5,NFI,5,0),1,0)*Data_NFI_t[[#This Row],[Kitchen Set]],0)</f>
        <v>0</v>
      </c>
      <c r="AE546" s="112">
        <f>IF(NFI_Expiration=1,IF($A546&lt;VLOOKUP(P$5,NFI,5,0),1,0)*Data_NFI_t[[#This Row],[Complementary Kit]],0)</f>
        <v>0</v>
      </c>
      <c r="AF546" s="112">
        <f>IF(NFI_Expiration=1,IF($A546&lt;VLOOKUP(Q$5,NFI,5,0),1,0)*Data_NFI_t[[#This Row],[Plastic Bucket]],0)</f>
        <v>0</v>
      </c>
      <c r="AG546" s="131">
        <f>IF(NFI_Expiration=1,IF($A546&lt;VLOOKUP(R$5,NFI,5,0),1,0)*Data_NFI_t[[#This Row],[Jerry Can]],0)</f>
        <v>0</v>
      </c>
      <c r="AH546" s="131">
        <f>IF(NFI_Expiration=1,IF($A546&lt;VLOOKUP(S$5,NFI,5,0),1,0)*Data_NFI_t[[#This Row],[Plastic Mat]],0)*IF(Data_NFI_t[[#This Row],[Distribution Date]]&gt;"01-06-2015",1,2.5)</f>
        <v>0</v>
      </c>
      <c r="AI546" s="901">
        <f>IF(NFI_Expiration=1,IF($A546&lt;VLOOKUP(T$5,NFI,5,0),1,0)*Data_NFI_t[[#This Row],[Adult Clothes]],0)</f>
        <v>0</v>
      </c>
      <c r="AJ546" s="131">
        <f>IF(NFI_Expiration=1,IF($A546&lt;VLOOKUP(U$5,NFI,5,0),1,0)*Data_NFI_t[[#This Row],[Children Clothes]],0)</f>
        <v>0</v>
      </c>
      <c r="AK546" s="131">
        <f>IF(NFI_Expiration=1,IF($A546&lt;VLOOKUP(V$5,NFI,5,0),1,0)*Data_NFI_t[[#This Row],[Sewing Kit]],0)</f>
        <v>0</v>
      </c>
      <c r="AL546" s="901">
        <f>IF(NFI_Expiration=1,IF($A546&lt;VLOOKUP(V$5,NFI,5,0),1,0)*Data_NFI_t[[#This Row],[Solar Lantern]],0)</f>
        <v>0</v>
      </c>
      <c r="AM546" s="131" t="str">
        <f ca="1">IFERROR(OFFSET(Camp_List[P_Code],MATCH(Data_NFI_t[[#This Row],[Camp Name]],Camp_List[Camp Name],0)-1,0,1,1),"")</f>
        <v/>
      </c>
      <c r="AN546" s="513" t="str">
        <f ca="1">IFERROR(OFFSET(Camp_List[Status],MATCH(Data_NFI_t[[#This Row],[Camp Name]],Camp_List[Camp Name],0)-1,0,1,1),"")</f>
        <v/>
      </c>
      <c r="AO546" s="131"/>
    </row>
    <row r="547" spans="1:41" s="789" customFormat="1" ht="19.5" customHeight="1" x14ac:dyDescent="0.25">
      <c r="A547" s="242" t="str">
        <f t="shared" si="11"/>
        <v/>
      </c>
      <c r="B547" s="522">
        <f>YEAR(Data_NFI_t[[#This Row],[Distribution Date]])</f>
        <v>1900</v>
      </c>
      <c r="C547" s="913"/>
      <c r="D547" s="489"/>
      <c r="E547" s="488"/>
      <c r="F547" s="489"/>
      <c r="G547" s="790"/>
      <c r="H547" s="790"/>
      <c r="I547" s="790"/>
      <c r="J547" s="51"/>
      <c r="K547" s="51"/>
      <c r="L547" s="119"/>
      <c r="M547" s="119"/>
      <c r="N547" s="119"/>
      <c r="O547" s="119"/>
      <c r="P547" s="119"/>
      <c r="Q547" s="119"/>
      <c r="R547" s="512"/>
      <c r="S547" s="119"/>
      <c r="T547" s="119"/>
      <c r="U547" s="119"/>
      <c r="V547" s="119"/>
      <c r="W547" s="119"/>
      <c r="X547" s="131">
        <f>IF(NFI_Expiration=1,IF($A547&lt;VLOOKUP(I$5,NFI,5,0),1,0)*Data_NFI_t[[#This Row],[Hygiene Kit]],0)</f>
        <v>0</v>
      </c>
      <c r="Y547" s="131">
        <f>IF(NFI_Expiration=1,IF($A547&lt;VLOOKUP(J$5,NFI,5,0),1,0)*Data_NFI_t[[#This Row],[NFI Core Kit]],0)</f>
        <v>0</v>
      </c>
      <c r="Z547" s="112">
        <f>IF(NFI_Expiration=1,IF($A547&lt;VLOOKUP(K$5,NFI,5,0),1,0)*Data_NFI_t[[#This Row],[Sanitary Kit]],0)</f>
        <v>0</v>
      </c>
      <c r="AA547" s="112">
        <f>IF(NFI_Expiration=1,IF($A547&lt;VLOOKUP(L$5,NFI,5,0),1,0)*Data_NFI_t[[#This Row],[Mosquito net]],0)</f>
        <v>0</v>
      </c>
      <c r="AB547" s="112">
        <f>IF(NFI_Expiration=1,IF($A547&lt;VLOOKUP(M$5,NFI,5,0),1,0)*Data_NFI_t[[#This Row],[Tarpaulin]],0)</f>
        <v>0</v>
      </c>
      <c r="AC547" s="112">
        <f>IF(NFI_Expiration=1,IF($A547&lt;VLOOKUP(N$5,NFI,5,0),1,0)*Data_NFI_t[[#This Row],[Blanket]],0)</f>
        <v>0</v>
      </c>
      <c r="AD547" s="112">
        <f>IF(NFI_Expiration=1,IF($A547&lt;VLOOKUP(O$5,NFI,5,0),1,0)*Data_NFI_t[[#This Row],[Kitchen Set]],0)</f>
        <v>0</v>
      </c>
      <c r="AE547" s="112">
        <f>IF(NFI_Expiration=1,IF($A547&lt;VLOOKUP(P$5,NFI,5,0),1,0)*Data_NFI_t[[#This Row],[Complementary Kit]],0)</f>
        <v>0</v>
      </c>
      <c r="AF547" s="112">
        <f>IF(NFI_Expiration=1,IF($A547&lt;VLOOKUP(Q$5,NFI,5,0),1,0)*Data_NFI_t[[#This Row],[Plastic Bucket]],0)</f>
        <v>0</v>
      </c>
      <c r="AG547" s="131">
        <f>IF(NFI_Expiration=1,IF($A547&lt;VLOOKUP(R$5,NFI,5,0),1,0)*Data_NFI_t[[#This Row],[Jerry Can]],0)</f>
        <v>0</v>
      </c>
      <c r="AH547" s="131">
        <f>IF(NFI_Expiration=1,IF($A547&lt;VLOOKUP(S$5,NFI,5,0),1,0)*Data_NFI_t[[#This Row],[Plastic Mat]],0)*IF(Data_NFI_t[[#This Row],[Distribution Date]]&gt;"01-06-2015",1,2.5)</f>
        <v>0</v>
      </c>
      <c r="AI547" s="901">
        <f>IF(NFI_Expiration=1,IF($A547&lt;VLOOKUP(T$5,NFI,5,0),1,0)*Data_NFI_t[[#This Row],[Adult Clothes]],0)</f>
        <v>0</v>
      </c>
      <c r="AJ547" s="131">
        <f>IF(NFI_Expiration=1,IF($A547&lt;VLOOKUP(U$5,NFI,5,0),1,0)*Data_NFI_t[[#This Row],[Children Clothes]],0)</f>
        <v>0</v>
      </c>
      <c r="AK547" s="131">
        <f>IF(NFI_Expiration=1,IF($A547&lt;VLOOKUP(V$5,NFI,5,0),1,0)*Data_NFI_t[[#This Row],[Sewing Kit]],0)</f>
        <v>0</v>
      </c>
      <c r="AL547" s="901">
        <f>IF(NFI_Expiration=1,IF($A547&lt;VLOOKUP(V$5,NFI,5,0),1,0)*Data_NFI_t[[#This Row],[Solar Lantern]],0)</f>
        <v>0</v>
      </c>
      <c r="AM547" s="131" t="str">
        <f ca="1">IFERROR(OFFSET(Camp_List[P_Code],MATCH(Data_NFI_t[[#This Row],[Camp Name]],Camp_List[Camp Name],0)-1,0,1,1),"")</f>
        <v/>
      </c>
      <c r="AN547" s="513" t="str">
        <f ca="1">IFERROR(OFFSET(Camp_List[Status],MATCH(Data_NFI_t[[#This Row],[Camp Name]],Camp_List[Camp Name],0)-1,0,1,1),"")</f>
        <v/>
      </c>
      <c r="AO547" s="131"/>
    </row>
    <row r="548" spans="1:41" s="789" customFormat="1" ht="19.5" customHeight="1" x14ac:dyDescent="0.25">
      <c r="A548" s="242" t="str">
        <f t="shared" si="11"/>
        <v/>
      </c>
      <c r="B548" s="522">
        <f>YEAR(Data_NFI_t[[#This Row],[Distribution Date]])</f>
        <v>1900</v>
      </c>
      <c r="C548" s="913"/>
      <c r="D548" s="489"/>
      <c r="E548" s="488"/>
      <c r="F548" s="489"/>
      <c r="G548" s="790"/>
      <c r="H548" s="790"/>
      <c r="I548" s="790"/>
      <c r="J548" s="51"/>
      <c r="K548" s="51"/>
      <c r="L548" s="119"/>
      <c r="M548" s="119"/>
      <c r="N548" s="119"/>
      <c r="O548" s="119"/>
      <c r="P548" s="119"/>
      <c r="Q548" s="119"/>
      <c r="R548" s="512"/>
      <c r="S548" s="119"/>
      <c r="T548" s="119"/>
      <c r="U548" s="119"/>
      <c r="V548" s="119"/>
      <c r="W548" s="119"/>
      <c r="X548" s="131">
        <f>IF(NFI_Expiration=1,IF($A548&lt;VLOOKUP(I$5,NFI,5,0),1,0)*Data_NFI_t[[#This Row],[Hygiene Kit]],0)</f>
        <v>0</v>
      </c>
      <c r="Y548" s="131">
        <f>IF(NFI_Expiration=1,IF($A548&lt;VLOOKUP(J$5,NFI,5,0),1,0)*Data_NFI_t[[#This Row],[NFI Core Kit]],0)</f>
        <v>0</v>
      </c>
      <c r="Z548" s="112">
        <f>IF(NFI_Expiration=1,IF($A548&lt;VLOOKUP(K$5,NFI,5,0),1,0)*Data_NFI_t[[#This Row],[Sanitary Kit]],0)</f>
        <v>0</v>
      </c>
      <c r="AA548" s="112">
        <f>IF(NFI_Expiration=1,IF($A548&lt;VLOOKUP(L$5,NFI,5,0),1,0)*Data_NFI_t[[#This Row],[Mosquito net]],0)</f>
        <v>0</v>
      </c>
      <c r="AB548" s="112">
        <f>IF(NFI_Expiration=1,IF($A548&lt;VLOOKUP(M$5,NFI,5,0),1,0)*Data_NFI_t[[#This Row],[Tarpaulin]],0)</f>
        <v>0</v>
      </c>
      <c r="AC548" s="112">
        <f>IF(NFI_Expiration=1,IF($A548&lt;VLOOKUP(N$5,NFI,5,0),1,0)*Data_NFI_t[[#This Row],[Blanket]],0)</f>
        <v>0</v>
      </c>
      <c r="AD548" s="112">
        <f>IF(NFI_Expiration=1,IF($A548&lt;VLOOKUP(O$5,NFI,5,0),1,0)*Data_NFI_t[[#This Row],[Kitchen Set]],0)</f>
        <v>0</v>
      </c>
      <c r="AE548" s="112">
        <f>IF(NFI_Expiration=1,IF($A548&lt;VLOOKUP(P$5,NFI,5,0),1,0)*Data_NFI_t[[#This Row],[Complementary Kit]],0)</f>
        <v>0</v>
      </c>
      <c r="AF548" s="112">
        <f>IF(NFI_Expiration=1,IF($A548&lt;VLOOKUP(Q$5,NFI,5,0),1,0)*Data_NFI_t[[#This Row],[Plastic Bucket]],0)</f>
        <v>0</v>
      </c>
      <c r="AG548" s="131">
        <f>IF(NFI_Expiration=1,IF($A548&lt;VLOOKUP(R$5,NFI,5,0),1,0)*Data_NFI_t[[#This Row],[Jerry Can]],0)</f>
        <v>0</v>
      </c>
      <c r="AH548" s="131">
        <f>IF(NFI_Expiration=1,IF($A548&lt;VLOOKUP(S$5,NFI,5,0),1,0)*Data_NFI_t[[#This Row],[Plastic Mat]],0)*IF(Data_NFI_t[[#This Row],[Distribution Date]]&gt;"01-06-2015",1,2.5)</f>
        <v>0</v>
      </c>
      <c r="AI548" s="901">
        <f>IF(NFI_Expiration=1,IF($A548&lt;VLOOKUP(T$5,NFI,5,0),1,0)*Data_NFI_t[[#This Row],[Adult Clothes]],0)</f>
        <v>0</v>
      </c>
      <c r="AJ548" s="131">
        <f>IF(NFI_Expiration=1,IF($A548&lt;VLOOKUP(U$5,NFI,5,0),1,0)*Data_NFI_t[[#This Row],[Children Clothes]],0)</f>
        <v>0</v>
      </c>
      <c r="AK548" s="131">
        <f>IF(NFI_Expiration=1,IF($A548&lt;VLOOKUP(V$5,NFI,5,0),1,0)*Data_NFI_t[[#This Row],[Sewing Kit]],0)</f>
        <v>0</v>
      </c>
      <c r="AL548" s="901">
        <f>IF(NFI_Expiration=1,IF($A548&lt;VLOOKUP(V$5,NFI,5,0),1,0)*Data_NFI_t[[#This Row],[Solar Lantern]],0)</f>
        <v>0</v>
      </c>
      <c r="AM548" s="131" t="str">
        <f ca="1">IFERROR(OFFSET(Camp_List[P_Code],MATCH(Data_NFI_t[[#This Row],[Camp Name]],Camp_List[Camp Name],0)-1,0,1,1),"")</f>
        <v/>
      </c>
      <c r="AN548" s="513" t="str">
        <f ca="1">IFERROR(OFFSET(Camp_List[Status],MATCH(Data_NFI_t[[#This Row],[Camp Name]],Camp_List[Camp Name],0)-1,0,1,1),"")</f>
        <v/>
      </c>
      <c r="AO548" s="131"/>
    </row>
    <row r="549" spans="1:41" s="789" customFormat="1" ht="19.5" customHeight="1" x14ac:dyDescent="0.25">
      <c r="A549" s="242" t="str">
        <f t="shared" si="11"/>
        <v/>
      </c>
      <c r="B549" s="522">
        <f>YEAR(Data_NFI_t[[#This Row],[Distribution Date]])</f>
        <v>1900</v>
      </c>
      <c r="C549" s="913"/>
      <c r="D549" s="489"/>
      <c r="E549" s="488"/>
      <c r="F549" s="489"/>
      <c r="G549" s="790"/>
      <c r="H549" s="790"/>
      <c r="I549" s="790"/>
      <c r="J549" s="51"/>
      <c r="K549" s="51"/>
      <c r="L549" s="119"/>
      <c r="M549" s="119"/>
      <c r="N549" s="119"/>
      <c r="O549" s="119"/>
      <c r="P549" s="119"/>
      <c r="Q549" s="119"/>
      <c r="R549" s="512"/>
      <c r="S549" s="119"/>
      <c r="T549" s="119"/>
      <c r="U549" s="119"/>
      <c r="V549" s="119"/>
      <c r="W549" s="119"/>
      <c r="X549" s="131">
        <f>IF(NFI_Expiration=1,IF($A549&lt;VLOOKUP(I$5,NFI,5,0),1,0)*Data_NFI_t[[#This Row],[Hygiene Kit]],0)</f>
        <v>0</v>
      </c>
      <c r="Y549" s="131">
        <f>IF(NFI_Expiration=1,IF($A549&lt;VLOOKUP(J$5,NFI,5,0),1,0)*Data_NFI_t[[#This Row],[NFI Core Kit]],0)</f>
        <v>0</v>
      </c>
      <c r="Z549" s="112">
        <f>IF(NFI_Expiration=1,IF($A549&lt;VLOOKUP(K$5,NFI,5,0),1,0)*Data_NFI_t[[#This Row],[Sanitary Kit]],0)</f>
        <v>0</v>
      </c>
      <c r="AA549" s="112">
        <f>IF(NFI_Expiration=1,IF($A549&lt;VLOOKUP(L$5,NFI,5,0),1,0)*Data_NFI_t[[#This Row],[Mosquito net]],0)</f>
        <v>0</v>
      </c>
      <c r="AB549" s="112">
        <f>IF(NFI_Expiration=1,IF($A549&lt;VLOOKUP(M$5,NFI,5,0),1,0)*Data_NFI_t[[#This Row],[Tarpaulin]],0)</f>
        <v>0</v>
      </c>
      <c r="AC549" s="112">
        <f>IF(NFI_Expiration=1,IF($A549&lt;VLOOKUP(N$5,NFI,5,0),1,0)*Data_NFI_t[[#This Row],[Blanket]],0)</f>
        <v>0</v>
      </c>
      <c r="AD549" s="112">
        <f>IF(NFI_Expiration=1,IF($A549&lt;VLOOKUP(O$5,NFI,5,0),1,0)*Data_NFI_t[[#This Row],[Kitchen Set]],0)</f>
        <v>0</v>
      </c>
      <c r="AE549" s="112">
        <f>IF(NFI_Expiration=1,IF($A549&lt;VLOOKUP(P$5,NFI,5,0),1,0)*Data_NFI_t[[#This Row],[Complementary Kit]],0)</f>
        <v>0</v>
      </c>
      <c r="AF549" s="112">
        <f>IF(NFI_Expiration=1,IF($A549&lt;VLOOKUP(Q$5,NFI,5,0),1,0)*Data_NFI_t[[#This Row],[Plastic Bucket]],0)</f>
        <v>0</v>
      </c>
      <c r="AG549" s="131">
        <f>IF(NFI_Expiration=1,IF($A549&lt;VLOOKUP(R$5,NFI,5,0),1,0)*Data_NFI_t[[#This Row],[Jerry Can]],0)</f>
        <v>0</v>
      </c>
      <c r="AH549" s="131">
        <f>IF(NFI_Expiration=1,IF($A549&lt;VLOOKUP(S$5,NFI,5,0),1,0)*Data_NFI_t[[#This Row],[Plastic Mat]],0)*IF(Data_NFI_t[[#This Row],[Distribution Date]]&gt;"01-06-2015",1,2.5)</f>
        <v>0</v>
      </c>
      <c r="AI549" s="901">
        <f>IF(NFI_Expiration=1,IF($A549&lt;VLOOKUP(T$5,NFI,5,0),1,0)*Data_NFI_t[[#This Row],[Adult Clothes]],0)</f>
        <v>0</v>
      </c>
      <c r="AJ549" s="131">
        <f>IF(NFI_Expiration=1,IF($A549&lt;VLOOKUP(U$5,NFI,5,0),1,0)*Data_NFI_t[[#This Row],[Children Clothes]],0)</f>
        <v>0</v>
      </c>
      <c r="AK549" s="131">
        <f>IF(NFI_Expiration=1,IF($A549&lt;VLOOKUP(V$5,NFI,5,0),1,0)*Data_NFI_t[[#This Row],[Sewing Kit]],0)</f>
        <v>0</v>
      </c>
      <c r="AL549" s="901">
        <f>IF(NFI_Expiration=1,IF($A549&lt;VLOOKUP(V$5,NFI,5,0),1,0)*Data_NFI_t[[#This Row],[Solar Lantern]],0)</f>
        <v>0</v>
      </c>
      <c r="AM549" s="131" t="str">
        <f ca="1">IFERROR(OFFSET(Camp_List[P_Code],MATCH(Data_NFI_t[[#This Row],[Camp Name]],Camp_List[Camp Name],0)-1,0,1,1),"")</f>
        <v/>
      </c>
      <c r="AN549" s="513" t="str">
        <f ca="1">IFERROR(OFFSET(Camp_List[Status],MATCH(Data_NFI_t[[#This Row],[Camp Name]],Camp_List[Camp Name],0)-1,0,1,1),"")</f>
        <v/>
      </c>
      <c r="AO549" s="131"/>
    </row>
    <row r="550" spans="1:41" s="789" customFormat="1" ht="19.5" customHeight="1" x14ac:dyDescent="0.25">
      <c r="A550" s="242" t="str">
        <f t="shared" si="11"/>
        <v/>
      </c>
      <c r="B550" s="522">
        <f>YEAR(Data_NFI_t[[#This Row],[Distribution Date]])</f>
        <v>1900</v>
      </c>
      <c r="C550" s="913"/>
      <c r="D550" s="489"/>
      <c r="E550" s="488"/>
      <c r="F550" s="489"/>
      <c r="G550" s="790"/>
      <c r="H550" s="790"/>
      <c r="I550" s="790"/>
      <c r="J550" s="51"/>
      <c r="K550" s="51"/>
      <c r="L550" s="119"/>
      <c r="M550" s="119"/>
      <c r="N550" s="119"/>
      <c r="O550" s="119"/>
      <c r="P550" s="119"/>
      <c r="Q550" s="119"/>
      <c r="R550" s="512"/>
      <c r="S550" s="119"/>
      <c r="T550" s="119"/>
      <c r="U550" s="119"/>
      <c r="V550" s="119"/>
      <c r="W550" s="119"/>
      <c r="X550" s="131">
        <f>IF(NFI_Expiration=1,IF($A550&lt;VLOOKUP(I$5,NFI,5,0),1,0)*Data_NFI_t[[#This Row],[Hygiene Kit]],0)</f>
        <v>0</v>
      </c>
      <c r="Y550" s="131">
        <f>IF(NFI_Expiration=1,IF($A550&lt;VLOOKUP(J$5,NFI,5,0),1,0)*Data_NFI_t[[#This Row],[NFI Core Kit]],0)</f>
        <v>0</v>
      </c>
      <c r="Z550" s="112">
        <f>IF(NFI_Expiration=1,IF($A550&lt;VLOOKUP(K$5,NFI,5,0),1,0)*Data_NFI_t[[#This Row],[Sanitary Kit]],0)</f>
        <v>0</v>
      </c>
      <c r="AA550" s="112">
        <f>IF(NFI_Expiration=1,IF($A550&lt;VLOOKUP(L$5,NFI,5,0),1,0)*Data_NFI_t[[#This Row],[Mosquito net]],0)</f>
        <v>0</v>
      </c>
      <c r="AB550" s="112">
        <f>IF(NFI_Expiration=1,IF($A550&lt;VLOOKUP(M$5,NFI,5,0),1,0)*Data_NFI_t[[#This Row],[Tarpaulin]],0)</f>
        <v>0</v>
      </c>
      <c r="AC550" s="112">
        <f>IF(NFI_Expiration=1,IF($A550&lt;VLOOKUP(N$5,NFI,5,0),1,0)*Data_NFI_t[[#This Row],[Blanket]],0)</f>
        <v>0</v>
      </c>
      <c r="AD550" s="112">
        <f>IF(NFI_Expiration=1,IF($A550&lt;VLOOKUP(O$5,NFI,5,0),1,0)*Data_NFI_t[[#This Row],[Kitchen Set]],0)</f>
        <v>0</v>
      </c>
      <c r="AE550" s="112">
        <f>IF(NFI_Expiration=1,IF($A550&lt;VLOOKUP(P$5,NFI,5,0),1,0)*Data_NFI_t[[#This Row],[Complementary Kit]],0)</f>
        <v>0</v>
      </c>
      <c r="AF550" s="112">
        <f>IF(NFI_Expiration=1,IF($A550&lt;VLOOKUP(Q$5,NFI,5,0),1,0)*Data_NFI_t[[#This Row],[Plastic Bucket]],0)</f>
        <v>0</v>
      </c>
      <c r="AG550" s="131">
        <f>IF(NFI_Expiration=1,IF($A550&lt;VLOOKUP(R$5,NFI,5,0),1,0)*Data_NFI_t[[#This Row],[Jerry Can]],0)</f>
        <v>0</v>
      </c>
      <c r="AH550" s="131">
        <f>IF(NFI_Expiration=1,IF($A550&lt;VLOOKUP(S$5,NFI,5,0),1,0)*Data_NFI_t[[#This Row],[Plastic Mat]],0)*IF(Data_NFI_t[[#This Row],[Distribution Date]]&gt;"01-06-2015",1,2.5)</f>
        <v>0</v>
      </c>
      <c r="AI550" s="901">
        <f>IF(NFI_Expiration=1,IF($A550&lt;VLOOKUP(T$5,NFI,5,0),1,0)*Data_NFI_t[[#This Row],[Adult Clothes]],0)</f>
        <v>0</v>
      </c>
      <c r="AJ550" s="131">
        <f>IF(NFI_Expiration=1,IF($A550&lt;VLOOKUP(U$5,NFI,5,0),1,0)*Data_NFI_t[[#This Row],[Children Clothes]],0)</f>
        <v>0</v>
      </c>
      <c r="AK550" s="131">
        <f>IF(NFI_Expiration=1,IF($A550&lt;VLOOKUP(V$5,NFI,5,0),1,0)*Data_NFI_t[[#This Row],[Sewing Kit]],0)</f>
        <v>0</v>
      </c>
      <c r="AL550" s="901">
        <f>IF(NFI_Expiration=1,IF($A550&lt;VLOOKUP(V$5,NFI,5,0),1,0)*Data_NFI_t[[#This Row],[Solar Lantern]],0)</f>
        <v>0</v>
      </c>
      <c r="AM550" s="131" t="str">
        <f ca="1">IFERROR(OFFSET(Camp_List[P_Code],MATCH(Data_NFI_t[[#This Row],[Camp Name]],Camp_List[Camp Name],0)-1,0,1,1),"")</f>
        <v/>
      </c>
      <c r="AN550" s="513" t="str">
        <f ca="1">IFERROR(OFFSET(Camp_List[Status],MATCH(Data_NFI_t[[#This Row],[Camp Name]],Camp_List[Camp Name],0)-1,0,1,1),"")</f>
        <v/>
      </c>
      <c r="AO550" s="131"/>
    </row>
    <row r="551" spans="1:41" s="789" customFormat="1" ht="19.5" customHeight="1" x14ac:dyDescent="0.25">
      <c r="A551" s="242" t="str">
        <f t="shared" si="11"/>
        <v/>
      </c>
      <c r="B551" s="522">
        <f>YEAR(Data_NFI_t[[#This Row],[Distribution Date]])</f>
        <v>1900</v>
      </c>
      <c r="C551" s="913"/>
      <c r="D551" s="489"/>
      <c r="E551" s="488"/>
      <c r="F551" s="489"/>
      <c r="G551" s="790"/>
      <c r="H551" s="790"/>
      <c r="I551" s="790"/>
      <c r="J551" s="51"/>
      <c r="K551" s="51"/>
      <c r="L551" s="119"/>
      <c r="M551" s="119"/>
      <c r="N551" s="119"/>
      <c r="O551" s="119"/>
      <c r="P551" s="119"/>
      <c r="Q551" s="119"/>
      <c r="R551" s="512"/>
      <c r="S551" s="119"/>
      <c r="T551" s="119"/>
      <c r="U551" s="119"/>
      <c r="V551" s="119"/>
      <c r="W551" s="119"/>
      <c r="X551" s="131">
        <f>IF(NFI_Expiration=1,IF($A551&lt;VLOOKUP(I$5,NFI,5,0),1,0)*Data_NFI_t[[#This Row],[Hygiene Kit]],0)</f>
        <v>0</v>
      </c>
      <c r="Y551" s="131">
        <f>IF(NFI_Expiration=1,IF($A551&lt;VLOOKUP(J$5,NFI,5,0),1,0)*Data_NFI_t[[#This Row],[NFI Core Kit]],0)</f>
        <v>0</v>
      </c>
      <c r="Z551" s="112">
        <f>IF(NFI_Expiration=1,IF($A551&lt;VLOOKUP(K$5,NFI,5,0),1,0)*Data_NFI_t[[#This Row],[Sanitary Kit]],0)</f>
        <v>0</v>
      </c>
      <c r="AA551" s="112">
        <f>IF(NFI_Expiration=1,IF($A551&lt;VLOOKUP(L$5,NFI,5,0),1,0)*Data_NFI_t[[#This Row],[Mosquito net]],0)</f>
        <v>0</v>
      </c>
      <c r="AB551" s="112">
        <f>IF(NFI_Expiration=1,IF($A551&lt;VLOOKUP(M$5,NFI,5,0),1,0)*Data_NFI_t[[#This Row],[Tarpaulin]],0)</f>
        <v>0</v>
      </c>
      <c r="AC551" s="112">
        <f>IF(NFI_Expiration=1,IF($A551&lt;VLOOKUP(N$5,NFI,5,0),1,0)*Data_NFI_t[[#This Row],[Blanket]],0)</f>
        <v>0</v>
      </c>
      <c r="AD551" s="112">
        <f>IF(NFI_Expiration=1,IF($A551&lt;VLOOKUP(O$5,NFI,5,0),1,0)*Data_NFI_t[[#This Row],[Kitchen Set]],0)</f>
        <v>0</v>
      </c>
      <c r="AE551" s="112">
        <f>IF(NFI_Expiration=1,IF($A551&lt;VLOOKUP(P$5,NFI,5,0),1,0)*Data_NFI_t[[#This Row],[Complementary Kit]],0)</f>
        <v>0</v>
      </c>
      <c r="AF551" s="112">
        <f>IF(NFI_Expiration=1,IF($A551&lt;VLOOKUP(Q$5,NFI,5,0),1,0)*Data_NFI_t[[#This Row],[Plastic Bucket]],0)</f>
        <v>0</v>
      </c>
      <c r="AG551" s="131">
        <f>IF(NFI_Expiration=1,IF($A551&lt;VLOOKUP(R$5,NFI,5,0),1,0)*Data_NFI_t[[#This Row],[Jerry Can]],0)</f>
        <v>0</v>
      </c>
      <c r="AH551" s="131">
        <f>IF(NFI_Expiration=1,IF($A551&lt;VLOOKUP(S$5,NFI,5,0),1,0)*Data_NFI_t[[#This Row],[Plastic Mat]],0)*IF(Data_NFI_t[[#This Row],[Distribution Date]]&gt;"01-06-2015",1,2.5)</f>
        <v>0</v>
      </c>
      <c r="AI551" s="901">
        <f>IF(NFI_Expiration=1,IF($A551&lt;VLOOKUP(T$5,NFI,5,0),1,0)*Data_NFI_t[[#This Row],[Adult Clothes]],0)</f>
        <v>0</v>
      </c>
      <c r="AJ551" s="131">
        <f>IF(NFI_Expiration=1,IF($A551&lt;VLOOKUP(U$5,NFI,5,0),1,0)*Data_NFI_t[[#This Row],[Children Clothes]],0)</f>
        <v>0</v>
      </c>
      <c r="AK551" s="131">
        <f>IF(NFI_Expiration=1,IF($A551&lt;VLOOKUP(V$5,NFI,5,0),1,0)*Data_NFI_t[[#This Row],[Sewing Kit]],0)</f>
        <v>0</v>
      </c>
      <c r="AL551" s="901">
        <f>IF(NFI_Expiration=1,IF($A551&lt;VLOOKUP(V$5,NFI,5,0),1,0)*Data_NFI_t[[#This Row],[Solar Lantern]],0)</f>
        <v>0</v>
      </c>
      <c r="AM551" s="131" t="str">
        <f ca="1">IFERROR(OFFSET(Camp_List[P_Code],MATCH(Data_NFI_t[[#This Row],[Camp Name]],Camp_List[Camp Name],0)-1,0,1,1),"")</f>
        <v/>
      </c>
      <c r="AN551" s="513" t="str">
        <f ca="1">IFERROR(OFFSET(Camp_List[Status],MATCH(Data_NFI_t[[#This Row],[Camp Name]],Camp_List[Camp Name],0)-1,0,1,1),"")</f>
        <v/>
      </c>
      <c r="AO551" s="131"/>
    </row>
    <row r="552" spans="1:41" s="789" customFormat="1" ht="19.5" customHeight="1" x14ac:dyDescent="0.25">
      <c r="A552" s="242" t="str">
        <f t="shared" si="11"/>
        <v/>
      </c>
      <c r="B552" s="522">
        <f>YEAR(Data_NFI_t[[#This Row],[Distribution Date]])</f>
        <v>1900</v>
      </c>
      <c r="C552" s="913"/>
      <c r="D552" s="489"/>
      <c r="E552" s="488"/>
      <c r="F552" s="489"/>
      <c r="G552" s="790"/>
      <c r="H552" s="790"/>
      <c r="I552" s="790"/>
      <c r="J552" s="51"/>
      <c r="K552" s="51"/>
      <c r="L552" s="119"/>
      <c r="M552" s="119"/>
      <c r="N552" s="119"/>
      <c r="O552" s="119"/>
      <c r="P552" s="119"/>
      <c r="Q552" s="119"/>
      <c r="R552" s="512"/>
      <c r="S552" s="119"/>
      <c r="T552" s="119"/>
      <c r="U552" s="119"/>
      <c r="V552" s="119"/>
      <c r="W552" s="119"/>
      <c r="X552" s="131">
        <f>IF(NFI_Expiration=1,IF($A552&lt;VLOOKUP(I$5,NFI,5,0),1,0)*Data_NFI_t[[#This Row],[Hygiene Kit]],0)</f>
        <v>0</v>
      </c>
      <c r="Y552" s="131">
        <f>IF(NFI_Expiration=1,IF($A552&lt;VLOOKUP(J$5,NFI,5,0),1,0)*Data_NFI_t[[#This Row],[NFI Core Kit]],0)</f>
        <v>0</v>
      </c>
      <c r="Z552" s="112">
        <f>IF(NFI_Expiration=1,IF($A552&lt;VLOOKUP(K$5,NFI,5,0),1,0)*Data_NFI_t[[#This Row],[Sanitary Kit]],0)</f>
        <v>0</v>
      </c>
      <c r="AA552" s="112">
        <f>IF(NFI_Expiration=1,IF($A552&lt;VLOOKUP(L$5,NFI,5,0),1,0)*Data_NFI_t[[#This Row],[Mosquito net]],0)</f>
        <v>0</v>
      </c>
      <c r="AB552" s="112">
        <f>IF(NFI_Expiration=1,IF($A552&lt;VLOOKUP(M$5,NFI,5,0),1,0)*Data_NFI_t[[#This Row],[Tarpaulin]],0)</f>
        <v>0</v>
      </c>
      <c r="AC552" s="112">
        <f>IF(NFI_Expiration=1,IF($A552&lt;VLOOKUP(N$5,NFI,5,0),1,0)*Data_NFI_t[[#This Row],[Blanket]],0)</f>
        <v>0</v>
      </c>
      <c r="AD552" s="112">
        <f>IF(NFI_Expiration=1,IF($A552&lt;VLOOKUP(O$5,NFI,5,0),1,0)*Data_NFI_t[[#This Row],[Kitchen Set]],0)</f>
        <v>0</v>
      </c>
      <c r="AE552" s="112">
        <f>IF(NFI_Expiration=1,IF($A552&lt;VLOOKUP(P$5,NFI,5,0),1,0)*Data_NFI_t[[#This Row],[Complementary Kit]],0)</f>
        <v>0</v>
      </c>
      <c r="AF552" s="112">
        <f>IF(NFI_Expiration=1,IF($A552&lt;VLOOKUP(Q$5,NFI,5,0),1,0)*Data_NFI_t[[#This Row],[Plastic Bucket]],0)</f>
        <v>0</v>
      </c>
      <c r="AG552" s="131">
        <f>IF(NFI_Expiration=1,IF($A552&lt;VLOOKUP(R$5,NFI,5,0),1,0)*Data_NFI_t[[#This Row],[Jerry Can]],0)</f>
        <v>0</v>
      </c>
      <c r="AH552" s="131">
        <f>IF(NFI_Expiration=1,IF($A552&lt;VLOOKUP(S$5,NFI,5,0),1,0)*Data_NFI_t[[#This Row],[Plastic Mat]],0)*IF(Data_NFI_t[[#This Row],[Distribution Date]]&gt;"01-06-2015",1,2.5)</f>
        <v>0</v>
      </c>
      <c r="AI552" s="901">
        <f>IF(NFI_Expiration=1,IF($A552&lt;VLOOKUP(T$5,NFI,5,0),1,0)*Data_NFI_t[[#This Row],[Adult Clothes]],0)</f>
        <v>0</v>
      </c>
      <c r="AJ552" s="131">
        <f>IF(NFI_Expiration=1,IF($A552&lt;VLOOKUP(U$5,NFI,5,0),1,0)*Data_NFI_t[[#This Row],[Children Clothes]],0)</f>
        <v>0</v>
      </c>
      <c r="AK552" s="131">
        <f>IF(NFI_Expiration=1,IF($A552&lt;VLOOKUP(V$5,NFI,5,0),1,0)*Data_NFI_t[[#This Row],[Sewing Kit]],0)</f>
        <v>0</v>
      </c>
      <c r="AL552" s="901">
        <f>IF(NFI_Expiration=1,IF($A552&lt;VLOOKUP(V$5,NFI,5,0),1,0)*Data_NFI_t[[#This Row],[Solar Lantern]],0)</f>
        <v>0</v>
      </c>
      <c r="AM552" s="131" t="str">
        <f ca="1">IFERROR(OFFSET(Camp_List[P_Code],MATCH(Data_NFI_t[[#This Row],[Camp Name]],Camp_List[Camp Name],0)-1,0,1,1),"")</f>
        <v/>
      </c>
      <c r="AN552" s="513" t="str">
        <f ca="1">IFERROR(OFFSET(Camp_List[Status],MATCH(Data_NFI_t[[#This Row],[Camp Name]],Camp_List[Camp Name],0)-1,0,1,1),"")</f>
        <v/>
      </c>
      <c r="AO552" s="131"/>
    </row>
    <row r="553" spans="1:41" s="789" customFormat="1" ht="19.5" customHeight="1" x14ac:dyDescent="0.25">
      <c r="A553" s="242" t="str">
        <f t="shared" ref="A553:A584" si="12">IF(ISBLANK(C553),"",(Report_Date-C553)/30)</f>
        <v/>
      </c>
      <c r="B553" s="522">
        <f>YEAR(Data_NFI_t[[#This Row],[Distribution Date]])</f>
        <v>1900</v>
      </c>
      <c r="C553" s="913"/>
      <c r="D553" s="489"/>
      <c r="E553" s="488"/>
      <c r="F553" s="489"/>
      <c r="G553" s="790"/>
      <c r="H553" s="790"/>
      <c r="I553" s="790"/>
      <c r="J553" s="51"/>
      <c r="K553" s="51"/>
      <c r="L553" s="119"/>
      <c r="M553" s="119"/>
      <c r="N553" s="119"/>
      <c r="O553" s="119"/>
      <c r="P553" s="119"/>
      <c r="Q553" s="119"/>
      <c r="R553" s="512"/>
      <c r="S553" s="119"/>
      <c r="T553" s="119"/>
      <c r="U553" s="119"/>
      <c r="V553" s="119"/>
      <c r="W553" s="119"/>
      <c r="X553" s="131">
        <f>IF(NFI_Expiration=1,IF($A553&lt;VLOOKUP(I$5,NFI,5,0),1,0)*Data_NFI_t[[#This Row],[Hygiene Kit]],0)</f>
        <v>0</v>
      </c>
      <c r="Y553" s="131">
        <f>IF(NFI_Expiration=1,IF($A553&lt;VLOOKUP(J$5,NFI,5,0),1,0)*Data_NFI_t[[#This Row],[NFI Core Kit]],0)</f>
        <v>0</v>
      </c>
      <c r="Z553" s="112">
        <f>IF(NFI_Expiration=1,IF($A553&lt;VLOOKUP(K$5,NFI,5,0),1,0)*Data_NFI_t[[#This Row],[Sanitary Kit]],0)</f>
        <v>0</v>
      </c>
      <c r="AA553" s="112">
        <f>IF(NFI_Expiration=1,IF($A553&lt;VLOOKUP(L$5,NFI,5,0),1,0)*Data_NFI_t[[#This Row],[Mosquito net]],0)</f>
        <v>0</v>
      </c>
      <c r="AB553" s="112">
        <f>IF(NFI_Expiration=1,IF($A553&lt;VLOOKUP(M$5,NFI,5,0),1,0)*Data_NFI_t[[#This Row],[Tarpaulin]],0)</f>
        <v>0</v>
      </c>
      <c r="AC553" s="112">
        <f>IF(NFI_Expiration=1,IF($A553&lt;VLOOKUP(N$5,NFI,5,0),1,0)*Data_NFI_t[[#This Row],[Blanket]],0)</f>
        <v>0</v>
      </c>
      <c r="AD553" s="112">
        <f>IF(NFI_Expiration=1,IF($A553&lt;VLOOKUP(O$5,NFI,5,0),1,0)*Data_NFI_t[[#This Row],[Kitchen Set]],0)</f>
        <v>0</v>
      </c>
      <c r="AE553" s="112">
        <f>IF(NFI_Expiration=1,IF($A553&lt;VLOOKUP(P$5,NFI,5,0),1,0)*Data_NFI_t[[#This Row],[Complementary Kit]],0)</f>
        <v>0</v>
      </c>
      <c r="AF553" s="112">
        <f>IF(NFI_Expiration=1,IF($A553&lt;VLOOKUP(Q$5,NFI,5,0),1,0)*Data_NFI_t[[#This Row],[Plastic Bucket]],0)</f>
        <v>0</v>
      </c>
      <c r="AG553" s="131">
        <f>IF(NFI_Expiration=1,IF($A553&lt;VLOOKUP(R$5,NFI,5,0),1,0)*Data_NFI_t[[#This Row],[Jerry Can]],0)</f>
        <v>0</v>
      </c>
      <c r="AH553" s="131">
        <f>IF(NFI_Expiration=1,IF($A553&lt;VLOOKUP(S$5,NFI,5,0),1,0)*Data_NFI_t[[#This Row],[Plastic Mat]],0)*IF(Data_NFI_t[[#This Row],[Distribution Date]]&gt;"01-06-2015",1,2.5)</f>
        <v>0</v>
      </c>
      <c r="AI553" s="901">
        <f>IF(NFI_Expiration=1,IF($A553&lt;VLOOKUP(T$5,NFI,5,0),1,0)*Data_NFI_t[[#This Row],[Adult Clothes]],0)</f>
        <v>0</v>
      </c>
      <c r="AJ553" s="131">
        <f>IF(NFI_Expiration=1,IF($A553&lt;VLOOKUP(U$5,NFI,5,0),1,0)*Data_NFI_t[[#This Row],[Children Clothes]],0)</f>
        <v>0</v>
      </c>
      <c r="AK553" s="131">
        <f>IF(NFI_Expiration=1,IF($A553&lt;VLOOKUP(V$5,NFI,5,0),1,0)*Data_NFI_t[[#This Row],[Sewing Kit]],0)</f>
        <v>0</v>
      </c>
      <c r="AL553" s="901">
        <f>IF(NFI_Expiration=1,IF($A553&lt;VLOOKUP(V$5,NFI,5,0),1,0)*Data_NFI_t[[#This Row],[Solar Lantern]],0)</f>
        <v>0</v>
      </c>
      <c r="AM553" s="131" t="str">
        <f ca="1">IFERROR(OFFSET(Camp_List[P_Code],MATCH(Data_NFI_t[[#This Row],[Camp Name]],Camp_List[Camp Name],0)-1,0,1,1),"")</f>
        <v/>
      </c>
      <c r="AN553" s="513" t="str">
        <f ca="1">IFERROR(OFFSET(Camp_List[Status],MATCH(Data_NFI_t[[#This Row],[Camp Name]],Camp_List[Camp Name],0)-1,0,1,1),"")</f>
        <v/>
      </c>
      <c r="AO553" s="131"/>
    </row>
    <row r="554" spans="1:41" s="789" customFormat="1" ht="19.5" customHeight="1" x14ac:dyDescent="0.25">
      <c r="A554" s="242" t="str">
        <f t="shared" si="12"/>
        <v/>
      </c>
      <c r="B554" s="522">
        <f>YEAR(Data_NFI_t[[#This Row],[Distribution Date]])</f>
        <v>1900</v>
      </c>
      <c r="C554" s="913"/>
      <c r="D554" s="489"/>
      <c r="E554" s="488"/>
      <c r="F554" s="489"/>
      <c r="G554" s="790"/>
      <c r="H554" s="790"/>
      <c r="I554" s="790"/>
      <c r="J554" s="51"/>
      <c r="K554" s="51"/>
      <c r="L554" s="119"/>
      <c r="M554" s="119"/>
      <c r="N554" s="119"/>
      <c r="O554" s="119"/>
      <c r="P554" s="119"/>
      <c r="Q554" s="119"/>
      <c r="R554" s="512"/>
      <c r="S554" s="119"/>
      <c r="T554" s="119"/>
      <c r="U554" s="119"/>
      <c r="V554" s="119"/>
      <c r="W554" s="119"/>
      <c r="X554" s="131">
        <f>IF(NFI_Expiration=1,IF($A554&lt;VLOOKUP(I$5,NFI,5,0),1,0)*Data_NFI_t[[#This Row],[Hygiene Kit]],0)</f>
        <v>0</v>
      </c>
      <c r="Y554" s="131">
        <f>IF(NFI_Expiration=1,IF($A554&lt;VLOOKUP(J$5,NFI,5,0),1,0)*Data_NFI_t[[#This Row],[NFI Core Kit]],0)</f>
        <v>0</v>
      </c>
      <c r="Z554" s="112">
        <f>IF(NFI_Expiration=1,IF($A554&lt;VLOOKUP(K$5,NFI,5,0),1,0)*Data_NFI_t[[#This Row],[Sanitary Kit]],0)</f>
        <v>0</v>
      </c>
      <c r="AA554" s="112">
        <f>IF(NFI_Expiration=1,IF($A554&lt;VLOOKUP(L$5,NFI,5,0),1,0)*Data_NFI_t[[#This Row],[Mosquito net]],0)</f>
        <v>0</v>
      </c>
      <c r="AB554" s="112">
        <f>IF(NFI_Expiration=1,IF($A554&lt;VLOOKUP(M$5,NFI,5,0),1,0)*Data_NFI_t[[#This Row],[Tarpaulin]],0)</f>
        <v>0</v>
      </c>
      <c r="AC554" s="112">
        <f>IF(NFI_Expiration=1,IF($A554&lt;VLOOKUP(N$5,NFI,5,0),1,0)*Data_NFI_t[[#This Row],[Blanket]],0)</f>
        <v>0</v>
      </c>
      <c r="AD554" s="112">
        <f>IF(NFI_Expiration=1,IF($A554&lt;VLOOKUP(O$5,NFI,5,0),1,0)*Data_NFI_t[[#This Row],[Kitchen Set]],0)</f>
        <v>0</v>
      </c>
      <c r="AE554" s="112">
        <f>IF(NFI_Expiration=1,IF($A554&lt;VLOOKUP(P$5,NFI,5,0),1,0)*Data_NFI_t[[#This Row],[Complementary Kit]],0)</f>
        <v>0</v>
      </c>
      <c r="AF554" s="112">
        <f>IF(NFI_Expiration=1,IF($A554&lt;VLOOKUP(Q$5,NFI,5,0),1,0)*Data_NFI_t[[#This Row],[Plastic Bucket]],0)</f>
        <v>0</v>
      </c>
      <c r="AG554" s="131">
        <f>IF(NFI_Expiration=1,IF($A554&lt;VLOOKUP(R$5,NFI,5,0),1,0)*Data_NFI_t[[#This Row],[Jerry Can]],0)</f>
        <v>0</v>
      </c>
      <c r="AH554" s="131">
        <f>IF(NFI_Expiration=1,IF($A554&lt;VLOOKUP(S$5,NFI,5,0),1,0)*Data_NFI_t[[#This Row],[Plastic Mat]],0)*IF(Data_NFI_t[[#This Row],[Distribution Date]]&gt;"01-06-2015",1,2.5)</f>
        <v>0</v>
      </c>
      <c r="AI554" s="901">
        <f>IF(NFI_Expiration=1,IF($A554&lt;VLOOKUP(T$5,NFI,5,0),1,0)*Data_NFI_t[[#This Row],[Adult Clothes]],0)</f>
        <v>0</v>
      </c>
      <c r="AJ554" s="131">
        <f>IF(NFI_Expiration=1,IF($A554&lt;VLOOKUP(U$5,NFI,5,0),1,0)*Data_NFI_t[[#This Row],[Children Clothes]],0)</f>
        <v>0</v>
      </c>
      <c r="AK554" s="131">
        <f>IF(NFI_Expiration=1,IF($A554&lt;VLOOKUP(V$5,NFI,5,0),1,0)*Data_NFI_t[[#This Row],[Sewing Kit]],0)</f>
        <v>0</v>
      </c>
      <c r="AL554" s="901">
        <f>IF(NFI_Expiration=1,IF($A554&lt;VLOOKUP(V$5,NFI,5,0),1,0)*Data_NFI_t[[#This Row],[Solar Lantern]],0)</f>
        <v>0</v>
      </c>
      <c r="AM554" s="131" t="str">
        <f ca="1">IFERROR(OFFSET(Camp_List[P_Code],MATCH(Data_NFI_t[[#This Row],[Camp Name]],Camp_List[Camp Name],0)-1,0,1,1),"")</f>
        <v/>
      </c>
      <c r="AN554" s="513" t="str">
        <f ca="1">IFERROR(OFFSET(Camp_List[Status],MATCH(Data_NFI_t[[#This Row],[Camp Name]],Camp_List[Camp Name],0)-1,0,1,1),"")</f>
        <v/>
      </c>
      <c r="AO554" s="131"/>
    </row>
    <row r="555" spans="1:41" s="789" customFormat="1" ht="19.5" customHeight="1" x14ac:dyDescent="0.25">
      <c r="A555" s="242" t="str">
        <f t="shared" si="12"/>
        <v/>
      </c>
      <c r="B555" s="522">
        <f>YEAR(Data_NFI_t[[#This Row],[Distribution Date]])</f>
        <v>1900</v>
      </c>
      <c r="C555" s="913"/>
      <c r="D555" s="489"/>
      <c r="E555" s="488"/>
      <c r="F555" s="489"/>
      <c r="G555" s="790"/>
      <c r="H555" s="790"/>
      <c r="I555" s="790"/>
      <c r="J555" s="51"/>
      <c r="K555" s="51"/>
      <c r="L555" s="119"/>
      <c r="M555" s="119"/>
      <c r="N555" s="119"/>
      <c r="O555" s="119"/>
      <c r="P555" s="119"/>
      <c r="Q555" s="119"/>
      <c r="R555" s="512"/>
      <c r="S555" s="119"/>
      <c r="T555" s="119"/>
      <c r="U555" s="119"/>
      <c r="V555" s="119"/>
      <c r="W555" s="119"/>
      <c r="X555" s="131">
        <f>IF(NFI_Expiration=1,IF($A555&lt;VLOOKUP(I$5,NFI,5,0),1,0)*Data_NFI_t[[#This Row],[Hygiene Kit]],0)</f>
        <v>0</v>
      </c>
      <c r="Y555" s="131">
        <f>IF(NFI_Expiration=1,IF($A555&lt;VLOOKUP(J$5,NFI,5,0),1,0)*Data_NFI_t[[#This Row],[NFI Core Kit]],0)</f>
        <v>0</v>
      </c>
      <c r="Z555" s="112">
        <f>IF(NFI_Expiration=1,IF($A555&lt;VLOOKUP(K$5,NFI,5,0),1,0)*Data_NFI_t[[#This Row],[Sanitary Kit]],0)</f>
        <v>0</v>
      </c>
      <c r="AA555" s="112">
        <f>IF(NFI_Expiration=1,IF($A555&lt;VLOOKUP(L$5,NFI,5,0),1,0)*Data_NFI_t[[#This Row],[Mosquito net]],0)</f>
        <v>0</v>
      </c>
      <c r="AB555" s="112">
        <f>IF(NFI_Expiration=1,IF($A555&lt;VLOOKUP(M$5,NFI,5,0),1,0)*Data_NFI_t[[#This Row],[Tarpaulin]],0)</f>
        <v>0</v>
      </c>
      <c r="AC555" s="112">
        <f>IF(NFI_Expiration=1,IF($A555&lt;VLOOKUP(N$5,NFI,5,0),1,0)*Data_NFI_t[[#This Row],[Blanket]],0)</f>
        <v>0</v>
      </c>
      <c r="AD555" s="112">
        <f>IF(NFI_Expiration=1,IF($A555&lt;VLOOKUP(O$5,NFI,5,0),1,0)*Data_NFI_t[[#This Row],[Kitchen Set]],0)</f>
        <v>0</v>
      </c>
      <c r="AE555" s="112">
        <f>IF(NFI_Expiration=1,IF($A555&lt;VLOOKUP(P$5,NFI,5,0),1,0)*Data_NFI_t[[#This Row],[Complementary Kit]],0)</f>
        <v>0</v>
      </c>
      <c r="AF555" s="112">
        <f>IF(NFI_Expiration=1,IF($A555&lt;VLOOKUP(Q$5,NFI,5,0),1,0)*Data_NFI_t[[#This Row],[Plastic Bucket]],0)</f>
        <v>0</v>
      </c>
      <c r="AG555" s="131">
        <f>IF(NFI_Expiration=1,IF($A555&lt;VLOOKUP(R$5,NFI,5,0),1,0)*Data_NFI_t[[#This Row],[Jerry Can]],0)</f>
        <v>0</v>
      </c>
      <c r="AH555" s="131">
        <f>IF(NFI_Expiration=1,IF($A555&lt;VLOOKUP(S$5,NFI,5,0),1,0)*Data_NFI_t[[#This Row],[Plastic Mat]],0)*IF(Data_NFI_t[[#This Row],[Distribution Date]]&gt;"01-06-2015",1,2.5)</f>
        <v>0</v>
      </c>
      <c r="AI555" s="901">
        <f>IF(NFI_Expiration=1,IF($A555&lt;VLOOKUP(T$5,NFI,5,0),1,0)*Data_NFI_t[[#This Row],[Adult Clothes]],0)</f>
        <v>0</v>
      </c>
      <c r="AJ555" s="131">
        <f>IF(NFI_Expiration=1,IF($A555&lt;VLOOKUP(U$5,NFI,5,0),1,0)*Data_NFI_t[[#This Row],[Children Clothes]],0)</f>
        <v>0</v>
      </c>
      <c r="AK555" s="131">
        <f>IF(NFI_Expiration=1,IF($A555&lt;VLOOKUP(V$5,NFI,5,0),1,0)*Data_NFI_t[[#This Row],[Sewing Kit]],0)</f>
        <v>0</v>
      </c>
      <c r="AL555" s="901">
        <f>IF(NFI_Expiration=1,IF($A555&lt;VLOOKUP(V$5,NFI,5,0),1,0)*Data_NFI_t[[#This Row],[Solar Lantern]],0)</f>
        <v>0</v>
      </c>
      <c r="AM555" s="131" t="str">
        <f ca="1">IFERROR(OFFSET(Camp_List[P_Code],MATCH(Data_NFI_t[[#This Row],[Camp Name]],Camp_List[Camp Name],0)-1,0,1,1),"")</f>
        <v/>
      </c>
      <c r="AN555" s="513" t="str">
        <f ca="1">IFERROR(OFFSET(Camp_List[Status],MATCH(Data_NFI_t[[#This Row],[Camp Name]],Camp_List[Camp Name],0)-1,0,1,1),"")</f>
        <v/>
      </c>
      <c r="AO555" s="131"/>
    </row>
    <row r="556" spans="1:41" s="789" customFormat="1" ht="19.5" customHeight="1" x14ac:dyDescent="0.25">
      <c r="A556" s="242" t="str">
        <f t="shared" si="12"/>
        <v/>
      </c>
      <c r="B556" s="522">
        <f>YEAR(Data_NFI_t[[#This Row],[Distribution Date]])</f>
        <v>1900</v>
      </c>
      <c r="C556" s="913"/>
      <c r="D556" s="489"/>
      <c r="E556" s="488"/>
      <c r="F556" s="489"/>
      <c r="G556" s="790"/>
      <c r="H556" s="790"/>
      <c r="I556" s="790"/>
      <c r="J556" s="51"/>
      <c r="K556" s="51"/>
      <c r="L556" s="119"/>
      <c r="M556" s="119"/>
      <c r="N556" s="119"/>
      <c r="O556" s="119"/>
      <c r="P556" s="119"/>
      <c r="Q556" s="119"/>
      <c r="R556" s="512"/>
      <c r="S556" s="119"/>
      <c r="T556" s="119"/>
      <c r="U556" s="119"/>
      <c r="V556" s="119"/>
      <c r="W556" s="119"/>
      <c r="X556" s="131">
        <f>IF(NFI_Expiration=1,IF($A556&lt;VLOOKUP(I$5,NFI,5,0),1,0)*Data_NFI_t[[#This Row],[Hygiene Kit]],0)</f>
        <v>0</v>
      </c>
      <c r="Y556" s="131">
        <f>IF(NFI_Expiration=1,IF($A556&lt;VLOOKUP(J$5,NFI,5,0),1,0)*Data_NFI_t[[#This Row],[NFI Core Kit]],0)</f>
        <v>0</v>
      </c>
      <c r="Z556" s="112">
        <f>IF(NFI_Expiration=1,IF($A556&lt;VLOOKUP(K$5,NFI,5,0),1,0)*Data_NFI_t[[#This Row],[Sanitary Kit]],0)</f>
        <v>0</v>
      </c>
      <c r="AA556" s="112">
        <f>IF(NFI_Expiration=1,IF($A556&lt;VLOOKUP(L$5,NFI,5,0),1,0)*Data_NFI_t[[#This Row],[Mosquito net]],0)</f>
        <v>0</v>
      </c>
      <c r="AB556" s="112">
        <f>IF(NFI_Expiration=1,IF($A556&lt;VLOOKUP(M$5,NFI,5,0),1,0)*Data_NFI_t[[#This Row],[Tarpaulin]],0)</f>
        <v>0</v>
      </c>
      <c r="AC556" s="112">
        <f>IF(NFI_Expiration=1,IF($A556&lt;VLOOKUP(N$5,NFI,5,0),1,0)*Data_NFI_t[[#This Row],[Blanket]],0)</f>
        <v>0</v>
      </c>
      <c r="AD556" s="112">
        <f>IF(NFI_Expiration=1,IF($A556&lt;VLOOKUP(O$5,NFI,5,0),1,0)*Data_NFI_t[[#This Row],[Kitchen Set]],0)</f>
        <v>0</v>
      </c>
      <c r="AE556" s="112">
        <f>IF(NFI_Expiration=1,IF($A556&lt;VLOOKUP(P$5,NFI,5,0),1,0)*Data_NFI_t[[#This Row],[Complementary Kit]],0)</f>
        <v>0</v>
      </c>
      <c r="AF556" s="112">
        <f>IF(NFI_Expiration=1,IF($A556&lt;VLOOKUP(Q$5,NFI,5,0),1,0)*Data_NFI_t[[#This Row],[Plastic Bucket]],0)</f>
        <v>0</v>
      </c>
      <c r="AG556" s="131">
        <f>IF(NFI_Expiration=1,IF($A556&lt;VLOOKUP(R$5,NFI,5,0),1,0)*Data_NFI_t[[#This Row],[Jerry Can]],0)</f>
        <v>0</v>
      </c>
      <c r="AH556" s="131">
        <f>IF(NFI_Expiration=1,IF($A556&lt;VLOOKUP(S$5,NFI,5,0),1,0)*Data_NFI_t[[#This Row],[Plastic Mat]],0)*IF(Data_NFI_t[[#This Row],[Distribution Date]]&gt;"01-06-2015",1,2.5)</f>
        <v>0</v>
      </c>
      <c r="AI556" s="901">
        <f>IF(NFI_Expiration=1,IF($A556&lt;VLOOKUP(T$5,NFI,5,0),1,0)*Data_NFI_t[[#This Row],[Adult Clothes]],0)</f>
        <v>0</v>
      </c>
      <c r="AJ556" s="131">
        <f>IF(NFI_Expiration=1,IF($A556&lt;VLOOKUP(U$5,NFI,5,0),1,0)*Data_NFI_t[[#This Row],[Children Clothes]],0)</f>
        <v>0</v>
      </c>
      <c r="AK556" s="131">
        <f>IF(NFI_Expiration=1,IF($A556&lt;VLOOKUP(V$5,NFI,5,0),1,0)*Data_NFI_t[[#This Row],[Sewing Kit]],0)</f>
        <v>0</v>
      </c>
      <c r="AL556" s="901">
        <f>IF(NFI_Expiration=1,IF($A556&lt;VLOOKUP(V$5,NFI,5,0),1,0)*Data_NFI_t[[#This Row],[Solar Lantern]],0)</f>
        <v>0</v>
      </c>
      <c r="AM556" s="131" t="str">
        <f ca="1">IFERROR(OFFSET(Camp_List[P_Code],MATCH(Data_NFI_t[[#This Row],[Camp Name]],Camp_List[Camp Name],0)-1,0,1,1),"")</f>
        <v/>
      </c>
      <c r="AN556" s="513" t="str">
        <f ca="1">IFERROR(OFFSET(Camp_List[Status],MATCH(Data_NFI_t[[#This Row],[Camp Name]],Camp_List[Camp Name],0)-1,0,1,1),"")</f>
        <v/>
      </c>
      <c r="AO556" s="131"/>
    </row>
    <row r="557" spans="1:41" s="789" customFormat="1" ht="19.5" customHeight="1" x14ac:dyDescent="0.25">
      <c r="A557" s="242" t="str">
        <f t="shared" si="12"/>
        <v/>
      </c>
      <c r="B557" s="522">
        <f>YEAR(Data_NFI_t[[#This Row],[Distribution Date]])</f>
        <v>1900</v>
      </c>
      <c r="C557" s="913"/>
      <c r="D557" s="489"/>
      <c r="E557" s="488"/>
      <c r="F557" s="489"/>
      <c r="G557" s="790"/>
      <c r="H557" s="790"/>
      <c r="I557" s="790"/>
      <c r="J557" s="51"/>
      <c r="K557" s="51"/>
      <c r="L557" s="119"/>
      <c r="M557" s="119"/>
      <c r="N557" s="119"/>
      <c r="O557" s="119"/>
      <c r="P557" s="119"/>
      <c r="Q557" s="119"/>
      <c r="R557" s="512"/>
      <c r="S557" s="119"/>
      <c r="T557" s="119"/>
      <c r="U557" s="119"/>
      <c r="V557" s="119"/>
      <c r="W557" s="119"/>
      <c r="X557" s="131">
        <f>IF(NFI_Expiration=1,IF($A557&lt;VLOOKUP(I$5,NFI,5,0),1,0)*Data_NFI_t[[#This Row],[Hygiene Kit]],0)</f>
        <v>0</v>
      </c>
      <c r="Y557" s="131">
        <f>IF(NFI_Expiration=1,IF($A557&lt;VLOOKUP(J$5,NFI,5,0),1,0)*Data_NFI_t[[#This Row],[NFI Core Kit]],0)</f>
        <v>0</v>
      </c>
      <c r="Z557" s="112">
        <f>IF(NFI_Expiration=1,IF($A557&lt;VLOOKUP(K$5,NFI,5,0),1,0)*Data_NFI_t[[#This Row],[Sanitary Kit]],0)</f>
        <v>0</v>
      </c>
      <c r="AA557" s="112">
        <f>IF(NFI_Expiration=1,IF($A557&lt;VLOOKUP(L$5,NFI,5,0),1,0)*Data_NFI_t[[#This Row],[Mosquito net]],0)</f>
        <v>0</v>
      </c>
      <c r="AB557" s="112">
        <f>IF(NFI_Expiration=1,IF($A557&lt;VLOOKUP(M$5,NFI,5,0),1,0)*Data_NFI_t[[#This Row],[Tarpaulin]],0)</f>
        <v>0</v>
      </c>
      <c r="AC557" s="112">
        <f>IF(NFI_Expiration=1,IF($A557&lt;VLOOKUP(N$5,NFI,5,0),1,0)*Data_NFI_t[[#This Row],[Blanket]],0)</f>
        <v>0</v>
      </c>
      <c r="AD557" s="112">
        <f>IF(NFI_Expiration=1,IF($A557&lt;VLOOKUP(O$5,NFI,5,0),1,0)*Data_NFI_t[[#This Row],[Kitchen Set]],0)</f>
        <v>0</v>
      </c>
      <c r="AE557" s="112">
        <f>IF(NFI_Expiration=1,IF($A557&lt;VLOOKUP(P$5,NFI,5,0),1,0)*Data_NFI_t[[#This Row],[Complementary Kit]],0)</f>
        <v>0</v>
      </c>
      <c r="AF557" s="112">
        <f>IF(NFI_Expiration=1,IF($A557&lt;VLOOKUP(Q$5,NFI,5,0),1,0)*Data_NFI_t[[#This Row],[Plastic Bucket]],0)</f>
        <v>0</v>
      </c>
      <c r="AG557" s="131">
        <f>IF(NFI_Expiration=1,IF($A557&lt;VLOOKUP(R$5,NFI,5,0),1,0)*Data_NFI_t[[#This Row],[Jerry Can]],0)</f>
        <v>0</v>
      </c>
      <c r="AH557" s="131">
        <f>IF(NFI_Expiration=1,IF($A557&lt;VLOOKUP(S$5,NFI,5,0),1,0)*Data_NFI_t[[#This Row],[Plastic Mat]],0)*IF(Data_NFI_t[[#This Row],[Distribution Date]]&gt;"01-06-2015",1,2.5)</f>
        <v>0</v>
      </c>
      <c r="AI557" s="901">
        <f>IF(NFI_Expiration=1,IF($A557&lt;VLOOKUP(T$5,NFI,5,0),1,0)*Data_NFI_t[[#This Row],[Adult Clothes]],0)</f>
        <v>0</v>
      </c>
      <c r="AJ557" s="131">
        <f>IF(NFI_Expiration=1,IF($A557&lt;VLOOKUP(U$5,NFI,5,0),1,0)*Data_NFI_t[[#This Row],[Children Clothes]],0)</f>
        <v>0</v>
      </c>
      <c r="AK557" s="131">
        <f>IF(NFI_Expiration=1,IF($A557&lt;VLOOKUP(V$5,NFI,5,0),1,0)*Data_NFI_t[[#This Row],[Sewing Kit]],0)</f>
        <v>0</v>
      </c>
      <c r="AL557" s="901">
        <f>IF(NFI_Expiration=1,IF($A557&lt;VLOOKUP(V$5,NFI,5,0),1,0)*Data_NFI_t[[#This Row],[Solar Lantern]],0)</f>
        <v>0</v>
      </c>
      <c r="AM557" s="131" t="str">
        <f ca="1">IFERROR(OFFSET(Camp_List[P_Code],MATCH(Data_NFI_t[[#This Row],[Camp Name]],Camp_List[Camp Name],0)-1,0,1,1),"")</f>
        <v/>
      </c>
      <c r="AN557" s="513" t="str">
        <f ca="1">IFERROR(OFFSET(Camp_List[Status],MATCH(Data_NFI_t[[#This Row],[Camp Name]],Camp_List[Camp Name],0)-1,0,1,1),"")</f>
        <v/>
      </c>
      <c r="AO557" s="131"/>
    </row>
    <row r="558" spans="1:41" s="789" customFormat="1" ht="19.5" customHeight="1" x14ac:dyDescent="0.25">
      <c r="A558" s="242" t="str">
        <f t="shared" si="12"/>
        <v/>
      </c>
      <c r="B558" s="522">
        <f>YEAR(Data_NFI_t[[#This Row],[Distribution Date]])</f>
        <v>1900</v>
      </c>
      <c r="C558" s="913"/>
      <c r="D558" s="489"/>
      <c r="E558" s="488"/>
      <c r="F558" s="489"/>
      <c r="G558" s="790"/>
      <c r="H558" s="790"/>
      <c r="I558" s="790"/>
      <c r="J558" s="51"/>
      <c r="K558" s="51"/>
      <c r="L558" s="119"/>
      <c r="M558" s="119"/>
      <c r="N558" s="119"/>
      <c r="O558" s="119"/>
      <c r="P558" s="119"/>
      <c r="Q558" s="119"/>
      <c r="R558" s="512"/>
      <c r="S558" s="119"/>
      <c r="T558" s="119"/>
      <c r="U558" s="119"/>
      <c r="V558" s="119"/>
      <c r="W558" s="119"/>
      <c r="X558" s="131">
        <f>IF(NFI_Expiration=1,IF($A558&lt;VLOOKUP(I$5,NFI,5,0),1,0)*Data_NFI_t[[#This Row],[Hygiene Kit]],0)</f>
        <v>0</v>
      </c>
      <c r="Y558" s="131">
        <f>IF(NFI_Expiration=1,IF($A558&lt;VLOOKUP(J$5,NFI,5,0),1,0)*Data_NFI_t[[#This Row],[NFI Core Kit]],0)</f>
        <v>0</v>
      </c>
      <c r="Z558" s="112">
        <f>IF(NFI_Expiration=1,IF($A558&lt;VLOOKUP(K$5,NFI,5,0),1,0)*Data_NFI_t[[#This Row],[Sanitary Kit]],0)</f>
        <v>0</v>
      </c>
      <c r="AA558" s="112">
        <f>IF(NFI_Expiration=1,IF($A558&lt;VLOOKUP(L$5,NFI,5,0),1,0)*Data_NFI_t[[#This Row],[Mosquito net]],0)</f>
        <v>0</v>
      </c>
      <c r="AB558" s="112">
        <f>IF(NFI_Expiration=1,IF($A558&lt;VLOOKUP(M$5,NFI,5,0),1,0)*Data_NFI_t[[#This Row],[Tarpaulin]],0)</f>
        <v>0</v>
      </c>
      <c r="AC558" s="112">
        <f>IF(NFI_Expiration=1,IF($A558&lt;VLOOKUP(N$5,NFI,5,0),1,0)*Data_NFI_t[[#This Row],[Blanket]],0)</f>
        <v>0</v>
      </c>
      <c r="AD558" s="112">
        <f>IF(NFI_Expiration=1,IF($A558&lt;VLOOKUP(O$5,NFI,5,0),1,0)*Data_NFI_t[[#This Row],[Kitchen Set]],0)</f>
        <v>0</v>
      </c>
      <c r="AE558" s="112">
        <f>IF(NFI_Expiration=1,IF($A558&lt;VLOOKUP(P$5,NFI,5,0),1,0)*Data_NFI_t[[#This Row],[Complementary Kit]],0)</f>
        <v>0</v>
      </c>
      <c r="AF558" s="112">
        <f>IF(NFI_Expiration=1,IF($A558&lt;VLOOKUP(Q$5,NFI,5,0),1,0)*Data_NFI_t[[#This Row],[Plastic Bucket]],0)</f>
        <v>0</v>
      </c>
      <c r="AG558" s="131">
        <f>IF(NFI_Expiration=1,IF($A558&lt;VLOOKUP(R$5,NFI,5,0),1,0)*Data_NFI_t[[#This Row],[Jerry Can]],0)</f>
        <v>0</v>
      </c>
      <c r="AH558" s="131">
        <f>IF(NFI_Expiration=1,IF($A558&lt;VLOOKUP(S$5,NFI,5,0),1,0)*Data_NFI_t[[#This Row],[Plastic Mat]],0)*IF(Data_NFI_t[[#This Row],[Distribution Date]]&gt;"01-06-2015",1,2.5)</f>
        <v>0</v>
      </c>
      <c r="AI558" s="901">
        <f>IF(NFI_Expiration=1,IF($A558&lt;VLOOKUP(T$5,NFI,5,0),1,0)*Data_NFI_t[[#This Row],[Adult Clothes]],0)</f>
        <v>0</v>
      </c>
      <c r="AJ558" s="131">
        <f>IF(NFI_Expiration=1,IF($A558&lt;VLOOKUP(U$5,NFI,5,0),1,0)*Data_NFI_t[[#This Row],[Children Clothes]],0)</f>
        <v>0</v>
      </c>
      <c r="AK558" s="131">
        <f>IF(NFI_Expiration=1,IF($A558&lt;VLOOKUP(V$5,NFI,5,0),1,0)*Data_NFI_t[[#This Row],[Sewing Kit]],0)</f>
        <v>0</v>
      </c>
      <c r="AL558" s="901">
        <f>IF(NFI_Expiration=1,IF($A558&lt;VLOOKUP(V$5,NFI,5,0),1,0)*Data_NFI_t[[#This Row],[Solar Lantern]],0)</f>
        <v>0</v>
      </c>
      <c r="AM558" s="131" t="str">
        <f ca="1">IFERROR(OFFSET(Camp_List[P_Code],MATCH(Data_NFI_t[[#This Row],[Camp Name]],Camp_List[Camp Name],0)-1,0,1,1),"")</f>
        <v/>
      </c>
      <c r="AN558" s="513" t="str">
        <f ca="1">IFERROR(OFFSET(Camp_List[Status],MATCH(Data_NFI_t[[#This Row],[Camp Name]],Camp_List[Camp Name],0)-1,0,1,1),"")</f>
        <v/>
      </c>
      <c r="AO558" s="131"/>
    </row>
    <row r="559" spans="1:41" s="789" customFormat="1" ht="19.5" customHeight="1" x14ac:dyDescent="0.25">
      <c r="A559" s="242" t="str">
        <f t="shared" si="12"/>
        <v/>
      </c>
      <c r="B559" s="522">
        <f>YEAR(Data_NFI_t[[#This Row],[Distribution Date]])</f>
        <v>1900</v>
      </c>
      <c r="C559" s="913"/>
      <c r="D559" s="489"/>
      <c r="E559" s="488"/>
      <c r="F559" s="489"/>
      <c r="G559" s="790"/>
      <c r="H559" s="790"/>
      <c r="I559" s="790"/>
      <c r="J559" s="51"/>
      <c r="K559" s="51"/>
      <c r="L559" s="119"/>
      <c r="M559" s="119"/>
      <c r="N559" s="119"/>
      <c r="O559" s="119"/>
      <c r="P559" s="119"/>
      <c r="Q559" s="119"/>
      <c r="R559" s="512"/>
      <c r="S559" s="119"/>
      <c r="T559" s="119"/>
      <c r="U559" s="119"/>
      <c r="V559" s="119"/>
      <c r="W559" s="119"/>
      <c r="X559" s="131">
        <f>IF(NFI_Expiration=1,IF($A559&lt;VLOOKUP(I$5,NFI,5,0),1,0)*Data_NFI_t[[#This Row],[Hygiene Kit]],0)</f>
        <v>0</v>
      </c>
      <c r="Y559" s="131">
        <f>IF(NFI_Expiration=1,IF($A559&lt;VLOOKUP(J$5,NFI,5,0),1,0)*Data_NFI_t[[#This Row],[NFI Core Kit]],0)</f>
        <v>0</v>
      </c>
      <c r="Z559" s="112">
        <f>IF(NFI_Expiration=1,IF($A559&lt;VLOOKUP(K$5,NFI,5,0),1,0)*Data_NFI_t[[#This Row],[Sanitary Kit]],0)</f>
        <v>0</v>
      </c>
      <c r="AA559" s="112">
        <f>IF(NFI_Expiration=1,IF($A559&lt;VLOOKUP(L$5,NFI,5,0),1,0)*Data_NFI_t[[#This Row],[Mosquito net]],0)</f>
        <v>0</v>
      </c>
      <c r="AB559" s="112">
        <f>IF(NFI_Expiration=1,IF($A559&lt;VLOOKUP(M$5,NFI,5,0),1,0)*Data_NFI_t[[#This Row],[Tarpaulin]],0)</f>
        <v>0</v>
      </c>
      <c r="AC559" s="112">
        <f>IF(NFI_Expiration=1,IF($A559&lt;VLOOKUP(N$5,NFI,5,0),1,0)*Data_NFI_t[[#This Row],[Blanket]],0)</f>
        <v>0</v>
      </c>
      <c r="AD559" s="112">
        <f>IF(NFI_Expiration=1,IF($A559&lt;VLOOKUP(O$5,NFI,5,0),1,0)*Data_NFI_t[[#This Row],[Kitchen Set]],0)</f>
        <v>0</v>
      </c>
      <c r="AE559" s="112">
        <f>IF(NFI_Expiration=1,IF($A559&lt;VLOOKUP(P$5,NFI,5,0),1,0)*Data_NFI_t[[#This Row],[Complementary Kit]],0)</f>
        <v>0</v>
      </c>
      <c r="AF559" s="112">
        <f>IF(NFI_Expiration=1,IF($A559&lt;VLOOKUP(Q$5,NFI,5,0),1,0)*Data_NFI_t[[#This Row],[Plastic Bucket]],0)</f>
        <v>0</v>
      </c>
      <c r="AG559" s="131">
        <f>IF(NFI_Expiration=1,IF($A559&lt;VLOOKUP(R$5,NFI,5,0),1,0)*Data_NFI_t[[#This Row],[Jerry Can]],0)</f>
        <v>0</v>
      </c>
      <c r="AH559" s="131">
        <f>IF(NFI_Expiration=1,IF($A559&lt;VLOOKUP(S$5,NFI,5,0),1,0)*Data_NFI_t[[#This Row],[Plastic Mat]],0)*IF(Data_NFI_t[[#This Row],[Distribution Date]]&gt;"01-06-2015",1,2.5)</f>
        <v>0</v>
      </c>
      <c r="AI559" s="901">
        <f>IF(NFI_Expiration=1,IF($A559&lt;VLOOKUP(T$5,NFI,5,0),1,0)*Data_NFI_t[[#This Row],[Adult Clothes]],0)</f>
        <v>0</v>
      </c>
      <c r="AJ559" s="131">
        <f>IF(NFI_Expiration=1,IF($A559&lt;VLOOKUP(U$5,NFI,5,0),1,0)*Data_NFI_t[[#This Row],[Children Clothes]],0)</f>
        <v>0</v>
      </c>
      <c r="AK559" s="131">
        <f>IF(NFI_Expiration=1,IF($A559&lt;VLOOKUP(V$5,NFI,5,0),1,0)*Data_NFI_t[[#This Row],[Sewing Kit]],0)</f>
        <v>0</v>
      </c>
      <c r="AL559" s="901">
        <f>IF(NFI_Expiration=1,IF($A559&lt;VLOOKUP(V$5,NFI,5,0),1,0)*Data_NFI_t[[#This Row],[Solar Lantern]],0)</f>
        <v>0</v>
      </c>
      <c r="AM559" s="131" t="str">
        <f ca="1">IFERROR(OFFSET(Camp_List[P_Code],MATCH(Data_NFI_t[[#This Row],[Camp Name]],Camp_List[Camp Name],0)-1,0,1,1),"")</f>
        <v/>
      </c>
      <c r="AN559" s="513" t="str">
        <f ca="1">IFERROR(OFFSET(Camp_List[Status],MATCH(Data_NFI_t[[#This Row],[Camp Name]],Camp_List[Camp Name],0)-1,0,1,1),"")</f>
        <v/>
      </c>
      <c r="AO559" s="131"/>
    </row>
    <row r="560" spans="1:41" s="789" customFormat="1" ht="19.5" customHeight="1" x14ac:dyDescent="0.25">
      <c r="A560" s="242" t="str">
        <f t="shared" si="12"/>
        <v/>
      </c>
      <c r="B560" s="522">
        <f>YEAR(Data_NFI_t[[#This Row],[Distribution Date]])</f>
        <v>1900</v>
      </c>
      <c r="C560" s="913"/>
      <c r="D560" s="489"/>
      <c r="E560" s="488"/>
      <c r="F560" s="489"/>
      <c r="G560" s="790"/>
      <c r="H560" s="790"/>
      <c r="I560" s="790"/>
      <c r="J560" s="51"/>
      <c r="K560" s="51"/>
      <c r="L560" s="119"/>
      <c r="M560" s="119"/>
      <c r="N560" s="119"/>
      <c r="O560" s="119"/>
      <c r="P560" s="119"/>
      <c r="Q560" s="119"/>
      <c r="R560" s="512"/>
      <c r="S560" s="119"/>
      <c r="T560" s="119"/>
      <c r="U560" s="119"/>
      <c r="V560" s="119"/>
      <c r="W560" s="119"/>
      <c r="X560" s="131">
        <f>IF(NFI_Expiration=1,IF($A560&lt;VLOOKUP(I$5,NFI,5,0),1,0)*Data_NFI_t[[#This Row],[Hygiene Kit]],0)</f>
        <v>0</v>
      </c>
      <c r="Y560" s="131">
        <f>IF(NFI_Expiration=1,IF($A560&lt;VLOOKUP(J$5,NFI,5,0),1,0)*Data_NFI_t[[#This Row],[NFI Core Kit]],0)</f>
        <v>0</v>
      </c>
      <c r="Z560" s="112">
        <f>IF(NFI_Expiration=1,IF($A560&lt;VLOOKUP(K$5,NFI,5,0),1,0)*Data_NFI_t[[#This Row],[Sanitary Kit]],0)</f>
        <v>0</v>
      </c>
      <c r="AA560" s="112">
        <f>IF(NFI_Expiration=1,IF($A560&lt;VLOOKUP(L$5,NFI,5,0),1,0)*Data_NFI_t[[#This Row],[Mosquito net]],0)</f>
        <v>0</v>
      </c>
      <c r="AB560" s="112">
        <f>IF(NFI_Expiration=1,IF($A560&lt;VLOOKUP(M$5,NFI,5,0),1,0)*Data_NFI_t[[#This Row],[Tarpaulin]],0)</f>
        <v>0</v>
      </c>
      <c r="AC560" s="112">
        <f>IF(NFI_Expiration=1,IF($A560&lt;VLOOKUP(N$5,NFI,5,0),1,0)*Data_NFI_t[[#This Row],[Blanket]],0)</f>
        <v>0</v>
      </c>
      <c r="AD560" s="112">
        <f>IF(NFI_Expiration=1,IF($A560&lt;VLOOKUP(O$5,NFI,5,0),1,0)*Data_NFI_t[[#This Row],[Kitchen Set]],0)</f>
        <v>0</v>
      </c>
      <c r="AE560" s="112">
        <f>IF(NFI_Expiration=1,IF($A560&lt;VLOOKUP(P$5,NFI,5,0),1,0)*Data_NFI_t[[#This Row],[Complementary Kit]],0)</f>
        <v>0</v>
      </c>
      <c r="AF560" s="112">
        <f>IF(NFI_Expiration=1,IF($A560&lt;VLOOKUP(Q$5,NFI,5,0),1,0)*Data_NFI_t[[#This Row],[Plastic Bucket]],0)</f>
        <v>0</v>
      </c>
      <c r="AG560" s="131">
        <f>IF(NFI_Expiration=1,IF($A560&lt;VLOOKUP(R$5,NFI,5,0),1,0)*Data_NFI_t[[#This Row],[Jerry Can]],0)</f>
        <v>0</v>
      </c>
      <c r="AH560" s="131">
        <f>IF(NFI_Expiration=1,IF($A560&lt;VLOOKUP(S$5,NFI,5,0),1,0)*Data_NFI_t[[#This Row],[Plastic Mat]],0)*IF(Data_NFI_t[[#This Row],[Distribution Date]]&gt;"01-06-2015",1,2.5)</f>
        <v>0</v>
      </c>
      <c r="AI560" s="901">
        <f>IF(NFI_Expiration=1,IF($A560&lt;VLOOKUP(T$5,NFI,5,0),1,0)*Data_NFI_t[[#This Row],[Adult Clothes]],0)</f>
        <v>0</v>
      </c>
      <c r="AJ560" s="131">
        <f>IF(NFI_Expiration=1,IF($A560&lt;VLOOKUP(U$5,NFI,5,0),1,0)*Data_NFI_t[[#This Row],[Children Clothes]],0)</f>
        <v>0</v>
      </c>
      <c r="AK560" s="131">
        <f>IF(NFI_Expiration=1,IF($A560&lt;VLOOKUP(V$5,NFI,5,0),1,0)*Data_NFI_t[[#This Row],[Sewing Kit]],0)</f>
        <v>0</v>
      </c>
      <c r="AL560" s="901">
        <f>IF(NFI_Expiration=1,IF($A560&lt;VLOOKUP(V$5,NFI,5,0),1,0)*Data_NFI_t[[#This Row],[Solar Lantern]],0)</f>
        <v>0</v>
      </c>
      <c r="AM560" s="131" t="str">
        <f ca="1">IFERROR(OFFSET(Camp_List[P_Code],MATCH(Data_NFI_t[[#This Row],[Camp Name]],Camp_List[Camp Name],0)-1,0,1,1),"")</f>
        <v/>
      </c>
      <c r="AN560" s="513" t="str">
        <f ca="1">IFERROR(OFFSET(Camp_List[Status],MATCH(Data_NFI_t[[#This Row],[Camp Name]],Camp_List[Camp Name],0)-1,0,1,1),"")</f>
        <v/>
      </c>
      <c r="AO560" s="131"/>
    </row>
    <row r="561" spans="1:41" s="789" customFormat="1" ht="19.5" customHeight="1" x14ac:dyDescent="0.25">
      <c r="A561" s="242" t="str">
        <f t="shared" si="12"/>
        <v/>
      </c>
      <c r="B561" s="522">
        <f>YEAR(Data_NFI_t[[#This Row],[Distribution Date]])</f>
        <v>1900</v>
      </c>
      <c r="C561" s="913"/>
      <c r="D561" s="489"/>
      <c r="E561" s="488"/>
      <c r="F561" s="489"/>
      <c r="G561" s="790"/>
      <c r="H561" s="790"/>
      <c r="I561" s="790"/>
      <c r="J561" s="51"/>
      <c r="K561" s="51"/>
      <c r="L561" s="119"/>
      <c r="M561" s="119"/>
      <c r="N561" s="119"/>
      <c r="O561" s="119"/>
      <c r="P561" s="119"/>
      <c r="Q561" s="119"/>
      <c r="R561" s="512"/>
      <c r="S561" s="119"/>
      <c r="T561" s="119"/>
      <c r="U561" s="119"/>
      <c r="V561" s="119"/>
      <c r="W561" s="119"/>
      <c r="X561" s="131">
        <f>IF(NFI_Expiration=1,IF($A561&lt;VLOOKUP(I$5,NFI,5,0),1,0)*Data_NFI_t[[#This Row],[Hygiene Kit]],0)</f>
        <v>0</v>
      </c>
      <c r="Y561" s="131">
        <f>IF(NFI_Expiration=1,IF($A561&lt;VLOOKUP(J$5,NFI,5,0),1,0)*Data_NFI_t[[#This Row],[NFI Core Kit]],0)</f>
        <v>0</v>
      </c>
      <c r="Z561" s="112">
        <f>IF(NFI_Expiration=1,IF($A561&lt;VLOOKUP(K$5,NFI,5,0),1,0)*Data_NFI_t[[#This Row],[Sanitary Kit]],0)</f>
        <v>0</v>
      </c>
      <c r="AA561" s="112">
        <f>IF(NFI_Expiration=1,IF($A561&lt;VLOOKUP(L$5,NFI,5,0),1,0)*Data_NFI_t[[#This Row],[Mosquito net]],0)</f>
        <v>0</v>
      </c>
      <c r="AB561" s="112">
        <f>IF(NFI_Expiration=1,IF($A561&lt;VLOOKUP(M$5,NFI,5,0),1,0)*Data_NFI_t[[#This Row],[Tarpaulin]],0)</f>
        <v>0</v>
      </c>
      <c r="AC561" s="112">
        <f>IF(NFI_Expiration=1,IF($A561&lt;VLOOKUP(N$5,NFI,5,0),1,0)*Data_NFI_t[[#This Row],[Blanket]],0)</f>
        <v>0</v>
      </c>
      <c r="AD561" s="112">
        <f>IF(NFI_Expiration=1,IF($A561&lt;VLOOKUP(O$5,NFI,5,0),1,0)*Data_NFI_t[[#This Row],[Kitchen Set]],0)</f>
        <v>0</v>
      </c>
      <c r="AE561" s="112">
        <f>IF(NFI_Expiration=1,IF($A561&lt;VLOOKUP(P$5,NFI,5,0),1,0)*Data_NFI_t[[#This Row],[Complementary Kit]],0)</f>
        <v>0</v>
      </c>
      <c r="AF561" s="112">
        <f>IF(NFI_Expiration=1,IF($A561&lt;VLOOKUP(Q$5,NFI,5,0),1,0)*Data_NFI_t[[#This Row],[Plastic Bucket]],0)</f>
        <v>0</v>
      </c>
      <c r="AG561" s="131">
        <f>IF(NFI_Expiration=1,IF($A561&lt;VLOOKUP(R$5,NFI,5,0),1,0)*Data_NFI_t[[#This Row],[Jerry Can]],0)</f>
        <v>0</v>
      </c>
      <c r="AH561" s="131">
        <f>IF(NFI_Expiration=1,IF($A561&lt;VLOOKUP(S$5,NFI,5,0),1,0)*Data_NFI_t[[#This Row],[Plastic Mat]],0)*IF(Data_NFI_t[[#This Row],[Distribution Date]]&gt;"01-06-2015",1,2.5)</f>
        <v>0</v>
      </c>
      <c r="AI561" s="901">
        <f>IF(NFI_Expiration=1,IF($A561&lt;VLOOKUP(T$5,NFI,5,0),1,0)*Data_NFI_t[[#This Row],[Adult Clothes]],0)</f>
        <v>0</v>
      </c>
      <c r="AJ561" s="131">
        <f>IF(NFI_Expiration=1,IF($A561&lt;VLOOKUP(U$5,NFI,5,0),1,0)*Data_NFI_t[[#This Row],[Children Clothes]],0)</f>
        <v>0</v>
      </c>
      <c r="AK561" s="131">
        <f>IF(NFI_Expiration=1,IF($A561&lt;VLOOKUP(V$5,NFI,5,0),1,0)*Data_NFI_t[[#This Row],[Sewing Kit]],0)</f>
        <v>0</v>
      </c>
      <c r="AL561" s="901">
        <f>IF(NFI_Expiration=1,IF($A561&lt;VLOOKUP(V$5,NFI,5,0),1,0)*Data_NFI_t[[#This Row],[Solar Lantern]],0)</f>
        <v>0</v>
      </c>
      <c r="AM561" s="131" t="str">
        <f ca="1">IFERROR(OFFSET(Camp_List[P_Code],MATCH(Data_NFI_t[[#This Row],[Camp Name]],Camp_List[Camp Name],0)-1,0,1,1),"")</f>
        <v/>
      </c>
      <c r="AN561" s="513" t="str">
        <f ca="1">IFERROR(OFFSET(Camp_List[Status],MATCH(Data_NFI_t[[#This Row],[Camp Name]],Camp_List[Camp Name],0)-1,0,1,1),"")</f>
        <v/>
      </c>
      <c r="AO561" s="131"/>
    </row>
    <row r="562" spans="1:41" s="789" customFormat="1" ht="19.5" customHeight="1" x14ac:dyDescent="0.25">
      <c r="A562" s="242" t="str">
        <f t="shared" si="12"/>
        <v/>
      </c>
      <c r="B562" s="522">
        <f>YEAR(Data_NFI_t[[#This Row],[Distribution Date]])</f>
        <v>1900</v>
      </c>
      <c r="C562" s="913"/>
      <c r="D562" s="489"/>
      <c r="E562" s="488"/>
      <c r="F562" s="489"/>
      <c r="G562" s="790"/>
      <c r="H562" s="790"/>
      <c r="I562" s="790"/>
      <c r="J562" s="51"/>
      <c r="K562" s="51"/>
      <c r="L562" s="119"/>
      <c r="M562" s="119"/>
      <c r="N562" s="119"/>
      <c r="O562" s="119"/>
      <c r="P562" s="119"/>
      <c r="Q562" s="119"/>
      <c r="R562" s="512"/>
      <c r="S562" s="119"/>
      <c r="T562" s="119"/>
      <c r="U562" s="119"/>
      <c r="V562" s="119"/>
      <c r="W562" s="119"/>
      <c r="X562" s="131">
        <f>IF(NFI_Expiration=1,IF($A562&lt;VLOOKUP(I$5,NFI,5,0),1,0)*Data_NFI_t[[#This Row],[Hygiene Kit]],0)</f>
        <v>0</v>
      </c>
      <c r="Y562" s="131">
        <f>IF(NFI_Expiration=1,IF($A562&lt;VLOOKUP(J$5,NFI,5,0),1,0)*Data_NFI_t[[#This Row],[NFI Core Kit]],0)</f>
        <v>0</v>
      </c>
      <c r="Z562" s="112">
        <f>IF(NFI_Expiration=1,IF($A562&lt;VLOOKUP(K$5,NFI,5,0),1,0)*Data_NFI_t[[#This Row],[Sanitary Kit]],0)</f>
        <v>0</v>
      </c>
      <c r="AA562" s="112">
        <f>IF(NFI_Expiration=1,IF($A562&lt;VLOOKUP(L$5,NFI,5,0),1,0)*Data_NFI_t[[#This Row],[Mosquito net]],0)</f>
        <v>0</v>
      </c>
      <c r="AB562" s="112">
        <f>IF(NFI_Expiration=1,IF($A562&lt;VLOOKUP(M$5,NFI,5,0),1,0)*Data_NFI_t[[#This Row],[Tarpaulin]],0)</f>
        <v>0</v>
      </c>
      <c r="AC562" s="112">
        <f>IF(NFI_Expiration=1,IF($A562&lt;VLOOKUP(N$5,NFI,5,0),1,0)*Data_NFI_t[[#This Row],[Blanket]],0)</f>
        <v>0</v>
      </c>
      <c r="AD562" s="112">
        <f>IF(NFI_Expiration=1,IF($A562&lt;VLOOKUP(O$5,NFI,5,0),1,0)*Data_NFI_t[[#This Row],[Kitchen Set]],0)</f>
        <v>0</v>
      </c>
      <c r="AE562" s="112">
        <f>IF(NFI_Expiration=1,IF($A562&lt;VLOOKUP(P$5,NFI,5,0),1,0)*Data_NFI_t[[#This Row],[Complementary Kit]],0)</f>
        <v>0</v>
      </c>
      <c r="AF562" s="112">
        <f>IF(NFI_Expiration=1,IF($A562&lt;VLOOKUP(Q$5,NFI,5,0),1,0)*Data_NFI_t[[#This Row],[Plastic Bucket]],0)</f>
        <v>0</v>
      </c>
      <c r="AG562" s="131">
        <f>IF(NFI_Expiration=1,IF($A562&lt;VLOOKUP(R$5,NFI,5,0),1,0)*Data_NFI_t[[#This Row],[Jerry Can]],0)</f>
        <v>0</v>
      </c>
      <c r="AH562" s="131">
        <f>IF(NFI_Expiration=1,IF($A562&lt;VLOOKUP(S$5,NFI,5,0),1,0)*Data_NFI_t[[#This Row],[Plastic Mat]],0)*IF(Data_NFI_t[[#This Row],[Distribution Date]]&gt;"01-06-2015",1,2.5)</f>
        <v>0</v>
      </c>
      <c r="AI562" s="901">
        <f>IF(NFI_Expiration=1,IF($A562&lt;VLOOKUP(T$5,NFI,5,0),1,0)*Data_NFI_t[[#This Row],[Adult Clothes]],0)</f>
        <v>0</v>
      </c>
      <c r="AJ562" s="131">
        <f>IF(NFI_Expiration=1,IF($A562&lt;VLOOKUP(U$5,NFI,5,0),1,0)*Data_NFI_t[[#This Row],[Children Clothes]],0)</f>
        <v>0</v>
      </c>
      <c r="AK562" s="131">
        <f>IF(NFI_Expiration=1,IF($A562&lt;VLOOKUP(V$5,NFI,5,0),1,0)*Data_NFI_t[[#This Row],[Sewing Kit]],0)</f>
        <v>0</v>
      </c>
      <c r="AL562" s="901">
        <f>IF(NFI_Expiration=1,IF($A562&lt;VLOOKUP(V$5,NFI,5,0),1,0)*Data_NFI_t[[#This Row],[Solar Lantern]],0)</f>
        <v>0</v>
      </c>
      <c r="AM562" s="131" t="str">
        <f ca="1">IFERROR(OFFSET(Camp_List[P_Code],MATCH(Data_NFI_t[[#This Row],[Camp Name]],Camp_List[Camp Name],0)-1,0,1,1),"")</f>
        <v/>
      </c>
      <c r="AN562" s="513" t="str">
        <f ca="1">IFERROR(OFFSET(Camp_List[Status],MATCH(Data_NFI_t[[#This Row],[Camp Name]],Camp_List[Camp Name],0)-1,0,1,1),"")</f>
        <v/>
      </c>
      <c r="AO562" s="131"/>
    </row>
    <row r="563" spans="1:41" s="789" customFormat="1" ht="19.5" customHeight="1" x14ac:dyDescent="0.25">
      <c r="A563" s="242" t="str">
        <f t="shared" si="12"/>
        <v/>
      </c>
      <c r="B563" s="522">
        <f>YEAR(Data_NFI_t[[#This Row],[Distribution Date]])</f>
        <v>1900</v>
      </c>
      <c r="C563" s="913"/>
      <c r="D563" s="489"/>
      <c r="E563" s="488"/>
      <c r="F563" s="489"/>
      <c r="G563" s="790"/>
      <c r="H563" s="790"/>
      <c r="I563" s="790"/>
      <c r="J563" s="51"/>
      <c r="K563" s="51"/>
      <c r="L563" s="119"/>
      <c r="M563" s="119"/>
      <c r="N563" s="119"/>
      <c r="O563" s="119"/>
      <c r="P563" s="119"/>
      <c r="Q563" s="119"/>
      <c r="R563" s="512"/>
      <c r="S563" s="119"/>
      <c r="T563" s="119"/>
      <c r="U563" s="119"/>
      <c r="V563" s="119"/>
      <c r="W563" s="119"/>
      <c r="X563" s="131">
        <f>IF(NFI_Expiration=1,IF($A563&lt;VLOOKUP(I$5,NFI,5,0),1,0)*Data_NFI_t[[#This Row],[Hygiene Kit]],0)</f>
        <v>0</v>
      </c>
      <c r="Y563" s="131">
        <f>IF(NFI_Expiration=1,IF($A563&lt;VLOOKUP(J$5,NFI,5,0),1,0)*Data_NFI_t[[#This Row],[NFI Core Kit]],0)</f>
        <v>0</v>
      </c>
      <c r="Z563" s="112">
        <f>IF(NFI_Expiration=1,IF($A563&lt;VLOOKUP(K$5,NFI,5,0),1,0)*Data_NFI_t[[#This Row],[Sanitary Kit]],0)</f>
        <v>0</v>
      </c>
      <c r="AA563" s="112">
        <f>IF(NFI_Expiration=1,IF($A563&lt;VLOOKUP(L$5,NFI,5,0),1,0)*Data_NFI_t[[#This Row],[Mosquito net]],0)</f>
        <v>0</v>
      </c>
      <c r="AB563" s="112">
        <f>IF(NFI_Expiration=1,IF($A563&lt;VLOOKUP(M$5,NFI,5,0),1,0)*Data_NFI_t[[#This Row],[Tarpaulin]],0)</f>
        <v>0</v>
      </c>
      <c r="AC563" s="112">
        <f>IF(NFI_Expiration=1,IF($A563&lt;VLOOKUP(N$5,NFI,5,0),1,0)*Data_NFI_t[[#This Row],[Blanket]],0)</f>
        <v>0</v>
      </c>
      <c r="AD563" s="112">
        <f>IF(NFI_Expiration=1,IF($A563&lt;VLOOKUP(O$5,NFI,5,0),1,0)*Data_NFI_t[[#This Row],[Kitchen Set]],0)</f>
        <v>0</v>
      </c>
      <c r="AE563" s="112">
        <f>IF(NFI_Expiration=1,IF($A563&lt;VLOOKUP(P$5,NFI,5,0),1,0)*Data_NFI_t[[#This Row],[Complementary Kit]],0)</f>
        <v>0</v>
      </c>
      <c r="AF563" s="112">
        <f>IF(NFI_Expiration=1,IF($A563&lt;VLOOKUP(Q$5,NFI,5,0),1,0)*Data_NFI_t[[#This Row],[Plastic Bucket]],0)</f>
        <v>0</v>
      </c>
      <c r="AG563" s="131">
        <f>IF(NFI_Expiration=1,IF($A563&lt;VLOOKUP(R$5,NFI,5,0),1,0)*Data_NFI_t[[#This Row],[Jerry Can]],0)</f>
        <v>0</v>
      </c>
      <c r="AH563" s="131">
        <f>IF(NFI_Expiration=1,IF($A563&lt;VLOOKUP(S$5,NFI,5,0),1,0)*Data_NFI_t[[#This Row],[Plastic Mat]],0)*IF(Data_NFI_t[[#This Row],[Distribution Date]]&gt;"01-06-2015",1,2.5)</f>
        <v>0</v>
      </c>
      <c r="AI563" s="901">
        <f>IF(NFI_Expiration=1,IF($A563&lt;VLOOKUP(T$5,NFI,5,0),1,0)*Data_NFI_t[[#This Row],[Adult Clothes]],0)</f>
        <v>0</v>
      </c>
      <c r="AJ563" s="131">
        <f>IF(NFI_Expiration=1,IF($A563&lt;VLOOKUP(U$5,NFI,5,0),1,0)*Data_NFI_t[[#This Row],[Children Clothes]],0)</f>
        <v>0</v>
      </c>
      <c r="AK563" s="131">
        <f>IF(NFI_Expiration=1,IF($A563&lt;VLOOKUP(V$5,NFI,5,0),1,0)*Data_NFI_t[[#This Row],[Sewing Kit]],0)</f>
        <v>0</v>
      </c>
      <c r="AL563" s="901">
        <f>IF(NFI_Expiration=1,IF($A563&lt;VLOOKUP(V$5,NFI,5,0),1,0)*Data_NFI_t[[#This Row],[Solar Lantern]],0)</f>
        <v>0</v>
      </c>
      <c r="AM563" s="131" t="str">
        <f ca="1">IFERROR(OFFSET(Camp_List[P_Code],MATCH(Data_NFI_t[[#This Row],[Camp Name]],Camp_List[Camp Name],0)-1,0,1,1),"")</f>
        <v/>
      </c>
      <c r="AN563" s="513" t="str">
        <f ca="1">IFERROR(OFFSET(Camp_List[Status],MATCH(Data_NFI_t[[#This Row],[Camp Name]],Camp_List[Camp Name],0)-1,0,1,1),"")</f>
        <v/>
      </c>
      <c r="AO563" s="131"/>
    </row>
    <row r="564" spans="1:41" s="789" customFormat="1" ht="19.5" customHeight="1" x14ac:dyDescent="0.25">
      <c r="A564" s="242" t="str">
        <f t="shared" si="12"/>
        <v/>
      </c>
      <c r="B564" s="522">
        <f>YEAR(Data_NFI_t[[#This Row],[Distribution Date]])</f>
        <v>1900</v>
      </c>
      <c r="C564" s="913"/>
      <c r="D564" s="489"/>
      <c r="E564" s="488"/>
      <c r="F564" s="489"/>
      <c r="G564" s="790"/>
      <c r="H564" s="790"/>
      <c r="I564" s="790"/>
      <c r="J564" s="51"/>
      <c r="K564" s="51"/>
      <c r="L564" s="119"/>
      <c r="M564" s="119"/>
      <c r="N564" s="119"/>
      <c r="O564" s="119"/>
      <c r="P564" s="119"/>
      <c r="Q564" s="119"/>
      <c r="R564" s="512"/>
      <c r="S564" s="119"/>
      <c r="T564" s="119"/>
      <c r="U564" s="119"/>
      <c r="V564" s="119"/>
      <c r="W564" s="119"/>
      <c r="X564" s="131">
        <f>IF(NFI_Expiration=1,IF($A564&lt;VLOOKUP(I$5,NFI,5,0),1,0)*Data_NFI_t[[#This Row],[Hygiene Kit]],0)</f>
        <v>0</v>
      </c>
      <c r="Y564" s="131">
        <f>IF(NFI_Expiration=1,IF($A564&lt;VLOOKUP(J$5,NFI,5,0),1,0)*Data_NFI_t[[#This Row],[NFI Core Kit]],0)</f>
        <v>0</v>
      </c>
      <c r="Z564" s="112">
        <f>IF(NFI_Expiration=1,IF($A564&lt;VLOOKUP(K$5,NFI,5,0),1,0)*Data_NFI_t[[#This Row],[Sanitary Kit]],0)</f>
        <v>0</v>
      </c>
      <c r="AA564" s="112">
        <f>IF(NFI_Expiration=1,IF($A564&lt;VLOOKUP(L$5,NFI,5,0),1,0)*Data_NFI_t[[#This Row],[Mosquito net]],0)</f>
        <v>0</v>
      </c>
      <c r="AB564" s="112">
        <f>IF(NFI_Expiration=1,IF($A564&lt;VLOOKUP(M$5,NFI,5,0),1,0)*Data_NFI_t[[#This Row],[Tarpaulin]],0)</f>
        <v>0</v>
      </c>
      <c r="AC564" s="112">
        <f>IF(NFI_Expiration=1,IF($A564&lt;VLOOKUP(N$5,NFI,5,0),1,0)*Data_NFI_t[[#This Row],[Blanket]],0)</f>
        <v>0</v>
      </c>
      <c r="AD564" s="112">
        <f>IF(NFI_Expiration=1,IF($A564&lt;VLOOKUP(O$5,NFI,5,0),1,0)*Data_NFI_t[[#This Row],[Kitchen Set]],0)</f>
        <v>0</v>
      </c>
      <c r="AE564" s="112">
        <f>IF(NFI_Expiration=1,IF($A564&lt;VLOOKUP(P$5,NFI,5,0),1,0)*Data_NFI_t[[#This Row],[Complementary Kit]],0)</f>
        <v>0</v>
      </c>
      <c r="AF564" s="112">
        <f>IF(NFI_Expiration=1,IF($A564&lt;VLOOKUP(Q$5,NFI,5,0),1,0)*Data_NFI_t[[#This Row],[Plastic Bucket]],0)</f>
        <v>0</v>
      </c>
      <c r="AG564" s="131">
        <f>IF(NFI_Expiration=1,IF($A564&lt;VLOOKUP(R$5,NFI,5,0),1,0)*Data_NFI_t[[#This Row],[Jerry Can]],0)</f>
        <v>0</v>
      </c>
      <c r="AH564" s="131">
        <f>IF(NFI_Expiration=1,IF($A564&lt;VLOOKUP(S$5,NFI,5,0),1,0)*Data_NFI_t[[#This Row],[Plastic Mat]],0)*IF(Data_NFI_t[[#This Row],[Distribution Date]]&gt;"01-06-2015",1,2.5)</f>
        <v>0</v>
      </c>
      <c r="AI564" s="901">
        <f>IF(NFI_Expiration=1,IF($A564&lt;VLOOKUP(T$5,NFI,5,0),1,0)*Data_NFI_t[[#This Row],[Adult Clothes]],0)</f>
        <v>0</v>
      </c>
      <c r="AJ564" s="131">
        <f>IF(NFI_Expiration=1,IF($A564&lt;VLOOKUP(U$5,NFI,5,0),1,0)*Data_NFI_t[[#This Row],[Children Clothes]],0)</f>
        <v>0</v>
      </c>
      <c r="AK564" s="131">
        <f>IF(NFI_Expiration=1,IF($A564&lt;VLOOKUP(V$5,NFI,5,0),1,0)*Data_NFI_t[[#This Row],[Sewing Kit]],0)</f>
        <v>0</v>
      </c>
      <c r="AL564" s="901">
        <f>IF(NFI_Expiration=1,IF($A564&lt;VLOOKUP(V$5,NFI,5,0),1,0)*Data_NFI_t[[#This Row],[Solar Lantern]],0)</f>
        <v>0</v>
      </c>
      <c r="AM564" s="131" t="str">
        <f ca="1">IFERROR(OFFSET(Camp_List[P_Code],MATCH(Data_NFI_t[[#This Row],[Camp Name]],Camp_List[Camp Name],0)-1,0,1,1),"")</f>
        <v/>
      </c>
      <c r="AN564" s="513" t="str">
        <f ca="1">IFERROR(OFFSET(Camp_List[Status],MATCH(Data_NFI_t[[#This Row],[Camp Name]],Camp_List[Camp Name],0)-1,0,1,1),"")</f>
        <v/>
      </c>
      <c r="AO564" s="131"/>
    </row>
    <row r="565" spans="1:41" s="789" customFormat="1" ht="19.5" customHeight="1" x14ac:dyDescent="0.25">
      <c r="A565" s="242" t="str">
        <f t="shared" si="12"/>
        <v/>
      </c>
      <c r="B565" s="522">
        <f>YEAR(Data_NFI_t[[#This Row],[Distribution Date]])</f>
        <v>1900</v>
      </c>
      <c r="C565" s="913"/>
      <c r="D565" s="489"/>
      <c r="E565" s="488"/>
      <c r="F565" s="489"/>
      <c r="G565" s="790"/>
      <c r="H565" s="790"/>
      <c r="I565" s="790"/>
      <c r="J565" s="51"/>
      <c r="K565" s="51"/>
      <c r="L565" s="119"/>
      <c r="M565" s="119"/>
      <c r="N565" s="119"/>
      <c r="O565" s="119"/>
      <c r="P565" s="119"/>
      <c r="Q565" s="119"/>
      <c r="R565" s="512"/>
      <c r="S565" s="119"/>
      <c r="T565" s="119"/>
      <c r="U565" s="119"/>
      <c r="V565" s="119"/>
      <c r="W565" s="119"/>
      <c r="X565" s="131">
        <f>IF(NFI_Expiration=1,IF($A565&lt;VLOOKUP(I$5,NFI,5,0),1,0)*Data_NFI_t[[#This Row],[Hygiene Kit]],0)</f>
        <v>0</v>
      </c>
      <c r="Y565" s="131">
        <f>IF(NFI_Expiration=1,IF($A565&lt;VLOOKUP(J$5,NFI,5,0),1,0)*Data_NFI_t[[#This Row],[NFI Core Kit]],0)</f>
        <v>0</v>
      </c>
      <c r="Z565" s="112">
        <f>IF(NFI_Expiration=1,IF($A565&lt;VLOOKUP(K$5,NFI,5,0),1,0)*Data_NFI_t[[#This Row],[Sanitary Kit]],0)</f>
        <v>0</v>
      </c>
      <c r="AA565" s="112">
        <f>IF(NFI_Expiration=1,IF($A565&lt;VLOOKUP(L$5,NFI,5,0),1,0)*Data_NFI_t[[#This Row],[Mosquito net]],0)</f>
        <v>0</v>
      </c>
      <c r="AB565" s="112">
        <f>IF(NFI_Expiration=1,IF($A565&lt;VLOOKUP(M$5,NFI,5,0),1,0)*Data_NFI_t[[#This Row],[Tarpaulin]],0)</f>
        <v>0</v>
      </c>
      <c r="AC565" s="112">
        <f>IF(NFI_Expiration=1,IF($A565&lt;VLOOKUP(N$5,NFI,5,0),1,0)*Data_NFI_t[[#This Row],[Blanket]],0)</f>
        <v>0</v>
      </c>
      <c r="AD565" s="112">
        <f>IF(NFI_Expiration=1,IF($A565&lt;VLOOKUP(O$5,NFI,5,0),1,0)*Data_NFI_t[[#This Row],[Kitchen Set]],0)</f>
        <v>0</v>
      </c>
      <c r="AE565" s="112">
        <f>IF(NFI_Expiration=1,IF($A565&lt;VLOOKUP(P$5,NFI,5,0),1,0)*Data_NFI_t[[#This Row],[Complementary Kit]],0)</f>
        <v>0</v>
      </c>
      <c r="AF565" s="112">
        <f>IF(NFI_Expiration=1,IF($A565&lt;VLOOKUP(Q$5,NFI,5,0),1,0)*Data_NFI_t[[#This Row],[Plastic Bucket]],0)</f>
        <v>0</v>
      </c>
      <c r="AG565" s="131">
        <f>IF(NFI_Expiration=1,IF($A565&lt;VLOOKUP(R$5,NFI,5,0),1,0)*Data_NFI_t[[#This Row],[Jerry Can]],0)</f>
        <v>0</v>
      </c>
      <c r="AH565" s="131">
        <f>IF(NFI_Expiration=1,IF($A565&lt;VLOOKUP(S$5,NFI,5,0),1,0)*Data_NFI_t[[#This Row],[Plastic Mat]],0)*IF(Data_NFI_t[[#This Row],[Distribution Date]]&gt;"01-06-2015",1,2.5)</f>
        <v>0</v>
      </c>
      <c r="AI565" s="901">
        <f>IF(NFI_Expiration=1,IF($A565&lt;VLOOKUP(T$5,NFI,5,0),1,0)*Data_NFI_t[[#This Row],[Adult Clothes]],0)</f>
        <v>0</v>
      </c>
      <c r="AJ565" s="131">
        <f>IF(NFI_Expiration=1,IF($A565&lt;VLOOKUP(U$5,NFI,5,0),1,0)*Data_NFI_t[[#This Row],[Children Clothes]],0)</f>
        <v>0</v>
      </c>
      <c r="AK565" s="131">
        <f>IF(NFI_Expiration=1,IF($A565&lt;VLOOKUP(V$5,NFI,5,0),1,0)*Data_NFI_t[[#This Row],[Sewing Kit]],0)</f>
        <v>0</v>
      </c>
      <c r="AL565" s="901">
        <f>IF(NFI_Expiration=1,IF($A565&lt;VLOOKUP(V$5,NFI,5,0),1,0)*Data_NFI_t[[#This Row],[Solar Lantern]],0)</f>
        <v>0</v>
      </c>
      <c r="AM565" s="131" t="str">
        <f ca="1">IFERROR(OFFSET(Camp_List[P_Code],MATCH(Data_NFI_t[[#This Row],[Camp Name]],Camp_List[Camp Name],0)-1,0,1,1),"")</f>
        <v/>
      </c>
      <c r="AN565" s="513" t="str">
        <f ca="1">IFERROR(OFFSET(Camp_List[Status],MATCH(Data_NFI_t[[#This Row],[Camp Name]],Camp_List[Camp Name],0)-1,0,1,1),"")</f>
        <v/>
      </c>
      <c r="AO565" s="131"/>
    </row>
    <row r="566" spans="1:41" s="789" customFormat="1" ht="19.5" customHeight="1" x14ac:dyDescent="0.25">
      <c r="A566" s="242" t="str">
        <f t="shared" si="12"/>
        <v/>
      </c>
      <c r="B566" s="522">
        <f>YEAR(Data_NFI_t[[#This Row],[Distribution Date]])</f>
        <v>1900</v>
      </c>
      <c r="C566" s="913"/>
      <c r="D566" s="489"/>
      <c r="E566" s="488"/>
      <c r="F566" s="489"/>
      <c r="G566" s="790"/>
      <c r="H566" s="790"/>
      <c r="I566" s="790"/>
      <c r="J566" s="51"/>
      <c r="K566" s="51"/>
      <c r="L566" s="119"/>
      <c r="M566" s="119"/>
      <c r="N566" s="119"/>
      <c r="O566" s="119"/>
      <c r="P566" s="119"/>
      <c r="Q566" s="119"/>
      <c r="R566" s="512"/>
      <c r="S566" s="119"/>
      <c r="T566" s="119"/>
      <c r="U566" s="119"/>
      <c r="V566" s="119"/>
      <c r="W566" s="119"/>
      <c r="X566" s="131">
        <f>IF(NFI_Expiration=1,IF($A566&lt;VLOOKUP(I$5,NFI,5,0),1,0)*Data_NFI_t[[#This Row],[Hygiene Kit]],0)</f>
        <v>0</v>
      </c>
      <c r="Y566" s="131">
        <f>IF(NFI_Expiration=1,IF($A566&lt;VLOOKUP(J$5,NFI,5,0),1,0)*Data_NFI_t[[#This Row],[NFI Core Kit]],0)</f>
        <v>0</v>
      </c>
      <c r="Z566" s="112">
        <f>IF(NFI_Expiration=1,IF($A566&lt;VLOOKUP(K$5,NFI,5,0),1,0)*Data_NFI_t[[#This Row],[Sanitary Kit]],0)</f>
        <v>0</v>
      </c>
      <c r="AA566" s="112">
        <f>IF(NFI_Expiration=1,IF($A566&lt;VLOOKUP(L$5,NFI,5,0),1,0)*Data_NFI_t[[#This Row],[Mosquito net]],0)</f>
        <v>0</v>
      </c>
      <c r="AB566" s="112">
        <f>IF(NFI_Expiration=1,IF($A566&lt;VLOOKUP(M$5,NFI,5,0),1,0)*Data_NFI_t[[#This Row],[Tarpaulin]],0)</f>
        <v>0</v>
      </c>
      <c r="AC566" s="112">
        <f>IF(NFI_Expiration=1,IF($A566&lt;VLOOKUP(N$5,NFI,5,0),1,0)*Data_NFI_t[[#This Row],[Blanket]],0)</f>
        <v>0</v>
      </c>
      <c r="AD566" s="112">
        <f>IF(NFI_Expiration=1,IF($A566&lt;VLOOKUP(O$5,NFI,5,0),1,0)*Data_NFI_t[[#This Row],[Kitchen Set]],0)</f>
        <v>0</v>
      </c>
      <c r="AE566" s="112">
        <f>IF(NFI_Expiration=1,IF($A566&lt;VLOOKUP(P$5,NFI,5,0),1,0)*Data_NFI_t[[#This Row],[Complementary Kit]],0)</f>
        <v>0</v>
      </c>
      <c r="AF566" s="112">
        <f>IF(NFI_Expiration=1,IF($A566&lt;VLOOKUP(Q$5,NFI,5,0),1,0)*Data_NFI_t[[#This Row],[Plastic Bucket]],0)</f>
        <v>0</v>
      </c>
      <c r="AG566" s="131">
        <f>IF(NFI_Expiration=1,IF($A566&lt;VLOOKUP(R$5,NFI,5,0),1,0)*Data_NFI_t[[#This Row],[Jerry Can]],0)</f>
        <v>0</v>
      </c>
      <c r="AH566" s="131">
        <f>IF(NFI_Expiration=1,IF($A566&lt;VLOOKUP(S$5,NFI,5,0),1,0)*Data_NFI_t[[#This Row],[Plastic Mat]],0)*IF(Data_NFI_t[[#This Row],[Distribution Date]]&gt;"01-06-2015",1,2.5)</f>
        <v>0</v>
      </c>
      <c r="AI566" s="901">
        <f>IF(NFI_Expiration=1,IF($A566&lt;VLOOKUP(T$5,NFI,5,0),1,0)*Data_NFI_t[[#This Row],[Adult Clothes]],0)</f>
        <v>0</v>
      </c>
      <c r="AJ566" s="131">
        <f>IF(NFI_Expiration=1,IF($A566&lt;VLOOKUP(U$5,NFI,5,0),1,0)*Data_NFI_t[[#This Row],[Children Clothes]],0)</f>
        <v>0</v>
      </c>
      <c r="AK566" s="131">
        <f>IF(NFI_Expiration=1,IF($A566&lt;VLOOKUP(V$5,NFI,5,0),1,0)*Data_NFI_t[[#This Row],[Sewing Kit]],0)</f>
        <v>0</v>
      </c>
      <c r="AL566" s="901">
        <f>IF(NFI_Expiration=1,IF($A566&lt;VLOOKUP(V$5,NFI,5,0),1,0)*Data_NFI_t[[#This Row],[Solar Lantern]],0)</f>
        <v>0</v>
      </c>
      <c r="AM566" s="131" t="str">
        <f ca="1">IFERROR(OFFSET(Camp_List[P_Code],MATCH(Data_NFI_t[[#This Row],[Camp Name]],Camp_List[Camp Name],0)-1,0,1,1),"")</f>
        <v/>
      </c>
      <c r="AN566" s="513" t="str">
        <f ca="1">IFERROR(OFFSET(Camp_List[Status],MATCH(Data_NFI_t[[#This Row],[Camp Name]],Camp_List[Camp Name],0)-1,0,1,1),"")</f>
        <v/>
      </c>
      <c r="AO566" s="131"/>
    </row>
    <row r="567" spans="1:41" s="789" customFormat="1" ht="19.5" customHeight="1" x14ac:dyDescent="0.25">
      <c r="A567" s="242" t="str">
        <f t="shared" si="12"/>
        <v/>
      </c>
      <c r="B567" s="522">
        <f>YEAR(Data_NFI_t[[#This Row],[Distribution Date]])</f>
        <v>1900</v>
      </c>
      <c r="C567" s="913"/>
      <c r="D567" s="489"/>
      <c r="E567" s="488"/>
      <c r="F567" s="489"/>
      <c r="G567" s="790"/>
      <c r="H567" s="790"/>
      <c r="I567" s="790"/>
      <c r="J567" s="51"/>
      <c r="K567" s="51"/>
      <c r="L567" s="119"/>
      <c r="M567" s="119"/>
      <c r="N567" s="119"/>
      <c r="O567" s="119"/>
      <c r="P567" s="119"/>
      <c r="Q567" s="119"/>
      <c r="R567" s="512"/>
      <c r="S567" s="119"/>
      <c r="T567" s="119"/>
      <c r="U567" s="119"/>
      <c r="V567" s="119"/>
      <c r="W567" s="119"/>
      <c r="X567" s="131">
        <f>IF(NFI_Expiration=1,IF($A567&lt;VLOOKUP(I$5,NFI,5,0),1,0)*Data_NFI_t[[#This Row],[Hygiene Kit]],0)</f>
        <v>0</v>
      </c>
      <c r="Y567" s="131">
        <f>IF(NFI_Expiration=1,IF($A567&lt;VLOOKUP(J$5,NFI,5,0),1,0)*Data_NFI_t[[#This Row],[NFI Core Kit]],0)</f>
        <v>0</v>
      </c>
      <c r="Z567" s="112">
        <f>IF(NFI_Expiration=1,IF($A567&lt;VLOOKUP(K$5,NFI,5,0),1,0)*Data_NFI_t[[#This Row],[Sanitary Kit]],0)</f>
        <v>0</v>
      </c>
      <c r="AA567" s="112">
        <f>IF(NFI_Expiration=1,IF($A567&lt;VLOOKUP(L$5,NFI,5,0),1,0)*Data_NFI_t[[#This Row],[Mosquito net]],0)</f>
        <v>0</v>
      </c>
      <c r="AB567" s="112">
        <f>IF(NFI_Expiration=1,IF($A567&lt;VLOOKUP(M$5,NFI,5,0),1,0)*Data_NFI_t[[#This Row],[Tarpaulin]],0)</f>
        <v>0</v>
      </c>
      <c r="AC567" s="112">
        <f>IF(NFI_Expiration=1,IF($A567&lt;VLOOKUP(N$5,NFI,5,0),1,0)*Data_NFI_t[[#This Row],[Blanket]],0)</f>
        <v>0</v>
      </c>
      <c r="AD567" s="112">
        <f>IF(NFI_Expiration=1,IF($A567&lt;VLOOKUP(O$5,NFI,5,0),1,0)*Data_NFI_t[[#This Row],[Kitchen Set]],0)</f>
        <v>0</v>
      </c>
      <c r="AE567" s="112">
        <f>IF(NFI_Expiration=1,IF($A567&lt;VLOOKUP(P$5,NFI,5,0),1,0)*Data_NFI_t[[#This Row],[Complementary Kit]],0)</f>
        <v>0</v>
      </c>
      <c r="AF567" s="112">
        <f>IF(NFI_Expiration=1,IF($A567&lt;VLOOKUP(Q$5,NFI,5,0),1,0)*Data_NFI_t[[#This Row],[Plastic Bucket]],0)</f>
        <v>0</v>
      </c>
      <c r="AG567" s="131">
        <f>IF(NFI_Expiration=1,IF($A567&lt;VLOOKUP(R$5,NFI,5,0),1,0)*Data_NFI_t[[#This Row],[Jerry Can]],0)</f>
        <v>0</v>
      </c>
      <c r="AH567" s="131">
        <f>IF(NFI_Expiration=1,IF($A567&lt;VLOOKUP(S$5,NFI,5,0),1,0)*Data_NFI_t[[#This Row],[Plastic Mat]],0)*IF(Data_NFI_t[[#This Row],[Distribution Date]]&gt;"01-06-2015",1,2.5)</f>
        <v>0</v>
      </c>
      <c r="AI567" s="901">
        <f>IF(NFI_Expiration=1,IF($A567&lt;VLOOKUP(T$5,NFI,5,0),1,0)*Data_NFI_t[[#This Row],[Adult Clothes]],0)</f>
        <v>0</v>
      </c>
      <c r="AJ567" s="131">
        <f>IF(NFI_Expiration=1,IF($A567&lt;VLOOKUP(U$5,NFI,5,0),1,0)*Data_NFI_t[[#This Row],[Children Clothes]],0)</f>
        <v>0</v>
      </c>
      <c r="AK567" s="131">
        <f>IF(NFI_Expiration=1,IF($A567&lt;VLOOKUP(V$5,NFI,5,0),1,0)*Data_NFI_t[[#This Row],[Sewing Kit]],0)</f>
        <v>0</v>
      </c>
      <c r="AL567" s="901">
        <f>IF(NFI_Expiration=1,IF($A567&lt;VLOOKUP(V$5,NFI,5,0),1,0)*Data_NFI_t[[#This Row],[Solar Lantern]],0)</f>
        <v>0</v>
      </c>
      <c r="AM567" s="131" t="str">
        <f ca="1">IFERROR(OFFSET(Camp_List[P_Code],MATCH(Data_NFI_t[[#This Row],[Camp Name]],Camp_List[Camp Name],0)-1,0,1,1),"")</f>
        <v/>
      </c>
      <c r="AN567" s="513" t="str">
        <f ca="1">IFERROR(OFFSET(Camp_List[Status],MATCH(Data_NFI_t[[#This Row],[Camp Name]],Camp_List[Camp Name],0)-1,0,1,1),"")</f>
        <v/>
      </c>
      <c r="AO567" s="131"/>
    </row>
    <row r="568" spans="1:41" s="789" customFormat="1" ht="19.5" customHeight="1" x14ac:dyDescent="0.25">
      <c r="A568" s="242" t="str">
        <f t="shared" si="12"/>
        <v/>
      </c>
      <c r="B568" s="522">
        <f>YEAR(Data_NFI_t[[#This Row],[Distribution Date]])</f>
        <v>1900</v>
      </c>
      <c r="C568" s="913"/>
      <c r="D568" s="489"/>
      <c r="E568" s="488"/>
      <c r="F568" s="489"/>
      <c r="G568" s="790"/>
      <c r="H568" s="790"/>
      <c r="I568" s="790"/>
      <c r="J568" s="51"/>
      <c r="K568" s="51"/>
      <c r="L568" s="119"/>
      <c r="M568" s="119"/>
      <c r="N568" s="119"/>
      <c r="O568" s="119"/>
      <c r="P568" s="119"/>
      <c r="Q568" s="119"/>
      <c r="R568" s="512"/>
      <c r="S568" s="119"/>
      <c r="T568" s="119"/>
      <c r="U568" s="119"/>
      <c r="V568" s="119"/>
      <c r="W568" s="119"/>
      <c r="X568" s="131">
        <f>IF(NFI_Expiration=1,IF($A568&lt;VLOOKUP(I$5,NFI,5,0),1,0)*Data_NFI_t[[#This Row],[Hygiene Kit]],0)</f>
        <v>0</v>
      </c>
      <c r="Y568" s="131">
        <f>IF(NFI_Expiration=1,IF($A568&lt;VLOOKUP(J$5,NFI,5,0),1,0)*Data_NFI_t[[#This Row],[NFI Core Kit]],0)</f>
        <v>0</v>
      </c>
      <c r="Z568" s="112">
        <f>IF(NFI_Expiration=1,IF($A568&lt;VLOOKUP(K$5,NFI,5,0),1,0)*Data_NFI_t[[#This Row],[Sanitary Kit]],0)</f>
        <v>0</v>
      </c>
      <c r="AA568" s="112">
        <f>IF(NFI_Expiration=1,IF($A568&lt;VLOOKUP(L$5,NFI,5,0),1,0)*Data_NFI_t[[#This Row],[Mosquito net]],0)</f>
        <v>0</v>
      </c>
      <c r="AB568" s="112">
        <f>IF(NFI_Expiration=1,IF($A568&lt;VLOOKUP(M$5,NFI,5,0),1,0)*Data_NFI_t[[#This Row],[Tarpaulin]],0)</f>
        <v>0</v>
      </c>
      <c r="AC568" s="112">
        <f>IF(NFI_Expiration=1,IF($A568&lt;VLOOKUP(N$5,NFI,5,0),1,0)*Data_NFI_t[[#This Row],[Blanket]],0)</f>
        <v>0</v>
      </c>
      <c r="AD568" s="112">
        <f>IF(NFI_Expiration=1,IF($A568&lt;VLOOKUP(O$5,NFI,5,0),1,0)*Data_NFI_t[[#This Row],[Kitchen Set]],0)</f>
        <v>0</v>
      </c>
      <c r="AE568" s="112">
        <f>IF(NFI_Expiration=1,IF($A568&lt;VLOOKUP(P$5,NFI,5,0),1,0)*Data_NFI_t[[#This Row],[Complementary Kit]],0)</f>
        <v>0</v>
      </c>
      <c r="AF568" s="112">
        <f>IF(NFI_Expiration=1,IF($A568&lt;VLOOKUP(Q$5,NFI,5,0),1,0)*Data_NFI_t[[#This Row],[Plastic Bucket]],0)</f>
        <v>0</v>
      </c>
      <c r="AG568" s="131">
        <f>IF(NFI_Expiration=1,IF($A568&lt;VLOOKUP(R$5,NFI,5,0),1,0)*Data_NFI_t[[#This Row],[Jerry Can]],0)</f>
        <v>0</v>
      </c>
      <c r="AH568" s="131">
        <f>IF(NFI_Expiration=1,IF($A568&lt;VLOOKUP(S$5,NFI,5,0),1,0)*Data_NFI_t[[#This Row],[Plastic Mat]],0)*IF(Data_NFI_t[[#This Row],[Distribution Date]]&gt;"01-06-2015",1,2.5)</f>
        <v>0</v>
      </c>
      <c r="AI568" s="901">
        <f>IF(NFI_Expiration=1,IF($A568&lt;VLOOKUP(T$5,NFI,5,0),1,0)*Data_NFI_t[[#This Row],[Adult Clothes]],0)</f>
        <v>0</v>
      </c>
      <c r="AJ568" s="131">
        <f>IF(NFI_Expiration=1,IF($A568&lt;VLOOKUP(U$5,NFI,5,0),1,0)*Data_NFI_t[[#This Row],[Children Clothes]],0)</f>
        <v>0</v>
      </c>
      <c r="AK568" s="131">
        <f>IF(NFI_Expiration=1,IF($A568&lt;VLOOKUP(V$5,NFI,5,0),1,0)*Data_NFI_t[[#This Row],[Sewing Kit]],0)</f>
        <v>0</v>
      </c>
      <c r="AL568" s="901">
        <f>IF(NFI_Expiration=1,IF($A568&lt;VLOOKUP(V$5,NFI,5,0),1,0)*Data_NFI_t[[#This Row],[Solar Lantern]],0)</f>
        <v>0</v>
      </c>
      <c r="AM568" s="131" t="str">
        <f ca="1">IFERROR(OFFSET(Camp_List[P_Code],MATCH(Data_NFI_t[[#This Row],[Camp Name]],Camp_List[Camp Name],0)-1,0,1,1),"")</f>
        <v/>
      </c>
      <c r="AN568" s="513" t="str">
        <f ca="1">IFERROR(OFFSET(Camp_List[Status],MATCH(Data_NFI_t[[#This Row],[Camp Name]],Camp_List[Camp Name],0)-1,0,1,1),"")</f>
        <v/>
      </c>
      <c r="AO568" s="131"/>
    </row>
    <row r="569" spans="1:41" s="789" customFormat="1" ht="19.5" customHeight="1" x14ac:dyDescent="0.25">
      <c r="A569" s="242" t="str">
        <f t="shared" si="12"/>
        <v/>
      </c>
      <c r="B569" s="522">
        <f>YEAR(Data_NFI_t[[#This Row],[Distribution Date]])</f>
        <v>1900</v>
      </c>
      <c r="C569" s="913"/>
      <c r="D569" s="489"/>
      <c r="E569" s="488"/>
      <c r="F569" s="489"/>
      <c r="G569" s="790"/>
      <c r="H569" s="790"/>
      <c r="I569" s="790"/>
      <c r="J569" s="51"/>
      <c r="K569" s="51"/>
      <c r="L569" s="119"/>
      <c r="M569" s="119"/>
      <c r="N569" s="119"/>
      <c r="O569" s="119"/>
      <c r="P569" s="119"/>
      <c r="Q569" s="119"/>
      <c r="R569" s="512"/>
      <c r="S569" s="119"/>
      <c r="T569" s="119"/>
      <c r="U569" s="119"/>
      <c r="V569" s="119"/>
      <c r="W569" s="119"/>
      <c r="X569" s="131">
        <f>IF(NFI_Expiration=1,IF($A569&lt;VLOOKUP(I$5,NFI,5,0),1,0)*Data_NFI_t[[#This Row],[Hygiene Kit]],0)</f>
        <v>0</v>
      </c>
      <c r="Y569" s="131">
        <f>IF(NFI_Expiration=1,IF($A569&lt;VLOOKUP(J$5,NFI,5,0),1,0)*Data_NFI_t[[#This Row],[NFI Core Kit]],0)</f>
        <v>0</v>
      </c>
      <c r="Z569" s="112">
        <f>IF(NFI_Expiration=1,IF($A569&lt;VLOOKUP(K$5,NFI,5,0),1,0)*Data_NFI_t[[#This Row],[Sanitary Kit]],0)</f>
        <v>0</v>
      </c>
      <c r="AA569" s="112">
        <f>IF(NFI_Expiration=1,IF($A569&lt;VLOOKUP(L$5,NFI,5,0),1,0)*Data_NFI_t[[#This Row],[Mosquito net]],0)</f>
        <v>0</v>
      </c>
      <c r="AB569" s="112">
        <f>IF(NFI_Expiration=1,IF($A569&lt;VLOOKUP(M$5,NFI,5,0),1,0)*Data_NFI_t[[#This Row],[Tarpaulin]],0)</f>
        <v>0</v>
      </c>
      <c r="AC569" s="112">
        <f>IF(NFI_Expiration=1,IF($A569&lt;VLOOKUP(N$5,NFI,5,0),1,0)*Data_NFI_t[[#This Row],[Blanket]],0)</f>
        <v>0</v>
      </c>
      <c r="AD569" s="112">
        <f>IF(NFI_Expiration=1,IF($A569&lt;VLOOKUP(O$5,NFI,5,0),1,0)*Data_NFI_t[[#This Row],[Kitchen Set]],0)</f>
        <v>0</v>
      </c>
      <c r="AE569" s="112">
        <f>IF(NFI_Expiration=1,IF($A569&lt;VLOOKUP(P$5,NFI,5,0),1,0)*Data_NFI_t[[#This Row],[Complementary Kit]],0)</f>
        <v>0</v>
      </c>
      <c r="AF569" s="112">
        <f>IF(NFI_Expiration=1,IF($A569&lt;VLOOKUP(Q$5,NFI,5,0),1,0)*Data_NFI_t[[#This Row],[Plastic Bucket]],0)</f>
        <v>0</v>
      </c>
      <c r="AG569" s="131">
        <f>IF(NFI_Expiration=1,IF($A569&lt;VLOOKUP(R$5,NFI,5,0),1,0)*Data_NFI_t[[#This Row],[Jerry Can]],0)</f>
        <v>0</v>
      </c>
      <c r="AH569" s="131">
        <f>IF(NFI_Expiration=1,IF($A569&lt;VLOOKUP(S$5,NFI,5,0),1,0)*Data_NFI_t[[#This Row],[Plastic Mat]],0)*IF(Data_NFI_t[[#This Row],[Distribution Date]]&gt;"01-06-2015",1,2.5)</f>
        <v>0</v>
      </c>
      <c r="AI569" s="901">
        <f>IF(NFI_Expiration=1,IF($A569&lt;VLOOKUP(T$5,NFI,5,0),1,0)*Data_NFI_t[[#This Row],[Adult Clothes]],0)</f>
        <v>0</v>
      </c>
      <c r="AJ569" s="131">
        <f>IF(NFI_Expiration=1,IF($A569&lt;VLOOKUP(U$5,NFI,5,0),1,0)*Data_NFI_t[[#This Row],[Children Clothes]],0)</f>
        <v>0</v>
      </c>
      <c r="AK569" s="131">
        <f>IF(NFI_Expiration=1,IF($A569&lt;VLOOKUP(V$5,NFI,5,0),1,0)*Data_NFI_t[[#This Row],[Sewing Kit]],0)</f>
        <v>0</v>
      </c>
      <c r="AL569" s="901">
        <f>IF(NFI_Expiration=1,IF($A569&lt;VLOOKUP(V$5,NFI,5,0),1,0)*Data_NFI_t[[#This Row],[Solar Lantern]],0)</f>
        <v>0</v>
      </c>
      <c r="AM569" s="131" t="str">
        <f ca="1">IFERROR(OFFSET(Camp_List[P_Code],MATCH(Data_NFI_t[[#This Row],[Camp Name]],Camp_List[Camp Name],0)-1,0,1,1),"")</f>
        <v/>
      </c>
      <c r="AN569" s="513" t="str">
        <f ca="1">IFERROR(OFFSET(Camp_List[Status],MATCH(Data_NFI_t[[#This Row],[Camp Name]],Camp_List[Camp Name],0)-1,0,1,1),"")</f>
        <v/>
      </c>
      <c r="AO569" s="131"/>
    </row>
    <row r="570" spans="1:41" s="789" customFormat="1" ht="19.5" customHeight="1" x14ac:dyDescent="0.25">
      <c r="A570" s="242" t="str">
        <f t="shared" si="12"/>
        <v/>
      </c>
      <c r="B570" s="522">
        <f>YEAR(Data_NFI_t[[#This Row],[Distribution Date]])</f>
        <v>1900</v>
      </c>
      <c r="C570" s="913"/>
      <c r="D570" s="489"/>
      <c r="E570" s="488"/>
      <c r="F570" s="489"/>
      <c r="G570" s="790"/>
      <c r="H570" s="790"/>
      <c r="I570" s="790"/>
      <c r="J570" s="51"/>
      <c r="K570" s="51"/>
      <c r="L570" s="119"/>
      <c r="M570" s="119"/>
      <c r="N570" s="119"/>
      <c r="O570" s="119"/>
      <c r="P570" s="119"/>
      <c r="Q570" s="119"/>
      <c r="R570" s="512"/>
      <c r="S570" s="119"/>
      <c r="T570" s="119"/>
      <c r="U570" s="119"/>
      <c r="V570" s="119"/>
      <c r="W570" s="119"/>
      <c r="X570" s="131">
        <f>IF(NFI_Expiration=1,IF($A570&lt;VLOOKUP(I$5,NFI,5,0),1,0)*Data_NFI_t[[#This Row],[Hygiene Kit]],0)</f>
        <v>0</v>
      </c>
      <c r="Y570" s="131">
        <f>IF(NFI_Expiration=1,IF($A570&lt;VLOOKUP(J$5,NFI,5,0),1,0)*Data_NFI_t[[#This Row],[NFI Core Kit]],0)</f>
        <v>0</v>
      </c>
      <c r="Z570" s="112">
        <f>IF(NFI_Expiration=1,IF($A570&lt;VLOOKUP(K$5,NFI,5,0),1,0)*Data_NFI_t[[#This Row],[Sanitary Kit]],0)</f>
        <v>0</v>
      </c>
      <c r="AA570" s="112">
        <f>IF(NFI_Expiration=1,IF($A570&lt;VLOOKUP(L$5,NFI,5,0),1,0)*Data_NFI_t[[#This Row],[Mosquito net]],0)</f>
        <v>0</v>
      </c>
      <c r="AB570" s="112">
        <f>IF(NFI_Expiration=1,IF($A570&lt;VLOOKUP(M$5,NFI,5,0),1,0)*Data_NFI_t[[#This Row],[Tarpaulin]],0)</f>
        <v>0</v>
      </c>
      <c r="AC570" s="112">
        <f>IF(NFI_Expiration=1,IF($A570&lt;VLOOKUP(N$5,NFI,5,0),1,0)*Data_NFI_t[[#This Row],[Blanket]],0)</f>
        <v>0</v>
      </c>
      <c r="AD570" s="112">
        <f>IF(NFI_Expiration=1,IF($A570&lt;VLOOKUP(O$5,NFI,5,0),1,0)*Data_NFI_t[[#This Row],[Kitchen Set]],0)</f>
        <v>0</v>
      </c>
      <c r="AE570" s="112">
        <f>IF(NFI_Expiration=1,IF($A570&lt;VLOOKUP(P$5,NFI,5,0),1,0)*Data_NFI_t[[#This Row],[Complementary Kit]],0)</f>
        <v>0</v>
      </c>
      <c r="AF570" s="112">
        <f>IF(NFI_Expiration=1,IF($A570&lt;VLOOKUP(Q$5,NFI,5,0),1,0)*Data_NFI_t[[#This Row],[Plastic Bucket]],0)</f>
        <v>0</v>
      </c>
      <c r="AG570" s="131">
        <f>IF(NFI_Expiration=1,IF($A570&lt;VLOOKUP(R$5,NFI,5,0),1,0)*Data_NFI_t[[#This Row],[Jerry Can]],0)</f>
        <v>0</v>
      </c>
      <c r="AH570" s="131">
        <f>IF(NFI_Expiration=1,IF($A570&lt;VLOOKUP(S$5,NFI,5,0),1,0)*Data_NFI_t[[#This Row],[Plastic Mat]],0)*IF(Data_NFI_t[[#This Row],[Distribution Date]]&gt;"01-06-2015",1,2.5)</f>
        <v>0</v>
      </c>
      <c r="AI570" s="901">
        <f>IF(NFI_Expiration=1,IF($A570&lt;VLOOKUP(T$5,NFI,5,0),1,0)*Data_NFI_t[[#This Row],[Adult Clothes]],0)</f>
        <v>0</v>
      </c>
      <c r="AJ570" s="131">
        <f>IF(NFI_Expiration=1,IF($A570&lt;VLOOKUP(U$5,NFI,5,0),1,0)*Data_NFI_t[[#This Row],[Children Clothes]],0)</f>
        <v>0</v>
      </c>
      <c r="AK570" s="131">
        <f>IF(NFI_Expiration=1,IF($A570&lt;VLOOKUP(V$5,NFI,5,0),1,0)*Data_NFI_t[[#This Row],[Sewing Kit]],0)</f>
        <v>0</v>
      </c>
      <c r="AL570" s="901">
        <f>IF(NFI_Expiration=1,IF($A570&lt;VLOOKUP(V$5,NFI,5,0),1,0)*Data_NFI_t[[#This Row],[Solar Lantern]],0)</f>
        <v>0</v>
      </c>
      <c r="AM570" s="131" t="str">
        <f ca="1">IFERROR(OFFSET(Camp_List[P_Code],MATCH(Data_NFI_t[[#This Row],[Camp Name]],Camp_List[Camp Name],0)-1,0,1,1),"")</f>
        <v/>
      </c>
      <c r="AN570" s="513" t="str">
        <f ca="1">IFERROR(OFFSET(Camp_List[Status],MATCH(Data_NFI_t[[#This Row],[Camp Name]],Camp_List[Camp Name],0)-1,0,1,1),"")</f>
        <v/>
      </c>
      <c r="AO570" s="131"/>
    </row>
    <row r="571" spans="1:41" s="789" customFormat="1" ht="19.5" customHeight="1" x14ac:dyDescent="0.25">
      <c r="A571" s="242" t="str">
        <f t="shared" si="12"/>
        <v/>
      </c>
      <c r="B571" s="522">
        <f>YEAR(Data_NFI_t[[#This Row],[Distribution Date]])</f>
        <v>1900</v>
      </c>
      <c r="C571" s="913"/>
      <c r="D571" s="489"/>
      <c r="E571" s="488"/>
      <c r="F571" s="489"/>
      <c r="G571" s="790"/>
      <c r="H571" s="790"/>
      <c r="I571" s="790"/>
      <c r="J571" s="51"/>
      <c r="K571" s="51"/>
      <c r="L571" s="119"/>
      <c r="M571" s="119"/>
      <c r="N571" s="119"/>
      <c r="O571" s="119"/>
      <c r="P571" s="119"/>
      <c r="Q571" s="119"/>
      <c r="R571" s="512"/>
      <c r="S571" s="119"/>
      <c r="T571" s="119"/>
      <c r="U571" s="119"/>
      <c r="V571" s="119"/>
      <c r="W571" s="119"/>
      <c r="X571" s="131">
        <f>IF(NFI_Expiration=1,IF($A571&lt;VLOOKUP(I$5,NFI,5,0),1,0)*Data_NFI_t[[#This Row],[Hygiene Kit]],0)</f>
        <v>0</v>
      </c>
      <c r="Y571" s="131">
        <f>IF(NFI_Expiration=1,IF($A571&lt;VLOOKUP(J$5,NFI,5,0),1,0)*Data_NFI_t[[#This Row],[NFI Core Kit]],0)</f>
        <v>0</v>
      </c>
      <c r="Z571" s="112">
        <f>IF(NFI_Expiration=1,IF($A571&lt;VLOOKUP(K$5,NFI,5,0),1,0)*Data_NFI_t[[#This Row],[Sanitary Kit]],0)</f>
        <v>0</v>
      </c>
      <c r="AA571" s="112">
        <f>IF(NFI_Expiration=1,IF($A571&lt;VLOOKUP(L$5,NFI,5,0),1,0)*Data_NFI_t[[#This Row],[Mosquito net]],0)</f>
        <v>0</v>
      </c>
      <c r="AB571" s="112">
        <f>IF(NFI_Expiration=1,IF($A571&lt;VLOOKUP(M$5,NFI,5,0),1,0)*Data_NFI_t[[#This Row],[Tarpaulin]],0)</f>
        <v>0</v>
      </c>
      <c r="AC571" s="112">
        <f>IF(NFI_Expiration=1,IF($A571&lt;VLOOKUP(N$5,NFI,5,0),1,0)*Data_NFI_t[[#This Row],[Blanket]],0)</f>
        <v>0</v>
      </c>
      <c r="AD571" s="112">
        <f>IF(NFI_Expiration=1,IF($A571&lt;VLOOKUP(O$5,NFI,5,0),1,0)*Data_NFI_t[[#This Row],[Kitchen Set]],0)</f>
        <v>0</v>
      </c>
      <c r="AE571" s="112">
        <f>IF(NFI_Expiration=1,IF($A571&lt;VLOOKUP(P$5,NFI,5,0),1,0)*Data_NFI_t[[#This Row],[Complementary Kit]],0)</f>
        <v>0</v>
      </c>
      <c r="AF571" s="112">
        <f>IF(NFI_Expiration=1,IF($A571&lt;VLOOKUP(Q$5,NFI,5,0),1,0)*Data_NFI_t[[#This Row],[Plastic Bucket]],0)</f>
        <v>0</v>
      </c>
      <c r="AG571" s="131">
        <f>IF(NFI_Expiration=1,IF($A571&lt;VLOOKUP(R$5,NFI,5,0),1,0)*Data_NFI_t[[#This Row],[Jerry Can]],0)</f>
        <v>0</v>
      </c>
      <c r="AH571" s="131">
        <f>IF(NFI_Expiration=1,IF($A571&lt;VLOOKUP(S$5,NFI,5,0),1,0)*Data_NFI_t[[#This Row],[Plastic Mat]],0)*IF(Data_NFI_t[[#This Row],[Distribution Date]]&gt;"01-06-2015",1,2.5)</f>
        <v>0</v>
      </c>
      <c r="AI571" s="901">
        <f>IF(NFI_Expiration=1,IF($A571&lt;VLOOKUP(T$5,NFI,5,0),1,0)*Data_NFI_t[[#This Row],[Adult Clothes]],0)</f>
        <v>0</v>
      </c>
      <c r="AJ571" s="131">
        <f>IF(NFI_Expiration=1,IF($A571&lt;VLOOKUP(U$5,NFI,5,0),1,0)*Data_NFI_t[[#This Row],[Children Clothes]],0)</f>
        <v>0</v>
      </c>
      <c r="AK571" s="131">
        <f>IF(NFI_Expiration=1,IF($A571&lt;VLOOKUP(V$5,NFI,5,0),1,0)*Data_NFI_t[[#This Row],[Sewing Kit]],0)</f>
        <v>0</v>
      </c>
      <c r="AL571" s="901">
        <f>IF(NFI_Expiration=1,IF($A571&lt;VLOOKUP(V$5,NFI,5,0),1,0)*Data_NFI_t[[#This Row],[Solar Lantern]],0)</f>
        <v>0</v>
      </c>
      <c r="AM571" s="131" t="str">
        <f ca="1">IFERROR(OFFSET(Camp_List[P_Code],MATCH(Data_NFI_t[[#This Row],[Camp Name]],Camp_List[Camp Name],0)-1,0,1,1),"")</f>
        <v/>
      </c>
      <c r="AN571" s="513" t="str">
        <f ca="1">IFERROR(OFFSET(Camp_List[Status],MATCH(Data_NFI_t[[#This Row],[Camp Name]],Camp_List[Camp Name],0)-1,0,1,1),"")</f>
        <v/>
      </c>
      <c r="AO571" s="131"/>
    </row>
    <row r="572" spans="1:41" s="789" customFormat="1" ht="19.5" customHeight="1" x14ac:dyDescent="0.25">
      <c r="A572" s="242" t="str">
        <f t="shared" si="12"/>
        <v/>
      </c>
      <c r="B572" s="522">
        <f>YEAR(Data_NFI_t[[#This Row],[Distribution Date]])</f>
        <v>1900</v>
      </c>
      <c r="C572" s="913"/>
      <c r="D572" s="489"/>
      <c r="E572" s="488"/>
      <c r="F572" s="489"/>
      <c r="G572" s="790"/>
      <c r="H572" s="790"/>
      <c r="I572" s="790"/>
      <c r="J572" s="51"/>
      <c r="K572" s="51"/>
      <c r="L572" s="119"/>
      <c r="M572" s="119"/>
      <c r="N572" s="119"/>
      <c r="O572" s="119"/>
      <c r="P572" s="119"/>
      <c r="Q572" s="119"/>
      <c r="R572" s="512"/>
      <c r="S572" s="119"/>
      <c r="T572" s="119"/>
      <c r="U572" s="119"/>
      <c r="V572" s="119"/>
      <c r="W572" s="119"/>
      <c r="X572" s="131">
        <f>IF(NFI_Expiration=1,IF($A572&lt;VLOOKUP(I$5,NFI,5,0),1,0)*Data_NFI_t[[#This Row],[Hygiene Kit]],0)</f>
        <v>0</v>
      </c>
      <c r="Y572" s="131">
        <f>IF(NFI_Expiration=1,IF($A572&lt;VLOOKUP(J$5,NFI,5,0),1,0)*Data_NFI_t[[#This Row],[NFI Core Kit]],0)</f>
        <v>0</v>
      </c>
      <c r="Z572" s="112">
        <f>IF(NFI_Expiration=1,IF($A572&lt;VLOOKUP(K$5,NFI,5,0),1,0)*Data_NFI_t[[#This Row],[Sanitary Kit]],0)</f>
        <v>0</v>
      </c>
      <c r="AA572" s="112">
        <f>IF(NFI_Expiration=1,IF($A572&lt;VLOOKUP(L$5,NFI,5,0),1,0)*Data_NFI_t[[#This Row],[Mosquito net]],0)</f>
        <v>0</v>
      </c>
      <c r="AB572" s="112">
        <f>IF(NFI_Expiration=1,IF($A572&lt;VLOOKUP(M$5,NFI,5,0),1,0)*Data_NFI_t[[#This Row],[Tarpaulin]],0)</f>
        <v>0</v>
      </c>
      <c r="AC572" s="112">
        <f>IF(NFI_Expiration=1,IF($A572&lt;VLOOKUP(N$5,NFI,5,0),1,0)*Data_NFI_t[[#This Row],[Blanket]],0)</f>
        <v>0</v>
      </c>
      <c r="AD572" s="112">
        <f>IF(NFI_Expiration=1,IF($A572&lt;VLOOKUP(O$5,NFI,5,0),1,0)*Data_NFI_t[[#This Row],[Kitchen Set]],0)</f>
        <v>0</v>
      </c>
      <c r="AE572" s="112">
        <f>IF(NFI_Expiration=1,IF($A572&lt;VLOOKUP(P$5,NFI,5,0),1,0)*Data_NFI_t[[#This Row],[Complementary Kit]],0)</f>
        <v>0</v>
      </c>
      <c r="AF572" s="112">
        <f>IF(NFI_Expiration=1,IF($A572&lt;VLOOKUP(Q$5,NFI,5,0),1,0)*Data_NFI_t[[#This Row],[Plastic Bucket]],0)</f>
        <v>0</v>
      </c>
      <c r="AG572" s="131">
        <f>IF(NFI_Expiration=1,IF($A572&lt;VLOOKUP(R$5,NFI,5,0),1,0)*Data_NFI_t[[#This Row],[Jerry Can]],0)</f>
        <v>0</v>
      </c>
      <c r="AH572" s="131">
        <f>IF(NFI_Expiration=1,IF($A572&lt;VLOOKUP(S$5,NFI,5,0),1,0)*Data_NFI_t[[#This Row],[Plastic Mat]],0)*IF(Data_NFI_t[[#This Row],[Distribution Date]]&gt;"01-06-2015",1,2.5)</f>
        <v>0</v>
      </c>
      <c r="AI572" s="901">
        <f>IF(NFI_Expiration=1,IF($A572&lt;VLOOKUP(T$5,NFI,5,0),1,0)*Data_NFI_t[[#This Row],[Adult Clothes]],0)</f>
        <v>0</v>
      </c>
      <c r="AJ572" s="131">
        <f>IF(NFI_Expiration=1,IF($A572&lt;VLOOKUP(U$5,NFI,5,0),1,0)*Data_NFI_t[[#This Row],[Children Clothes]],0)</f>
        <v>0</v>
      </c>
      <c r="AK572" s="131">
        <f>IF(NFI_Expiration=1,IF($A572&lt;VLOOKUP(V$5,NFI,5,0),1,0)*Data_NFI_t[[#This Row],[Sewing Kit]],0)</f>
        <v>0</v>
      </c>
      <c r="AL572" s="901">
        <f>IF(NFI_Expiration=1,IF($A572&lt;VLOOKUP(V$5,NFI,5,0),1,0)*Data_NFI_t[[#This Row],[Solar Lantern]],0)</f>
        <v>0</v>
      </c>
      <c r="AM572" s="131" t="str">
        <f ca="1">IFERROR(OFFSET(Camp_List[P_Code],MATCH(Data_NFI_t[[#This Row],[Camp Name]],Camp_List[Camp Name],0)-1,0,1,1),"")</f>
        <v/>
      </c>
      <c r="AN572" s="513" t="str">
        <f ca="1">IFERROR(OFFSET(Camp_List[Status],MATCH(Data_NFI_t[[#This Row],[Camp Name]],Camp_List[Camp Name],0)-1,0,1,1),"")</f>
        <v/>
      </c>
      <c r="AO572" s="131"/>
    </row>
    <row r="573" spans="1:41" s="789" customFormat="1" ht="19.5" customHeight="1" x14ac:dyDescent="0.25">
      <c r="A573" s="242" t="str">
        <f t="shared" si="12"/>
        <v/>
      </c>
      <c r="B573" s="522">
        <f>YEAR(Data_NFI_t[[#This Row],[Distribution Date]])</f>
        <v>1900</v>
      </c>
      <c r="C573" s="913"/>
      <c r="D573" s="489"/>
      <c r="E573" s="488"/>
      <c r="F573" s="489"/>
      <c r="G573" s="790"/>
      <c r="H573" s="790"/>
      <c r="I573" s="790"/>
      <c r="J573" s="51"/>
      <c r="K573" s="51"/>
      <c r="L573" s="119"/>
      <c r="M573" s="119"/>
      <c r="N573" s="119"/>
      <c r="O573" s="119"/>
      <c r="P573" s="119"/>
      <c r="Q573" s="119"/>
      <c r="R573" s="512"/>
      <c r="S573" s="119"/>
      <c r="T573" s="119"/>
      <c r="U573" s="119"/>
      <c r="V573" s="119"/>
      <c r="W573" s="119"/>
      <c r="X573" s="131">
        <f>IF(NFI_Expiration=1,IF($A573&lt;VLOOKUP(I$5,NFI,5,0),1,0)*Data_NFI_t[[#This Row],[Hygiene Kit]],0)</f>
        <v>0</v>
      </c>
      <c r="Y573" s="131">
        <f>IF(NFI_Expiration=1,IF($A573&lt;VLOOKUP(J$5,NFI,5,0),1,0)*Data_NFI_t[[#This Row],[NFI Core Kit]],0)</f>
        <v>0</v>
      </c>
      <c r="Z573" s="112">
        <f>IF(NFI_Expiration=1,IF($A573&lt;VLOOKUP(K$5,NFI,5,0),1,0)*Data_NFI_t[[#This Row],[Sanitary Kit]],0)</f>
        <v>0</v>
      </c>
      <c r="AA573" s="112">
        <f>IF(NFI_Expiration=1,IF($A573&lt;VLOOKUP(L$5,NFI,5,0),1,0)*Data_NFI_t[[#This Row],[Mosquito net]],0)</f>
        <v>0</v>
      </c>
      <c r="AB573" s="112">
        <f>IF(NFI_Expiration=1,IF($A573&lt;VLOOKUP(M$5,NFI,5,0),1,0)*Data_NFI_t[[#This Row],[Tarpaulin]],0)</f>
        <v>0</v>
      </c>
      <c r="AC573" s="112">
        <f>IF(NFI_Expiration=1,IF($A573&lt;VLOOKUP(N$5,NFI,5,0),1,0)*Data_NFI_t[[#This Row],[Blanket]],0)</f>
        <v>0</v>
      </c>
      <c r="AD573" s="112">
        <f>IF(NFI_Expiration=1,IF($A573&lt;VLOOKUP(O$5,NFI,5,0),1,0)*Data_NFI_t[[#This Row],[Kitchen Set]],0)</f>
        <v>0</v>
      </c>
      <c r="AE573" s="112">
        <f>IF(NFI_Expiration=1,IF($A573&lt;VLOOKUP(P$5,NFI,5,0),1,0)*Data_NFI_t[[#This Row],[Complementary Kit]],0)</f>
        <v>0</v>
      </c>
      <c r="AF573" s="112">
        <f>IF(NFI_Expiration=1,IF($A573&lt;VLOOKUP(Q$5,NFI,5,0),1,0)*Data_NFI_t[[#This Row],[Plastic Bucket]],0)</f>
        <v>0</v>
      </c>
      <c r="AG573" s="131">
        <f>IF(NFI_Expiration=1,IF($A573&lt;VLOOKUP(R$5,NFI,5,0),1,0)*Data_NFI_t[[#This Row],[Jerry Can]],0)</f>
        <v>0</v>
      </c>
      <c r="AH573" s="131">
        <f>IF(NFI_Expiration=1,IF($A573&lt;VLOOKUP(S$5,NFI,5,0),1,0)*Data_NFI_t[[#This Row],[Plastic Mat]],0)*IF(Data_NFI_t[[#This Row],[Distribution Date]]&gt;"01-06-2015",1,2.5)</f>
        <v>0</v>
      </c>
      <c r="AI573" s="901">
        <f>IF(NFI_Expiration=1,IF($A573&lt;VLOOKUP(T$5,NFI,5,0),1,0)*Data_NFI_t[[#This Row],[Adult Clothes]],0)</f>
        <v>0</v>
      </c>
      <c r="AJ573" s="131">
        <f>IF(NFI_Expiration=1,IF($A573&lt;VLOOKUP(U$5,NFI,5,0),1,0)*Data_NFI_t[[#This Row],[Children Clothes]],0)</f>
        <v>0</v>
      </c>
      <c r="AK573" s="131">
        <f>IF(NFI_Expiration=1,IF($A573&lt;VLOOKUP(V$5,NFI,5,0),1,0)*Data_NFI_t[[#This Row],[Sewing Kit]],0)</f>
        <v>0</v>
      </c>
      <c r="AL573" s="901">
        <f>IF(NFI_Expiration=1,IF($A573&lt;VLOOKUP(V$5,NFI,5,0),1,0)*Data_NFI_t[[#This Row],[Solar Lantern]],0)</f>
        <v>0</v>
      </c>
      <c r="AM573" s="131" t="str">
        <f ca="1">IFERROR(OFFSET(Camp_List[P_Code],MATCH(Data_NFI_t[[#This Row],[Camp Name]],Camp_List[Camp Name],0)-1,0,1,1),"")</f>
        <v/>
      </c>
      <c r="AN573" s="513" t="str">
        <f ca="1">IFERROR(OFFSET(Camp_List[Status],MATCH(Data_NFI_t[[#This Row],[Camp Name]],Camp_List[Camp Name],0)-1,0,1,1),"")</f>
        <v/>
      </c>
      <c r="AO573" s="131"/>
    </row>
    <row r="574" spans="1:41" s="789" customFormat="1" ht="19.5" customHeight="1" x14ac:dyDescent="0.25">
      <c r="A574" s="242" t="str">
        <f t="shared" si="12"/>
        <v/>
      </c>
      <c r="B574" s="522">
        <f>YEAR(Data_NFI_t[[#This Row],[Distribution Date]])</f>
        <v>1900</v>
      </c>
      <c r="C574" s="913"/>
      <c r="D574" s="489"/>
      <c r="E574" s="488"/>
      <c r="F574" s="489"/>
      <c r="G574" s="790"/>
      <c r="H574" s="790"/>
      <c r="I574" s="790"/>
      <c r="J574" s="51"/>
      <c r="K574" s="51"/>
      <c r="L574" s="119"/>
      <c r="M574" s="119"/>
      <c r="N574" s="119"/>
      <c r="O574" s="119"/>
      <c r="P574" s="119"/>
      <c r="Q574" s="119"/>
      <c r="R574" s="512"/>
      <c r="S574" s="119"/>
      <c r="T574" s="119"/>
      <c r="U574" s="119"/>
      <c r="V574" s="119"/>
      <c r="W574" s="119"/>
      <c r="X574" s="131">
        <f>IF(NFI_Expiration=1,IF($A574&lt;VLOOKUP(I$5,NFI,5,0),1,0)*Data_NFI_t[[#This Row],[Hygiene Kit]],0)</f>
        <v>0</v>
      </c>
      <c r="Y574" s="131">
        <f>IF(NFI_Expiration=1,IF($A574&lt;VLOOKUP(J$5,NFI,5,0),1,0)*Data_NFI_t[[#This Row],[NFI Core Kit]],0)</f>
        <v>0</v>
      </c>
      <c r="Z574" s="112">
        <f>IF(NFI_Expiration=1,IF($A574&lt;VLOOKUP(K$5,NFI,5,0),1,0)*Data_NFI_t[[#This Row],[Sanitary Kit]],0)</f>
        <v>0</v>
      </c>
      <c r="AA574" s="112">
        <f>IF(NFI_Expiration=1,IF($A574&lt;VLOOKUP(L$5,NFI,5,0),1,0)*Data_NFI_t[[#This Row],[Mosquito net]],0)</f>
        <v>0</v>
      </c>
      <c r="AB574" s="112">
        <f>IF(NFI_Expiration=1,IF($A574&lt;VLOOKUP(M$5,NFI,5,0),1,0)*Data_NFI_t[[#This Row],[Tarpaulin]],0)</f>
        <v>0</v>
      </c>
      <c r="AC574" s="112">
        <f>IF(NFI_Expiration=1,IF($A574&lt;VLOOKUP(N$5,NFI,5,0),1,0)*Data_NFI_t[[#This Row],[Blanket]],0)</f>
        <v>0</v>
      </c>
      <c r="AD574" s="112">
        <f>IF(NFI_Expiration=1,IF($A574&lt;VLOOKUP(O$5,NFI,5,0),1,0)*Data_NFI_t[[#This Row],[Kitchen Set]],0)</f>
        <v>0</v>
      </c>
      <c r="AE574" s="112">
        <f>IF(NFI_Expiration=1,IF($A574&lt;VLOOKUP(P$5,NFI,5,0),1,0)*Data_NFI_t[[#This Row],[Complementary Kit]],0)</f>
        <v>0</v>
      </c>
      <c r="AF574" s="112">
        <f>IF(NFI_Expiration=1,IF($A574&lt;VLOOKUP(Q$5,NFI,5,0),1,0)*Data_NFI_t[[#This Row],[Plastic Bucket]],0)</f>
        <v>0</v>
      </c>
      <c r="AG574" s="131">
        <f>IF(NFI_Expiration=1,IF($A574&lt;VLOOKUP(R$5,NFI,5,0),1,0)*Data_NFI_t[[#This Row],[Jerry Can]],0)</f>
        <v>0</v>
      </c>
      <c r="AH574" s="131">
        <f>IF(NFI_Expiration=1,IF($A574&lt;VLOOKUP(S$5,NFI,5,0),1,0)*Data_NFI_t[[#This Row],[Plastic Mat]],0)*IF(Data_NFI_t[[#This Row],[Distribution Date]]&gt;"01-06-2015",1,2.5)</f>
        <v>0</v>
      </c>
      <c r="AI574" s="901">
        <f>IF(NFI_Expiration=1,IF($A574&lt;VLOOKUP(T$5,NFI,5,0),1,0)*Data_NFI_t[[#This Row],[Adult Clothes]],0)</f>
        <v>0</v>
      </c>
      <c r="AJ574" s="131">
        <f>IF(NFI_Expiration=1,IF($A574&lt;VLOOKUP(U$5,NFI,5,0),1,0)*Data_NFI_t[[#This Row],[Children Clothes]],0)</f>
        <v>0</v>
      </c>
      <c r="AK574" s="131">
        <f>IF(NFI_Expiration=1,IF($A574&lt;VLOOKUP(V$5,NFI,5,0),1,0)*Data_NFI_t[[#This Row],[Sewing Kit]],0)</f>
        <v>0</v>
      </c>
      <c r="AL574" s="901">
        <f>IF(NFI_Expiration=1,IF($A574&lt;VLOOKUP(V$5,NFI,5,0),1,0)*Data_NFI_t[[#This Row],[Solar Lantern]],0)</f>
        <v>0</v>
      </c>
      <c r="AM574" s="131" t="str">
        <f ca="1">IFERROR(OFFSET(Camp_List[P_Code],MATCH(Data_NFI_t[[#This Row],[Camp Name]],Camp_List[Camp Name],0)-1,0,1,1),"")</f>
        <v/>
      </c>
      <c r="AN574" s="513" t="str">
        <f ca="1">IFERROR(OFFSET(Camp_List[Status],MATCH(Data_NFI_t[[#This Row],[Camp Name]],Camp_List[Camp Name],0)-1,0,1,1),"")</f>
        <v/>
      </c>
      <c r="AO574" s="131"/>
    </row>
    <row r="575" spans="1:41" s="789" customFormat="1" ht="19.5" customHeight="1" x14ac:dyDescent="0.25">
      <c r="A575" s="242" t="str">
        <f t="shared" si="12"/>
        <v/>
      </c>
      <c r="B575" s="522">
        <f>YEAR(Data_NFI_t[[#This Row],[Distribution Date]])</f>
        <v>1900</v>
      </c>
      <c r="C575" s="913"/>
      <c r="D575" s="489"/>
      <c r="E575" s="488"/>
      <c r="F575" s="489"/>
      <c r="G575" s="790"/>
      <c r="H575" s="790"/>
      <c r="I575" s="790"/>
      <c r="J575" s="51"/>
      <c r="K575" s="51"/>
      <c r="L575" s="119"/>
      <c r="M575" s="119"/>
      <c r="N575" s="119"/>
      <c r="O575" s="119"/>
      <c r="P575" s="119"/>
      <c r="Q575" s="119"/>
      <c r="R575" s="512"/>
      <c r="S575" s="119"/>
      <c r="T575" s="119"/>
      <c r="U575" s="119"/>
      <c r="V575" s="119"/>
      <c r="W575" s="119"/>
      <c r="X575" s="131">
        <f>IF(NFI_Expiration=1,IF($A575&lt;VLOOKUP(I$5,NFI,5,0),1,0)*Data_NFI_t[[#This Row],[Hygiene Kit]],0)</f>
        <v>0</v>
      </c>
      <c r="Y575" s="131">
        <f>IF(NFI_Expiration=1,IF($A575&lt;VLOOKUP(J$5,NFI,5,0),1,0)*Data_NFI_t[[#This Row],[NFI Core Kit]],0)</f>
        <v>0</v>
      </c>
      <c r="Z575" s="112">
        <f>IF(NFI_Expiration=1,IF($A575&lt;VLOOKUP(K$5,NFI,5,0),1,0)*Data_NFI_t[[#This Row],[Sanitary Kit]],0)</f>
        <v>0</v>
      </c>
      <c r="AA575" s="112">
        <f>IF(NFI_Expiration=1,IF($A575&lt;VLOOKUP(L$5,NFI,5,0),1,0)*Data_NFI_t[[#This Row],[Mosquito net]],0)</f>
        <v>0</v>
      </c>
      <c r="AB575" s="112">
        <f>IF(NFI_Expiration=1,IF($A575&lt;VLOOKUP(M$5,NFI,5,0),1,0)*Data_NFI_t[[#This Row],[Tarpaulin]],0)</f>
        <v>0</v>
      </c>
      <c r="AC575" s="112">
        <f>IF(NFI_Expiration=1,IF($A575&lt;VLOOKUP(N$5,NFI,5,0),1,0)*Data_NFI_t[[#This Row],[Blanket]],0)</f>
        <v>0</v>
      </c>
      <c r="AD575" s="112">
        <f>IF(NFI_Expiration=1,IF($A575&lt;VLOOKUP(O$5,NFI,5,0),1,0)*Data_NFI_t[[#This Row],[Kitchen Set]],0)</f>
        <v>0</v>
      </c>
      <c r="AE575" s="112">
        <f>IF(NFI_Expiration=1,IF($A575&lt;VLOOKUP(P$5,NFI,5,0),1,0)*Data_NFI_t[[#This Row],[Complementary Kit]],0)</f>
        <v>0</v>
      </c>
      <c r="AF575" s="112">
        <f>IF(NFI_Expiration=1,IF($A575&lt;VLOOKUP(Q$5,NFI,5,0),1,0)*Data_NFI_t[[#This Row],[Plastic Bucket]],0)</f>
        <v>0</v>
      </c>
      <c r="AG575" s="131">
        <f>IF(NFI_Expiration=1,IF($A575&lt;VLOOKUP(R$5,NFI,5,0),1,0)*Data_NFI_t[[#This Row],[Jerry Can]],0)</f>
        <v>0</v>
      </c>
      <c r="AH575" s="131">
        <f>IF(NFI_Expiration=1,IF($A575&lt;VLOOKUP(S$5,NFI,5,0),1,0)*Data_NFI_t[[#This Row],[Plastic Mat]],0)*IF(Data_NFI_t[[#This Row],[Distribution Date]]&gt;"01-06-2015",1,2.5)</f>
        <v>0</v>
      </c>
      <c r="AI575" s="901">
        <f>IF(NFI_Expiration=1,IF($A575&lt;VLOOKUP(T$5,NFI,5,0),1,0)*Data_NFI_t[[#This Row],[Adult Clothes]],0)</f>
        <v>0</v>
      </c>
      <c r="AJ575" s="131">
        <f>IF(NFI_Expiration=1,IF($A575&lt;VLOOKUP(U$5,NFI,5,0),1,0)*Data_NFI_t[[#This Row],[Children Clothes]],0)</f>
        <v>0</v>
      </c>
      <c r="AK575" s="131">
        <f>IF(NFI_Expiration=1,IF($A575&lt;VLOOKUP(V$5,NFI,5,0),1,0)*Data_NFI_t[[#This Row],[Sewing Kit]],0)</f>
        <v>0</v>
      </c>
      <c r="AL575" s="901">
        <f>IF(NFI_Expiration=1,IF($A575&lt;VLOOKUP(V$5,NFI,5,0),1,0)*Data_NFI_t[[#This Row],[Solar Lantern]],0)</f>
        <v>0</v>
      </c>
      <c r="AM575" s="131" t="str">
        <f ca="1">IFERROR(OFFSET(Camp_List[P_Code],MATCH(Data_NFI_t[[#This Row],[Camp Name]],Camp_List[Camp Name],0)-1,0,1,1),"")</f>
        <v/>
      </c>
      <c r="AN575" s="513" t="str">
        <f ca="1">IFERROR(OFFSET(Camp_List[Status],MATCH(Data_NFI_t[[#This Row],[Camp Name]],Camp_List[Camp Name],0)-1,0,1,1),"")</f>
        <v/>
      </c>
      <c r="AO575" s="131"/>
    </row>
    <row r="576" spans="1:41" s="789" customFormat="1" ht="19.5" customHeight="1" x14ac:dyDescent="0.25">
      <c r="A576" s="242" t="str">
        <f t="shared" si="12"/>
        <v/>
      </c>
      <c r="B576" s="522">
        <f>YEAR(Data_NFI_t[[#This Row],[Distribution Date]])</f>
        <v>1900</v>
      </c>
      <c r="C576" s="913"/>
      <c r="D576" s="489"/>
      <c r="E576" s="488"/>
      <c r="F576" s="489"/>
      <c r="G576" s="790"/>
      <c r="H576" s="790"/>
      <c r="I576" s="790"/>
      <c r="J576" s="51"/>
      <c r="K576" s="51"/>
      <c r="L576" s="119"/>
      <c r="M576" s="119"/>
      <c r="N576" s="119"/>
      <c r="O576" s="119"/>
      <c r="P576" s="119"/>
      <c r="Q576" s="119"/>
      <c r="R576" s="512"/>
      <c r="S576" s="119"/>
      <c r="T576" s="119"/>
      <c r="U576" s="119"/>
      <c r="V576" s="119"/>
      <c r="W576" s="119"/>
      <c r="X576" s="131">
        <f>IF(NFI_Expiration=1,IF($A576&lt;VLOOKUP(I$5,NFI,5,0),1,0)*Data_NFI_t[[#This Row],[Hygiene Kit]],0)</f>
        <v>0</v>
      </c>
      <c r="Y576" s="131">
        <f>IF(NFI_Expiration=1,IF($A576&lt;VLOOKUP(J$5,NFI,5,0),1,0)*Data_NFI_t[[#This Row],[NFI Core Kit]],0)</f>
        <v>0</v>
      </c>
      <c r="Z576" s="112">
        <f>IF(NFI_Expiration=1,IF($A576&lt;VLOOKUP(K$5,NFI,5,0),1,0)*Data_NFI_t[[#This Row],[Sanitary Kit]],0)</f>
        <v>0</v>
      </c>
      <c r="AA576" s="112">
        <f>IF(NFI_Expiration=1,IF($A576&lt;VLOOKUP(L$5,NFI,5,0),1,0)*Data_NFI_t[[#This Row],[Mosquito net]],0)</f>
        <v>0</v>
      </c>
      <c r="AB576" s="112">
        <f>IF(NFI_Expiration=1,IF($A576&lt;VLOOKUP(M$5,NFI,5,0),1,0)*Data_NFI_t[[#This Row],[Tarpaulin]],0)</f>
        <v>0</v>
      </c>
      <c r="AC576" s="112">
        <f>IF(NFI_Expiration=1,IF($A576&lt;VLOOKUP(N$5,NFI,5,0),1,0)*Data_NFI_t[[#This Row],[Blanket]],0)</f>
        <v>0</v>
      </c>
      <c r="AD576" s="112">
        <f>IF(NFI_Expiration=1,IF($A576&lt;VLOOKUP(O$5,NFI,5,0),1,0)*Data_NFI_t[[#This Row],[Kitchen Set]],0)</f>
        <v>0</v>
      </c>
      <c r="AE576" s="112">
        <f>IF(NFI_Expiration=1,IF($A576&lt;VLOOKUP(P$5,NFI,5,0),1,0)*Data_NFI_t[[#This Row],[Complementary Kit]],0)</f>
        <v>0</v>
      </c>
      <c r="AF576" s="112">
        <f>IF(NFI_Expiration=1,IF($A576&lt;VLOOKUP(Q$5,NFI,5,0),1,0)*Data_NFI_t[[#This Row],[Plastic Bucket]],0)</f>
        <v>0</v>
      </c>
      <c r="AG576" s="131">
        <f>IF(NFI_Expiration=1,IF($A576&lt;VLOOKUP(R$5,NFI,5,0),1,0)*Data_NFI_t[[#This Row],[Jerry Can]],0)</f>
        <v>0</v>
      </c>
      <c r="AH576" s="131">
        <f>IF(NFI_Expiration=1,IF($A576&lt;VLOOKUP(S$5,NFI,5,0),1,0)*Data_NFI_t[[#This Row],[Plastic Mat]],0)*IF(Data_NFI_t[[#This Row],[Distribution Date]]&gt;"01-06-2015",1,2.5)</f>
        <v>0</v>
      </c>
      <c r="AI576" s="901">
        <f>IF(NFI_Expiration=1,IF($A576&lt;VLOOKUP(T$5,NFI,5,0),1,0)*Data_NFI_t[[#This Row],[Adult Clothes]],0)</f>
        <v>0</v>
      </c>
      <c r="AJ576" s="131">
        <f>IF(NFI_Expiration=1,IF($A576&lt;VLOOKUP(U$5,NFI,5,0),1,0)*Data_NFI_t[[#This Row],[Children Clothes]],0)</f>
        <v>0</v>
      </c>
      <c r="AK576" s="131">
        <f>IF(NFI_Expiration=1,IF($A576&lt;VLOOKUP(V$5,NFI,5,0),1,0)*Data_NFI_t[[#This Row],[Sewing Kit]],0)</f>
        <v>0</v>
      </c>
      <c r="AL576" s="901">
        <f>IF(NFI_Expiration=1,IF($A576&lt;VLOOKUP(V$5,NFI,5,0),1,0)*Data_NFI_t[[#This Row],[Solar Lantern]],0)</f>
        <v>0</v>
      </c>
      <c r="AM576" s="131" t="str">
        <f ca="1">IFERROR(OFFSET(Camp_List[P_Code],MATCH(Data_NFI_t[[#This Row],[Camp Name]],Camp_List[Camp Name],0)-1,0,1,1),"")</f>
        <v/>
      </c>
      <c r="AN576" s="513" t="str">
        <f ca="1">IFERROR(OFFSET(Camp_List[Status],MATCH(Data_NFI_t[[#This Row],[Camp Name]],Camp_List[Camp Name],0)-1,0,1,1),"")</f>
        <v/>
      </c>
      <c r="AO576" s="131"/>
    </row>
    <row r="577" spans="1:41" s="789" customFormat="1" ht="19.5" customHeight="1" x14ac:dyDescent="0.25">
      <c r="A577" s="242" t="str">
        <f t="shared" si="12"/>
        <v/>
      </c>
      <c r="B577" s="522">
        <f>YEAR(Data_NFI_t[[#This Row],[Distribution Date]])</f>
        <v>1900</v>
      </c>
      <c r="C577" s="913"/>
      <c r="D577" s="489"/>
      <c r="E577" s="488"/>
      <c r="F577" s="489"/>
      <c r="G577" s="790"/>
      <c r="H577" s="790"/>
      <c r="I577" s="790"/>
      <c r="J577" s="51"/>
      <c r="K577" s="51"/>
      <c r="L577" s="119"/>
      <c r="M577" s="119"/>
      <c r="N577" s="119"/>
      <c r="O577" s="119"/>
      <c r="P577" s="119"/>
      <c r="Q577" s="119"/>
      <c r="R577" s="512"/>
      <c r="S577" s="119"/>
      <c r="T577" s="119"/>
      <c r="U577" s="119"/>
      <c r="V577" s="119"/>
      <c r="W577" s="119"/>
      <c r="X577" s="131">
        <f>IF(NFI_Expiration=1,IF($A577&lt;VLOOKUP(I$5,NFI,5,0),1,0)*Data_NFI_t[[#This Row],[Hygiene Kit]],0)</f>
        <v>0</v>
      </c>
      <c r="Y577" s="131">
        <f>IF(NFI_Expiration=1,IF($A577&lt;VLOOKUP(J$5,NFI,5,0),1,0)*Data_NFI_t[[#This Row],[NFI Core Kit]],0)</f>
        <v>0</v>
      </c>
      <c r="Z577" s="112">
        <f>IF(NFI_Expiration=1,IF($A577&lt;VLOOKUP(K$5,NFI,5,0),1,0)*Data_NFI_t[[#This Row],[Sanitary Kit]],0)</f>
        <v>0</v>
      </c>
      <c r="AA577" s="112">
        <f>IF(NFI_Expiration=1,IF($A577&lt;VLOOKUP(L$5,NFI,5,0),1,0)*Data_NFI_t[[#This Row],[Mosquito net]],0)</f>
        <v>0</v>
      </c>
      <c r="AB577" s="112">
        <f>IF(NFI_Expiration=1,IF($A577&lt;VLOOKUP(M$5,NFI,5,0),1,0)*Data_NFI_t[[#This Row],[Tarpaulin]],0)</f>
        <v>0</v>
      </c>
      <c r="AC577" s="112">
        <f>IF(NFI_Expiration=1,IF($A577&lt;VLOOKUP(N$5,NFI,5,0),1,0)*Data_NFI_t[[#This Row],[Blanket]],0)</f>
        <v>0</v>
      </c>
      <c r="AD577" s="112">
        <f>IF(NFI_Expiration=1,IF($A577&lt;VLOOKUP(O$5,NFI,5,0),1,0)*Data_NFI_t[[#This Row],[Kitchen Set]],0)</f>
        <v>0</v>
      </c>
      <c r="AE577" s="112">
        <f>IF(NFI_Expiration=1,IF($A577&lt;VLOOKUP(P$5,NFI,5,0),1,0)*Data_NFI_t[[#This Row],[Complementary Kit]],0)</f>
        <v>0</v>
      </c>
      <c r="AF577" s="112">
        <f>IF(NFI_Expiration=1,IF($A577&lt;VLOOKUP(Q$5,NFI,5,0),1,0)*Data_NFI_t[[#This Row],[Plastic Bucket]],0)</f>
        <v>0</v>
      </c>
      <c r="AG577" s="131">
        <f>IF(NFI_Expiration=1,IF($A577&lt;VLOOKUP(R$5,NFI,5,0),1,0)*Data_NFI_t[[#This Row],[Jerry Can]],0)</f>
        <v>0</v>
      </c>
      <c r="AH577" s="131">
        <f>IF(NFI_Expiration=1,IF($A577&lt;VLOOKUP(S$5,NFI,5,0),1,0)*Data_NFI_t[[#This Row],[Plastic Mat]],0)*IF(Data_NFI_t[[#This Row],[Distribution Date]]&gt;"01-06-2015",1,2.5)</f>
        <v>0</v>
      </c>
      <c r="AI577" s="901">
        <f>IF(NFI_Expiration=1,IF($A577&lt;VLOOKUP(T$5,NFI,5,0),1,0)*Data_NFI_t[[#This Row],[Adult Clothes]],0)</f>
        <v>0</v>
      </c>
      <c r="AJ577" s="131">
        <f>IF(NFI_Expiration=1,IF($A577&lt;VLOOKUP(U$5,NFI,5,0),1,0)*Data_NFI_t[[#This Row],[Children Clothes]],0)</f>
        <v>0</v>
      </c>
      <c r="AK577" s="131">
        <f>IF(NFI_Expiration=1,IF($A577&lt;VLOOKUP(V$5,NFI,5,0),1,0)*Data_NFI_t[[#This Row],[Sewing Kit]],0)</f>
        <v>0</v>
      </c>
      <c r="AL577" s="901">
        <f>IF(NFI_Expiration=1,IF($A577&lt;VLOOKUP(V$5,NFI,5,0),1,0)*Data_NFI_t[[#This Row],[Solar Lantern]],0)</f>
        <v>0</v>
      </c>
      <c r="AM577" s="131" t="str">
        <f ca="1">IFERROR(OFFSET(Camp_List[P_Code],MATCH(Data_NFI_t[[#This Row],[Camp Name]],Camp_List[Camp Name],0)-1,0,1,1),"")</f>
        <v/>
      </c>
      <c r="AN577" s="513" t="str">
        <f ca="1">IFERROR(OFFSET(Camp_List[Status],MATCH(Data_NFI_t[[#This Row],[Camp Name]],Camp_List[Camp Name],0)-1,0,1,1),"")</f>
        <v/>
      </c>
      <c r="AO577" s="131"/>
    </row>
    <row r="578" spans="1:41" s="789" customFormat="1" ht="19.5" customHeight="1" x14ac:dyDescent="0.25">
      <c r="A578" s="242" t="str">
        <f t="shared" si="12"/>
        <v/>
      </c>
      <c r="B578" s="522">
        <f>YEAR(Data_NFI_t[[#This Row],[Distribution Date]])</f>
        <v>1900</v>
      </c>
      <c r="C578" s="913"/>
      <c r="D578" s="489"/>
      <c r="E578" s="488"/>
      <c r="F578" s="489"/>
      <c r="G578" s="790"/>
      <c r="H578" s="790"/>
      <c r="I578" s="790"/>
      <c r="J578" s="51"/>
      <c r="K578" s="51"/>
      <c r="L578" s="119"/>
      <c r="M578" s="119"/>
      <c r="N578" s="119"/>
      <c r="O578" s="119"/>
      <c r="P578" s="119"/>
      <c r="Q578" s="119"/>
      <c r="R578" s="512"/>
      <c r="S578" s="119"/>
      <c r="T578" s="119"/>
      <c r="U578" s="119"/>
      <c r="V578" s="119"/>
      <c r="W578" s="119"/>
      <c r="X578" s="131">
        <f>IF(NFI_Expiration=1,IF($A578&lt;VLOOKUP(I$5,NFI,5,0),1,0)*Data_NFI_t[[#This Row],[Hygiene Kit]],0)</f>
        <v>0</v>
      </c>
      <c r="Y578" s="131">
        <f>IF(NFI_Expiration=1,IF($A578&lt;VLOOKUP(J$5,NFI,5,0),1,0)*Data_NFI_t[[#This Row],[NFI Core Kit]],0)</f>
        <v>0</v>
      </c>
      <c r="Z578" s="112">
        <f>IF(NFI_Expiration=1,IF($A578&lt;VLOOKUP(K$5,NFI,5,0),1,0)*Data_NFI_t[[#This Row],[Sanitary Kit]],0)</f>
        <v>0</v>
      </c>
      <c r="AA578" s="112">
        <f>IF(NFI_Expiration=1,IF($A578&lt;VLOOKUP(L$5,NFI,5,0),1,0)*Data_NFI_t[[#This Row],[Mosquito net]],0)</f>
        <v>0</v>
      </c>
      <c r="AB578" s="112">
        <f>IF(NFI_Expiration=1,IF($A578&lt;VLOOKUP(M$5,NFI,5,0),1,0)*Data_NFI_t[[#This Row],[Tarpaulin]],0)</f>
        <v>0</v>
      </c>
      <c r="AC578" s="112">
        <f>IF(NFI_Expiration=1,IF($A578&lt;VLOOKUP(N$5,NFI,5,0),1,0)*Data_NFI_t[[#This Row],[Blanket]],0)</f>
        <v>0</v>
      </c>
      <c r="AD578" s="112">
        <f>IF(NFI_Expiration=1,IF($A578&lt;VLOOKUP(O$5,NFI,5,0),1,0)*Data_NFI_t[[#This Row],[Kitchen Set]],0)</f>
        <v>0</v>
      </c>
      <c r="AE578" s="112">
        <f>IF(NFI_Expiration=1,IF($A578&lt;VLOOKUP(P$5,NFI,5,0),1,0)*Data_NFI_t[[#This Row],[Complementary Kit]],0)</f>
        <v>0</v>
      </c>
      <c r="AF578" s="112">
        <f>IF(NFI_Expiration=1,IF($A578&lt;VLOOKUP(Q$5,NFI,5,0),1,0)*Data_NFI_t[[#This Row],[Plastic Bucket]],0)</f>
        <v>0</v>
      </c>
      <c r="AG578" s="131">
        <f>IF(NFI_Expiration=1,IF($A578&lt;VLOOKUP(R$5,NFI,5,0),1,0)*Data_NFI_t[[#This Row],[Jerry Can]],0)</f>
        <v>0</v>
      </c>
      <c r="AH578" s="131">
        <f>IF(NFI_Expiration=1,IF($A578&lt;VLOOKUP(S$5,NFI,5,0),1,0)*Data_NFI_t[[#This Row],[Plastic Mat]],0)*IF(Data_NFI_t[[#This Row],[Distribution Date]]&gt;"01-06-2015",1,2.5)</f>
        <v>0</v>
      </c>
      <c r="AI578" s="901">
        <f>IF(NFI_Expiration=1,IF($A578&lt;VLOOKUP(T$5,NFI,5,0),1,0)*Data_NFI_t[[#This Row],[Adult Clothes]],0)</f>
        <v>0</v>
      </c>
      <c r="AJ578" s="131">
        <f>IF(NFI_Expiration=1,IF($A578&lt;VLOOKUP(U$5,NFI,5,0),1,0)*Data_NFI_t[[#This Row],[Children Clothes]],0)</f>
        <v>0</v>
      </c>
      <c r="AK578" s="131">
        <f>IF(NFI_Expiration=1,IF($A578&lt;VLOOKUP(V$5,NFI,5,0),1,0)*Data_NFI_t[[#This Row],[Sewing Kit]],0)</f>
        <v>0</v>
      </c>
      <c r="AL578" s="901">
        <f>IF(NFI_Expiration=1,IF($A578&lt;VLOOKUP(V$5,NFI,5,0),1,0)*Data_NFI_t[[#This Row],[Solar Lantern]],0)</f>
        <v>0</v>
      </c>
      <c r="AM578" s="131" t="str">
        <f ca="1">IFERROR(OFFSET(Camp_List[P_Code],MATCH(Data_NFI_t[[#This Row],[Camp Name]],Camp_List[Camp Name],0)-1,0,1,1),"")</f>
        <v/>
      </c>
      <c r="AN578" s="513" t="str">
        <f ca="1">IFERROR(OFFSET(Camp_List[Status],MATCH(Data_NFI_t[[#This Row],[Camp Name]],Camp_List[Camp Name],0)-1,0,1,1),"")</f>
        <v/>
      </c>
      <c r="AO578" s="131"/>
    </row>
    <row r="579" spans="1:41" s="789" customFormat="1" ht="19.5" customHeight="1" x14ac:dyDescent="0.25">
      <c r="A579" s="242" t="str">
        <f t="shared" si="12"/>
        <v/>
      </c>
      <c r="B579" s="522">
        <f>YEAR(Data_NFI_t[[#This Row],[Distribution Date]])</f>
        <v>1900</v>
      </c>
      <c r="C579" s="913"/>
      <c r="D579" s="489"/>
      <c r="E579" s="488"/>
      <c r="F579" s="489"/>
      <c r="G579" s="790"/>
      <c r="H579" s="790"/>
      <c r="I579" s="790"/>
      <c r="J579" s="51"/>
      <c r="K579" s="51"/>
      <c r="L579" s="119"/>
      <c r="M579" s="119"/>
      <c r="N579" s="119"/>
      <c r="O579" s="119"/>
      <c r="P579" s="119"/>
      <c r="Q579" s="119"/>
      <c r="R579" s="512"/>
      <c r="S579" s="119"/>
      <c r="T579" s="119"/>
      <c r="U579" s="119"/>
      <c r="V579" s="119"/>
      <c r="W579" s="119"/>
      <c r="X579" s="131">
        <f>IF(NFI_Expiration=1,IF($A579&lt;VLOOKUP(I$5,NFI,5,0),1,0)*Data_NFI_t[[#This Row],[Hygiene Kit]],0)</f>
        <v>0</v>
      </c>
      <c r="Y579" s="131">
        <f>IF(NFI_Expiration=1,IF($A579&lt;VLOOKUP(J$5,NFI,5,0),1,0)*Data_NFI_t[[#This Row],[NFI Core Kit]],0)</f>
        <v>0</v>
      </c>
      <c r="Z579" s="112">
        <f>IF(NFI_Expiration=1,IF($A579&lt;VLOOKUP(K$5,NFI,5,0),1,0)*Data_NFI_t[[#This Row],[Sanitary Kit]],0)</f>
        <v>0</v>
      </c>
      <c r="AA579" s="112">
        <f>IF(NFI_Expiration=1,IF($A579&lt;VLOOKUP(L$5,NFI,5,0),1,0)*Data_NFI_t[[#This Row],[Mosquito net]],0)</f>
        <v>0</v>
      </c>
      <c r="AB579" s="112">
        <f>IF(NFI_Expiration=1,IF($A579&lt;VLOOKUP(M$5,NFI,5,0),1,0)*Data_NFI_t[[#This Row],[Tarpaulin]],0)</f>
        <v>0</v>
      </c>
      <c r="AC579" s="112">
        <f>IF(NFI_Expiration=1,IF($A579&lt;VLOOKUP(N$5,NFI,5,0),1,0)*Data_NFI_t[[#This Row],[Blanket]],0)</f>
        <v>0</v>
      </c>
      <c r="AD579" s="112">
        <f>IF(NFI_Expiration=1,IF($A579&lt;VLOOKUP(O$5,NFI,5,0),1,0)*Data_NFI_t[[#This Row],[Kitchen Set]],0)</f>
        <v>0</v>
      </c>
      <c r="AE579" s="112">
        <f>IF(NFI_Expiration=1,IF($A579&lt;VLOOKUP(P$5,NFI,5,0),1,0)*Data_NFI_t[[#This Row],[Complementary Kit]],0)</f>
        <v>0</v>
      </c>
      <c r="AF579" s="112">
        <f>IF(NFI_Expiration=1,IF($A579&lt;VLOOKUP(Q$5,NFI,5,0),1,0)*Data_NFI_t[[#This Row],[Plastic Bucket]],0)</f>
        <v>0</v>
      </c>
      <c r="AG579" s="131">
        <f>IF(NFI_Expiration=1,IF($A579&lt;VLOOKUP(R$5,NFI,5,0),1,0)*Data_NFI_t[[#This Row],[Jerry Can]],0)</f>
        <v>0</v>
      </c>
      <c r="AH579" s="131">
        <f>IF(NFI_Expiration=1,IF($A579&lt;VLOOKUP(S$5,NFI,5,0),1,0)*Data_NFI_t[[#This Row],[Plastic Mat]],0)*IF(Data_NFI_t[[#This Row],[Distribution Date]]&gt;"01-06-2015",1,2.5)</f>
        <v>0</v>
      </c>
      <c r="AI579" s="901">
        <f>IF(NFI_Expiration=1,IF($A579&lt;VLOOKUP(T$5,NFI,5,0),1,0)*Data_NFI_t[[#This Row],[Adult Clothes]],0)</f>
        <v>0</v>
      </c>
      <c r="AJ579" s="131">
        <f>IF(NFI_Expiration=1,IF($A579&lt;VLOOKUP(U$5,NFI,5,0),1,0)*Data_NFI_t[[#This Row],[Children Clothes]],0)</f>
        <v>0</v>
      </c>
      <c r="AK579" s="131">
        <f>IF(NFI_Expiration=1,IF($A579&lt;VLOOKUP(V$5,NFI,5,0),1,0)*Data_NFI_t[[#This Row],[Sewing Kit]],0)</f>
        <v>0</v>
      </c>
      <c r="AL579" s="901">
        <f>IF(NFI_Expiration=1,IF($A579&lt;VLOOKUP(V$5,NFI,5,0),1,0)*Data_NFI_t[[#This Row],[Solar Lantern]],0)</f>
        <v>0</v>
      </c>
      <c r="AM579" s="131" t="str">
        <f ca="1">IFERROR(OFFSET(Camp_List[P_Code],MATCH(Data_NFI_t[[#This Row],[Camp Name]],Camp_List[Camp Name],0)-1,0,1,1),"")</f>
        <v/>
      </c>
      <c r="AN579" s="513" t="str">
        <f ca="1">IFERROR(OFFSET(Camp_List[Status],MATCH(Data_NFI_t[[#This Row],[Camp Name]],Camp_List[Camp Name],0)-1,0,1,1),"")</f>
        <v/>
      </c>
      <c r="AO579" s="131"/>
    </row>
    <row r="580" spans="1:41" s="789" customFormat="1" ht="19.5" customHeight="1" x14ac:dyDescent="0.25">
      <c r="A580" s="242" t="str">
        <f t="shared" si="12"/>
        <v/>
      </c>
      <c r="B580" s="522">
        <f>YEAR(Data_NFI_t[[#This Row],[Distribution Date]])</f>
        <v>1900</v>
      </c>
      <c r="C580" s="913"/>
      <c r="D580" s="489"/>
      <c r="E580" s="488"/>
      <c r="F580" s="489"/>
      <c r="G580" s="790"/>
      <c r="H580" s="790"/>
      <c r="I580" s="790"/>
      <c r="J580" s="51"/>
      <c r="K580" s="51"/>
      <c r="L580" s="119"/>
      <c r="M580" s="119"/>
      <c r="N580" s="119"/>
      <c r="O580" s="119"/>
      <c r="P580" s="119"/>
      <c r="Q580" s="119"/>
      <c r="R580" s="512"/>
      <c r="S580" s="119"/>
      <c r="T580" s="119"/>
      <c r="U580" s="119"/>
      <c r="V580" s="119"/>
      <c r="W580" s="119"/>
      <c r="X580" s="131">
        <f>IF(NFI_Expiration=1,IF($A580&lt;VLOOKUP(I$5,NFI,5,0),1,0)*Data_NFI_t[[#This Row],[Hygiene Kit]],0)</f>
        <v>0</v>
      </c>
      <c r="Y580" s="131">
        <f>IF(NFI_Expiration=1,IF($A580&lt;VLOOKUP(J$5,NFI,5,0),1,0)*Data_NFI_t[[#This Row],[NFI Core Kit]],0)</f>
        <v>0</v>
      </c>
      <c r="Z580" s="112">
        <f>IF(NFI_Expiration=1,IF($A580&lt;VLOOKUP(K$5,NFI,5,0),1,0)*Data_NFI_t[[#This Row],[Sanitary Kit]],0)</f>
        <v>0</v>
      </c>
      <c r="AA580" s="112">
        <f>IF(NFI_Expiration=1,IF($A580&lt;VLOOKUP(L$5,NFI,5,0),1,0)*Data_NFI_t[[#This Row],[Mosquito net]],0)</f>
        <v>0</v>
      </c>
      <c r="AB580" s="112">
        <f>IF(NFI_Expiration=1,IF($A580&lt;VLOOKUP(M$5,NFI,5,0),1,0)*Data_NFI_t[[#This Row],[Tarpaulin]],0)</f>
        <v>0</v>
      </c>
      <c r="AC580" s="112">
        <f>IF(NFI_Expiration=1,IF($A580&lt;VLOOKUP(N$5,NFI,5,0),1,0)*Data_NFI_t[[#This Row],[Blanket]],0)</f>
        <v>0</v>
      </c>
      <c r="AD580" s="112">
        <f>IF(NFI_Expiration=1,IF($A580&lt;VLOOKUP(O$5,NFI,5,0),1,0)*Data_NFI_t[[#This Row],[Kitchen Set]],0)</f>
        <v>0</v>
      </c>
      <c r="AE580" s="112">
        <f>IF(NFI_Expiration=1,IF($A580&lt;VLOOKUP(P$5,NFI,5,0),1,0)*Data_NFI_t[[#This Row],[Complementary Kit]],0)</f>
        <v>0</v>
      </c>
      <c r="AF580" s="112">
        <f>IF(NFI_Expiration=1,IF($A580&lt;VLOOKUP(Q$5,NFI,5,0),1,0)*Data_NFI_t[[#This Row],[Plastic Bucket]],0)</f>
        <v>0</v>
      </c>
      <c r="AG580" s="131">
        <f>IF(NFI_Expiration=1,IF($A580&lt;VLOOKUP(R$5,NFI,5,0),1,0)*Data_NFI_t[[#This Row],[Jerry Can]],0)</f>
        <v>0</v>
      </c>
      <c r="AH580" s="131">
        <f>IF(NFI_Expiration=1,IF($A580&lt;VLOOKUP(S$5,NFI,5,0),1,0)*Data_NFI_t[[#This Row],[Plastic Mat]],0)*IF(Data_NFI_t[[#This Row],[Distribution Date]]&gt;"01-06-2015",1,2.5)</f>
        <v>0</v>
      </c>
      <c r="AI580" s="901">
        <f>IF(NFI_Expiration=1,IF($A580&lt;VLOOKUP(T$5,NFI,5,0),1,0)*Data_NFI_t[[#This Row],[Adult Clothes]],0)</f>
        <v>0</v>
      </c>
      <c r="AJ580" s="131">
        <f>IF(NFI_Expiration=1,IF($A580&lt;VLOOKUP(U$5,NFI,5,0),1,0)*Data_NFI_t[[#This Row],[Children Clothes]],0)</f>
        <v>0</v>
      </c>
      <c r="AK580" s="131">
        <f>IF(NFI_Expiration=1,IF($A580&lt;VLOOKUP(V$5,NFI,5,0),1,0)*Data_NFI_t[[#This Row],[Sewing Kit]],0)</f>
        <v>0</v>
      </c>
      <c r="AL580" s="901">
        <f>IF(NFI_Expiration=1,IF($A580&lt;VLOOKUP(V$5,NFI,5,0),1,0)*Data_NFI_t[[#This Row],[Solar Lantern]],0)</f>
        <v>0</v>
      </c>
      <c r="AM580" s="131" t="str">
        <f ca="1">IFERROR(OFFSET(Camp_List[P_Code],MATCH(Data_NFI_t[[#This Row],[Camp Name]],Camp_List[Camp Name],0)-1,0,1,1),"")</f>
        <v/>
      </c>
      <c r="AN580" s="513" t="str">
        <f ca="1">IFERROR(OFFSET(Camp_List[Status],MATCH(Data_NFI_t[[#This Row],[Camp Name]],Camp_List[Camp Name],0)-1,0,1,1),"")</f>
        <v/>
      </c>
      <c r="AO580" s="131"/>
    </row>
    <row r="581" spans="1:41" s="789" customFormat="1" ht="19.5" customHeight="1" x14ac:dyDescent="0.25">
      <c r="A581" s="242" t="str">
        <f t="shared" si="12"/>
        <v/>
      </c>
      <c r="B581" s="522">
        <f>YEAR(Data_NFI_t[[#This Row],[Distribution Date]])</f>
        <v>1900</v>
      </c>
      <c r="C581" s="913"/>
      <c r="D581" s="489"/>
      <c r="E581" s="488"/>
      <c r="F581" s="489"/>
      <c r="G581" s="790"/>
      <c r="H581" s="790"/>
      <c r="I581" s="790"/>
      <c r="J581" s="51"/>
      <c r="K581" s="51"/>
      <c r="L581" s="119"/>
      <c r="M581" s="119"/>
      <c r="N581" s="119"/>
      <c r="O581" s="119"/>
      <c r="P581" s="119"/>
      <c r="Q581" s="119"/>
      <c r="R581" s="512"/>
      <c r="S581" s="119"/>
      <c r="T581" s="119"/>
      <c r="U581" s="119"/>
      <c r="V581" s="119"/>
      <c r="W581" s="119"/>
      <c r="X581" s="131">
        <f>IF(NFI_Expiration=1,IF($A581&lt;VLOOKUP(I$5,NFI,5,0),1,0)*Data_NFI_t[[#This Row],[Hygiene Kit]],0)</f>
        <v>0</v>
      </c>
      <c r="Y581" s="131">
        <f>IF(NFI_Expiration=1,IF($A581&lt;VLOOKUP(J$5,NFI,5,0),1,0)*Data_NFI_t[[#This Row],[NFI Core Kit]],0)</f>
        <v>0</v>
      </c>
      <c r="Z581" s="112">
        <f>IF(NFI_Expiration=1,IF($A581&lt;VLOOKUP(K$5,NFI,5,0),1,0)*Data_NFI_t[[#This Row],[Sanitary Kit]],0)</f>
        <v>0</v>
      </c>
      <c r="AA581" s="112">
        <f>IF(NFI_Expiration=1,IF($A581&lt;VLOOKUP(L$5,NFI,5,0),1,0)*Data_NFI_t[[#This Row],[Mosquito net]],0)</f>
        <v>0</v>
      </c>
      <c r="AB581" s="112">
        <f>IF(NFI_Expiration=1,IF($A581&lt;VLOOKUP(M$5,NFI,5,0),1,0)*Data_NFI_t[[#This Row],[Tarpaulin]],0)</f>
        <v>0</v>
      </c>
      <c r="AC581" s="112">
        <f>IF(NFI_Expiration=1,IF($A581&lt;VLOOKUP(N$5,NFI,5,0),1,0)*Data_NFI_t[[#This Row],[Blanket]],0)</f>
        <v>0</v>
      </c>
      <c r="AD581" s="112">
        <f>IF(NFI_Expiration=1,IF($A581&lt;VLOOKUP(O$5,NFI,5,0),1,0)*Data_NFI_t[[#This Row],[Kitchen Set]],0)</f>
        <v>0</v>
      </c>
      <c r="AE581" s="112">
        <f>IF(NFI_Expiration=1,IF($A581&lt;VLOOKUP(P$5,NFI,5,0),1,0)*Data_NFI_t[[#This Row],[Complementary Kit]],0)</f>
        <v>0</v>
      </c>
      <c r="AF581" s="112">
        <f>IF(NFI_Expiration=1,IF($A581&lt;VLOOKUP(Q$5,NFI,5,0),1,0)*Data_NFI_t[[#This Row],[Plastic Bucket]],0)</f>
        <v>0</v>
      </c>
      <c r="AG581" s="131">
        <f>IF(NFI_Expiration=1,IF($A581&lt;VLOOKUP(R$5,NFI,5,0),1,0)*Data_NFI_t[[#This Row],[Jerry Can]],0)</f>
        <v>0</v>
      </c>
      <c r="AH581" s="131">
        <f>IF(NFI_Expiration=1,IF($A581&lt;VLOOKUP(S$5,NFI,5,0),1,0)*Data_NFI_t[[#This Row],[Plastic Mat]],0)*IF(Data_NFI_t[[#This Row],[Distribution Date]]&gt;"01-06-2015",1,2.5)</f>
        <v>0</v>
      </c>
      <c r="AI581" s="901">
        <f>IF(NFI_Expiration=1,IF($A581&lt;VLOOKUP(T$5,NFI,5,0),1,0)*Data_NFI_t[[#This Row],[Adult Clothes]],0)</f>
        <v>0</v>
      </c>
      <c r="AJ581" s="131">
        <f>IF(NFI_Expiration=1,IF($A581&lt;VLOOKUP(U$5,NFI,5,0),1,0)*Data_NFI_t[[#This Row],[Children Clothes]],0)</f>
        <v>0</v>
      </c>
      <c r="AK581" s="131">
        <f>IF(NFI_Expiration=1,IF($A581&lt;VLOOKUP(V$5,NFI,5,0),1,0)*Data_NFI_t[[#This Row],[Sewing Kit]],0)</f>
        <v>0</v>
      </c>
      <c r="AL581" s="901">
        <f>IF(NFI_Expiration=1,IF($A581&lt;VLOOKUP(V$5,NFI,5,0),1,0)*Data_NFI_t[[#This Row],[Solar Lantern]],0)</f>
        <v>0</v>
      </c>
      <c r="AM581" s="131" t="str">
        <f ca="1">IFERROR(OFFSET(Camp_List[P_Code],MATCH(Data_NFI_t[[#This Row],[Camp Name]],Camp_List[Camp Name],0)-1,0,1,1),"")</f>
        <v/>
      </c>
      <c r="AN581" s="513" t="str">
        <f ca="1">IFERROR(OFFSET(Camp_List[Status],MATCH(Data_NFI_t[[#This Row],[Camp Name]],Camp_List[Camp Name],0)-1,0,1,1),"")</f>
        <v/>
      </c>
      <c r="AO581" s="131"/>
    </row>
    <row r="582" spans="1:41" s="789" customFormat="1" ht="19.5" customHeight="1" x14ac:dyDescent="0.25">
      <c r="A582" s="242" t="str">
        <f t="shared" si="12"/>
        <v/>
      </c>
      <c r="B582" s="522">
        <f>YEAR(Data_NFI_t[[#This Row],[Distribution Date]])</f>
        <v>1900</v>
      </c>
      <c r="C582" s="913"/>
      <c r="D582" s="489"/>
      <c r="E582" s="488"/>
      <c r="F582" s="489"/>
      <c r="G582" s="790"/>
      <c r="H582" s="790"/>
      <c r="I582" s="790"/>
      <c r="J582" s="51"/>
      <c r="K582" s="51"/>
      <c r="L582" s="119"/>
      <c r="M582" s="119"/>
      <c r="N582" s="119"/>
      <c r="O582" s="119"/>
      <c r="P582" s="119"/>
      <c r="Q582" s="119"/>
      <c r="R582" s="512"/>
      <c r="S582" s="119"/>
      <c r="T582" s="119"/>
      <c r="U582" s="119"/>
      <c r="V582" s="119"/>
      <c r="W582" s="119"/>
      <c r="X582" s="131">
        <f>IF(NFI_Expiration=1,IF($A582&lt;VLOOKUP(I$5,NFI,5,0),1,0)*Data_NFI_t[[#This Row],[Hygiene Kit]],0)</f>
        <v>0</v>
      </c>
      <c r="Y582" s="131">
        <f>IF(NFI_Expiration=1,IF($A582&lt;VLOOKUP(J$5,NFI,5,0),1,0)*Data_NFI_t[[#This Row],[NFI Core Kit]],0)</f>
        <v>0</v>
      </c>
      <c r="Z582" s="112">
        <f>IF(NFI_Expiration=1,IF($A582&lt;VLOOKUP(K$5,NFI,5,0),1,0)*Data_NFI_t[[#This Row],[Sanitary Kit]],0)</f>
        <v>0</v>
      </c>
      <c r="AA582" s="112">
        <f>IF(NFI_Expiration=1,IF($A582&lt;VLOOKUP(L$5,NFI,5,0),1,0)*Data_NFI_t[[#This Row],[Mosquito net]],0)</f>
        <v>0</v>
      </c>
      <c r="AB582" s="112">
        <f>IF(NFI_Expiration=1,IF($A582&lt;VLOOKUP(M$5,NFI,5,0),1,0)*Data_NFI_t[[#This Row],[Tarpaulin]],0)</f>
        <v>0</v>
      </c>
      <c r="AC582" s="112">
        <f>IF(NFI_Expiration=1,IF($A582&lt;VLOOKUP(N$5,NFI,5,0),1,0)*Data_NFI_t[[#This Row],[Blanket]],0)</f>
        <v>0</v>
      </c>
      <c r="AD582" s="112">
        <f>IF(NFI_Expiration=1,IF($A582&lt;VLOOKUP(O$5,NFI,5,0),1,0)*Data_NFI_t[[#This Row],[Kitchen Set]],0)</f>
        <v>0</v>
      </c>
      <c r="AE582" s="112">
        <f>IF(NFI_Expiration=1,IF($A582&lt;VLOOKUP(P$5,NFI,5,0),1,0)*Data_NFI_t[[#This Row],[Complementary Kit]],0)</f>
        <v>0</v>
      </c>
      <c r="AF582" s="112">
        <f>IF(NFI_Expiration=1,IF($A582&lt;VLOOKUP(Q$5,NFI,5,0),1,0)*Data_NFI_t[[#This Row],[Plastic Bucket]],0)</f>
        <v>0</v>
      </c>
      <c r="AG582" s="131">
        <f>IF(NFI_Expiration=1,IF($A582&lt;VLOOKUP(R$5,NFI,5,0),1,0)*Data_NFI_t[[#This Row],[Jerry Can]],0)</f>
        <v>0</v>
      </c>
      <c r="AH582" s="131">
        <f>IF(NFI_Expiration=1,IF($A582&lt;VLOOKUP(S$5,NFI,5,0),1,0)*Data_NFI_t[[#This Row],[Plastic Mat]],0)*IF(Data_NFI_t[[#This Row],[Distribution Date]]&gt;"01-06-2015",1,2.5)</f>
        <v>0</v>
      </c>
      <c r="AI582" s="901">
        <f>IF(NFI_Expiration=1,IF($A582&lt;VLOOKUP(T$5,NFI,5,0),1,0)*Data_NFI_t[[#This Row],[Adult Clothes]],0)</f>
        <v>0</v>
      </c>
      <c r="AJ582" s="131">
        <f>IF(NFI_Expiration=1,IF($A582&lt;VLOOKUP(U$5,NFI,5,0),1,0)*Data_NFI_t[[#This Row],[Children Clothes]],0)</f>
        <v>0</v>
      </c>
      <c r="AK582" s="131">
        <f>IF(NFI_Expiration=1,IF($A582&lt;VLOOKUP(V$5,NFI,5,0),1,0)*Data_NFI_t[[#This Row],[Sewing Kit]],0)</f>
        <v>0</v>
      </c>
      <c r="AL582" s="901">
        <f>IF(NFI_Expiration=1,IF($A582&lt;VLOOKUP(V$5,NFI,5,0),1,0)*Data_NFI_t[[#This Row],[Solar Lantern]],0)</f>
        <v>0</v>
      </c>
      <c r="AM582" s="131" t="str">
        <f ca="1">IFERROR(OFFSET(Camp_List[P_Code],MATCH(Data_NFI_t[[#This Row],[Camp Name]],Camp_List[Camp Name],0)-1,0,1,1),"")</f>
        <v/>
      </c>
      <c r="AN582" s="513" t="str">
        <f ca="1">IFERROR(OFFSET(Camp_List[Status],MATCH(Data_NFI_t[[#This Row],[Camp Name]],Camp_List[Camp Name],0)-1,0,1,1),"")</f>
        <v/>
      </c>
      <c r="AO582" s="131"/>
    </row>
    <row r="583" spans="1:41" s="789" customFormat="1" ht="19.5" customHeight="1" x14ac:dyDescent="0.25">
      <c r="A583" s="242" t="str">
        <f t="shared" si="12"/>
        <v/>
      </c>
      <c r="B583" s="522">
        <f>YEAR(Data_NFI_t[[#This Row],[Distribution Date]])</f>
        <v>1900</v>
      </c>
      <c r="C583" s="913"/>
      <c r="D583" s="489"/>
      <c r="E583" s="488"/>
      <c r="F583" s="489"/>
      <c r="G583" s="790"/>
      <c r="H583" s="790"/>
      <c r="I583" s="790"/>
      <c r="J583" s="51"/>
      <c r="K583" s="51"/>
      <c r="L583" s="119"/>
      <c r="M583" s="119"/>
      <c r="N583" s="119"/>
      <c r="O583" s="119"/>
      <c r="P583" s="119"/>
      <c r="Q583" s="119"/>
      <c r="R583" s="512"/>
      <c r="S583" s="119"/>
      <c r="T583" s="119"/>
      <c r="U583" s="119"/>
      <c r="V583" s="119"/>
      <c r="W583" s="119"/>
      <c r="X583" s="131">
        <f>IF(NFI_Expiration=1,IF($A583&lt;VLOOKUP(I$5,NFI,5,0),1,0)*Data_NFI_t[[#This Row],[Hygiene Kit]],0)</f>
        <v>0</v>
      </c>
      <c r="Y583" s="131">
        <f>IF(NFI_Expiration=1,IF($A583&lt;VLOOKUP(J$5,NFI,5,0),1,0)*Data_NFI_t[[#This Row],[NFI Core Kit]],0)</f>
        <v>0</v>
      </c>
      <c r="Z583" s="112">
        <f>IF(NFI_Expiration=1,IF($A583&lt;VLOOKUP(K$5,NFI,5,0),1,0)*Data_NFI_t[[#This Row],[Sanitary Kit]],0)</f>
        <v>0</v>
      </c>
      <c r="AA583" s="112">
        <f>IF(NFI_Expiration=1,IF($A583&lt;VLOOKUP(L$5,NFI,5,0),1,0)*Data_NFI_t[[#This Row],[Mosquito net]],0)</f>
        <v>0</v>
      </c>
      <c r="AB583" s="112">
        <f>IF(NFI_Expiration=1,IF($A583&lt;VLOOKUP(M$5,NFI,5,0),1,0)*Data_NFI_t[[#This Row],[Tarpaulin]],0)</f>
        <v>0</v>
      </c>
      <c r="AC583" s="112">
        <f>IF(NFI_Expiration=1,IF($A583&lt;VLOOKUP(N$5,NFI,5,0),1,0)*Data_NFI_t[[#This Row],[Blanket]],0)</f>
        <v>0</v>
      </c>
      <c r="AD583" s="112">
        <f>IF(NFI_Expiration=1,IF($A583&lt;VLOOKUP(O$5,NFI,5,0),1,0)*Data_NFI_t[[#This Row],[Kitchen Set]],0)</f>
        <v>0</v>
      </c>
      <c r="AE583" s="112">
        <f>IF(NFI_Expiration=1,IF($A583&lt;VLOOKUP(P$5,NFI,5,0),1,0)*Data_NFI_t[[#This Row],[Complementary Kit]],0)</f>
        <v>0</v>
      </c>
      <c r="AF583" s="112">
        <f>IF(NFI_Expiration=1,IF($A583&lt;VLOOKUP(Q$5,NFI,5,0),1,0)*Data_NFI_t[[#This Row],[Plastic Bucket]],0)</f>
        <v>0</v>
      </c>
      <c r="AG583" s="131">
        <f>IF(NFI_Expiration=1,IF($A583&lt;VLOOKUP(R$5,NFI,5,0),1,0)*Data_NFI_t[[#This Row],[Jerry Can]],0)</f>
        <v>0</v>
      </c>
      <c r="AH583" s="131">
        <f>IF(NFI_Expiration=1,IF($A583&lt;VLOOKUP(S$5,NFI,5,0),1,0)*Data_NFI_t[[#This Row],[Plastic Mat]],0)*IF(Data_NFI_t[[#This Row],[Distribution Date]]&gt;"01-06-2015",1,2.5)</f>
        <v>0</v>
      </c>
      <c r="AI583" s="901">
        <f>IF(NFI_Expiration=1,IF($A583&lt;VLOOKUP(T$5,NFI,5,0),1,0)*Data_NFI_t[[#This Row],[Adult Clothes]],0)</f>
        <v>0</v>
      </c>
      <c r="AJ583" s="131">
        <f>IF(NFI_Expiration=1,IF($A583&lt;VLOOKUP(U$5,NFI,5,0),1,0)*Data_NFI_t[[#This Row],[Children Clothes]],0)</f>
        <v>0</v>
      </c>
      <c r="AK583" s="131">
        <f>IF(NFI_Expiration=1,IF($A583&lt;VLOOKUP(V$5,NFI,5,0),1,0)*Data_NFI_t[[#This Row],[Sewing Kit]],0)</f>
        <v>0</v>
      </c>
      <c r="AL583" s="901">
        <f>IF(NFI_Expiration=1,IF($A583&lt;VLOOKUP(V$5,NFI,5,0),1,0)*Data_NFI_t[[#This Row],[Solar Lantern]],0)</f>
        <v>0</v>
      </c>
      <c r="AM583" s="131" t="str">
        <f ca="1">IFERROR(OFFSET(Camp_List[P_Code],MATCH(Data_NFI_t[[#This Row],[Camp Name]],Camp_List[Camp Name],0)-1,0,1,1),"")</f>
        <v/>
      </c>
      <c r="AN583" s="513" t="str">
        <f ca="1">IFERROR(OFFSET(Camp_List[Status],MATCH(Data_NFI_t[[#This Row],[Camp Name]],Camp_List[Camp Name],0)-1,0,1,1),"")</f>
        <v/>
      </c>
      <c r="AO583" s="131"/>
    </row>
    <row r="584" spans="1:41" s="789" customFormat="1" ht="19.5" customHeight="1" x14ac:dyDescent="0.25">
      <c r="A584" s="242" t="str">
        <f t="shared" si="12"/>
        <v/>
      </c>
      <c r="B584" s="522">
        <f>YEAR(Data_NFI_t[[#This Row],[Distribution Date]])</f>
        <v>1900</v>
      </c>
      <c r="C584" s="913"/>
      <c r="D584" s="489"/>
      <c r="E584" s="488"/>
      <c r="F584" s="489"/>
      <c r="G584" s="790"/>
      <c r="H584" s="790"/>
      <c r="I584" s="790"/>
      <c r="J584" s="51"/>
      <c r="K584" s="51"/>
      <c r="L584" s="119"/>
      <c r="M584" s="119"/>
      <c r="N584" s="119"/>
      <c r="O584" s="119"/>
      <c r="P584" s="119"/>
      <c r="Q584" s="119"/>
      <c r="R584" s="512"/>
      <c r="S584" s="119"/>
      <c r="T584" s="119"/>
      <c r="U584" s="119"/>
      <c r="V584" s="119"/>
      <c r="W584" s="119"/>
      <c r="X584" s="131">
        <f>IF(NFI_Expiration=1,IF($A584&lt;VLOOKUP(I$5,NFI,5,0),1,0)*Data_NFI_t[[#This Row],[Hygiene Kit]],0)</f>
        <v>0</v>
      </c>
      <c r="Y584" s="131">
        <f>IF(NFI_Expiration=1,IF($A584&lt;VLOOKUP(J$5,NFI,5,0),1,0)*Data_NFI_t[[#This Row],[NFI Core Kit]],0)</f>
        <v>0</v>
      </c>
      <c r="Z584" s="112">
        <f>IF(NFI_Expiration=1,IF($A584&lt;VLOOKUP(K$5,NFI,5,0),1,0)*Data_NFI_t[[#This Row],[Sanitary Kit]],0)</f>
        <v>0</v>
      </c>
      <c r="AA584" s="112">
        <f>IF(NFI_Expiration=1,IF($A584&lt;VLOOKUP(L$5,NFI,5,0),1,0)*Data_NFI_t[[#This Row],[Mosquito net]],0)</f>
        <v>0</v>
      </c>
      <c r="AB584" s="112">
        <f>IF(NFI_Expiration=1,IF($A584&lt;VLOOKUP(M$5,NFI,5,0),1,0)*Data_NFI_t[[#This Row],[Tarpaulin]],0)</f>
        <v>0</v>
      </c>
      <c r="AC584" s="112">
        <f>IF(NFI_Expiration=1,IF($A584&lt;VLOOKUP(N$5,NFI,5,0),1,0)*Data_NFI_t[[#This Row],[Blanket]],0)</f>
        <v>0</v>
      </c>
      <c r="AD584" s="112">
        <f>IF(NFI_Expiration=1,IF($A584&lt;VLOOKUP(O$5,NFI,5,0),1,0)*Data_NFI_t[[#This Row],[Kitchen Set]],0)</f>
        <v>0</v>
      </c>
      <c r="AE584" s="112">
        <f>IF(NFI_Expiration=1,IF($A584&lt;VLOOKUP(P$5,NFI,5,0),1,0)*Data_NFI_t[[#This Row],[Complementary Kit]],0)</f>
        <v>0</v>
      </c>
      <c r="AF584" s="112">
        <f>IF(NFI_Expiration=1,IF($A584&lt;VLOOKUP(Q$5,NFI,5,0),1,0)*Data_NFI_t[[#This Row],[Plastic Bucket]],0)</f>
        <v>0</v>
      </c>
      <c r="AG584" s="131">
        <f>IF(NFI_Expiration=1,IF($A584&lt;VLOOKUP(R$5,NFI,5,0),1,0)*Data_NFI_t[[#This Row],[Jerry Can]],0)</f>
        <v>0</v>
      </c>
      <c r="AH584" s="131">
        <f>IF(NFI_Expiration=1,IF($A584&lt;VLOOKUP(S$5,NFI,5,0),1,0)*Data_NFI_t[[#This Row],[Plastic Mat]],0)*IF(Data_NFI_t[[#This Row],[Distribution Date]]&gt;"01-06-2015",1,2.5)</f>
        <v>0</v>
      </c>
      <c r="AI584" s="901">
        <f>IF(NFI_Expiration=1,IF($A584&lt;VLOOKUP(T$5,NFI,5,0),1,0)*Data_NFI_t[[#This Row],[Adult Clothes]],0)</f>
        <v>0</v>
      </c>
      <c r="AJ584" s="131">
        <f>IF(NFI_Expiration=1,IF($A584&lt;VLOOKUP(U$5,NFI,5,0),1,0)*Data_NFI_t[[#This Row],[Children Clothes]],0)</f>
        <v>0</v>
      </c>
      <c r="AK584" s="131">
        <f>IF(NFI_Expiration=1,IF($A584&lt;VLOOKUP(V$5,NFI,5,0),1,0)*Data_NFI_t[[#This Row],[Sewing Kit]],0)</f>
        <v>0</v>
      </c>
      <c r="AL584" s="901">
        <f>IF(NFI_Expiration=1,IF($A584&lt;VLOOKUP(V$5,NFI,5,0),1,0)*Data_NFI_t[[#This Row],[Solar Lantern]],0)</f>
        <v>0</v>
      </c>
      <c r="AM584" s="131" t="str">
        <f ca="1">IFERROR(OFFSET(Camp_List[P_Code],MATCH(Data_NFI_t[[#This Row],[Camp Name]],Camp_List[Camp Name],0)-1,0,1,1),"")</f>
        <v/>
      </c>
      <c r="AN584" s="513" t="str">
        <f ca="1">IFERROR(OFFSET(Camp_List[Status],MATCH(Data_NFI_t[[#This Row],[Camp Name]],Camp_List[Camp Name],0)-1,0,1,1),"")</f>
        <v/>
      </c>
      <c r="AO584" s="131"/>
    </row>
    <row r="585" spans="1:41" s="789" customFormat="1" ht="19.5" customHeight="1" x14ac:dyDescent="0.25">
      <c r="A585" s="242" t="str">
        <f t="shared" ref="A585:A604" si="13">IF(ISBLANK(C585),"",(Report_Date-C585)/30)</f>
        <v/>
      </c>
      <c r="B585" s="522">
        <f>YEAR(Data_NFI_t[[#This Row],[Distribution Date]])</f>
        <v>1900</v>
      </c>
      <c r="C585" s="913"/>
      <c r="D585" s="489"/>
      <c r="E585" s="488"/>
      <c r="F585" s="489"/>
      <c r="G585" s="790"/>
      <c r="H585" s="790"/>
      <c r="I585" s="790"/>
      <c r="J585" s="51"/>
      <c r="K585" s="51"/>
      <c r="L585" s="119"/>
      <c r="M585" s="119"/>
      <c r="N585" s="119"/>
      <c r="O585" s="119"/>
      <c r="P585" s="119"/>
      <c r="Q585" s="119"/>
      <c r="R585" s="512"/>
      <c r="S585" s="119"/>
      <c r="T585" s="119"/>
      <c r="U585" s="119"/>
      <c r="V585" s="119"/>
      <c r="W585" s="119"/>
      <c r="X585" s="131">
        <f>IF(NFI_Expiration=1,IF($A585&lt;VLOOKUP(I$5,NFI,5,0),1,0)*Data_NFI_t[[#This Row],[Hygiene Kit]],0)</f>
        <v>0</v>
      </c>
      <c r="Y585" s="131">
        <f>IF(NFI_Expiration=1,IF($A585&lt;VLOOKUP(J$5,NFI,5,0),1,0)*Data_NFI_t[[#This Row],[NFI Core Kit]],0)</f>
        <v>0</v>
      </c>
      <c r="Z585" s="112">
        <f>IF(NFI_Expiration=1,IF($A585&lt;VLOOKUP(K$5,NFI,5,0),1,0)*Data_NFI_t[[#This Row],[Sanitary Kit]],0)</f>
        <v>0</v>
      </c>
      <c r="AA585" s="112">
        <f>IF(NFI_Expiration=1,IF($A585&lt;VLOOKUP(L$5,NFI,5,0),1,0)*Data_NFI_t[[#This Row],[Mosquito net]],0)</f>
        <v>0</v>
      </c>
      <c r="AB585" s="112">
        <f>IF(NFI_Expiration=1,IF($A585&lt;VLOOKUP(M$5,NFI,5,0),1,0)*Data_NFI_t[[#This Row],[Tarpaulin]],0)</f>
        <v>0</v>
      </c>
      <c r="AC585" s="112">
        <f>IF(NFI_Expiration=1,IF($A585&lt;VLOOKUP(N$5,NFI,5,0),1,0)*Data_NFI_t[[#This Row],[Blanket]],0)</f>
        <v>0</v>
      </c>
      <c r="AD585" s="112">
        <f>IF(NFI_Expiration=1,IF($A585&lt;VLOOKUP(O$5,NFI,5,0),1,0)*Data_NFI_t[[#This Row],[Kitchen Set]],0)</f>
        <v>0</v>
      </c>
      <c r="AE585" s="112">
        <f>IF(NFI_Expiration=1,IF($A585&lt;VLOOKUP(P$5,NFI,5,0),1,0)*Data_NFI_t[[#This Row],[Complementary Kit]],0)</f>
        <v>0</v>
      </c>
      <c r="AF585" s="112">
        <f>IF(NFI_Expiration=1,IF($A585&lt;VLOOKUP(Q$5,NFI,5,0),1,0)*Data_NFI_t[[#This Row],[Plastic Bucket]],0)</f>
        <v>0</v>
      </c>
      <c r="AG585" s="131">
        <f>IF(NFI_Expiration=1,IF($A585&lt;VLOOKUP(R$5,NFI,5,0),1,0)*Data_NFI_t[[#This Row],[Jerry Can]],0)</f>
        <v>0</v>
      </c>
      <c r="AH585" s="131">
        <f>IF(NFI_Expiration=1,IF($A585&lt;VLOOKUP(S$5,NFI,5,0),1,0)*Data_NFI_t[[#This Row],[Plastic Mat]],0)*IF(Data_NFI_t[[#This Row],[Distribution Date]]&gt;"01-06-2015",1,2.5)</f>
        <v>0</v>
      </c>
      <c r="AI585" s="901">
        <f>IF(NFI_Expiration=1,IF($A585&lt;VLOOKUP(T$5,NFI,5,0),1,0)*Data_NFI_t[[#This Row],[Adult Clothes]],0)</f>
        <v>0</v>
      </c>
      <c r="AJ585" s="131">
        <f>IF(NFI_Expiration=1,IF($A585&lt;VLOOKUP(U$5,NFI,5,0),1,0)*Data_NFI_t[[#This Row],[Children Clothes]],0)</f>
        <v>0</v>
      </c>
      <c r="AK585" s="131">
        <f>IF(NFI_Expiration=1,IF($A585&lt;VLOOKUP(V$5,NFI,5,0),1,0)*Data_NFI_t[[#This Row],[Sewing Kit]],0)</f>
        <v>0</v>
      </c>
      <c r="AL585" s="901">
        <f>IF(NFI_Expiration=1,IF($A585&lt;VLOOKUP(V$5,NFI,5,0),1,0)*Data_NFI_t[[#This Row],[Solar Lantern]],0)</f>
        <v>0</v>
      </c>
      <c r="AM585" s="131" t="str">
        <f ca="1">IFERROR(OFFSET(Camp_List[P_Code],MATCH(Data_NFI_t[[#This Row],[Camp Name]],Camp_List[Camp Name],0)-1,0,1,1),"")</f>
        <v/>
      </c>
      <c r="AN585" s="513" t="str">
        <f ca="1">IFERROR(OFFSET(Camp_List[Status],MATCH(Data_NFI_t[[#This Row],[Camp Name]],Camp_List[Camp Name],0)-1,0,1,1),"")</f>
        <v/>
      </c>
      <c r="AO585" s="131"/>
    </row>
    <row r="586" spans="1:41" s="789" customFormat="1" ht="19.5" customHeight="1" x14ac:dyDescent="0.25">
      <c r="A586" s="242" t="str">
        <f t="shared" si="13"/>
        <v/>
      </c>
      <c r="B586" s="522">
        <f>YEAR(Data_NFI_t[[#This Row],[Distribution Date]])</f>
        <v>1900</v>
      </c>
      <c r="C586" s="913"/>
      <c r="D586" s="489"/>
      <c r="E586" s="488"/>
      <c r="F586" s="489"/>
      <c r="G586" s="790"/>
      <c r="H586" s="790"/>
      <c r="I586" s="790"/>
      <c r="J586" s="51"/>
      <c r="K586" s="51"/>
      <c r="L586" s="119"/>
      <c r="M586" s="119"/>
      <c r="N586" s="119"/>
      <c r="O586" s="119"/>
      <c r="P586" s="119"/>
      <c r="Q586" s="119"/>
      <c r="R586" s="512"/>
      <c r="S586" s="119"/>
      <c r="T586" s="119"/>
      <c r="U586" s="119"/>
      <c r="V586" s="119"/>
      <c r="W586" s="119"/>
      <c r="X586" s="131">
        <f>IF(NFI_Expiration=1,IF($A586&lt;VLOOKUP(I$5,NFI,5,0),1,0)*Data_NFI_t[[#This Row],[Hygiene Kit]],0)</f>
        <v>0</v>
      </c>
      <c r="Y586" s="131">
        <f>IF(NFI_Expiration=1,IF($A586&lt;VLOOKUP(J$5,NFI,5,0),1,0)*Data_NFI_t[[#This Row],[NFI Core Kit]],0)</f>
        <v>0</v>
      </c>
      <c r="Z586" s="112">
        <f>IF(NFI_Expiration=1,IF($A586&lt;VLOOKUP(K$5,NFI,5,0),1,0)*Data_NFI_t[[#This Row],[Sanitary Kit]],0)</f>
        <v>0</v>
      </c>
      <c r="AA586" s="112">
        <f>IF(NFI_Expiration=1,IF($A586&lt;VLOOKUP(L$5,NFI,5,0),1,0)*Data_NFI_t[[#This Row],[Mosquito net]],0)</f>
        <v>0</v>
      </c>
      <c r="AB586" s="112">
        <f>IF(NFI_Expiration=1,IF($A586&lt;VLOOKUP(M$5,NFI,5,0),1,0)*Data_NFI_t[[#This Row],[Tarpaulin]],0)</f>
        <v>0</v>
      </c>
      <c r="AC586" s="112">
        <f>IF(NFI_Expiration=1,IF($A586&lt;VLOOKUP(N$5,NFI,5,0),1,0)*Data_NFI_t[[#This Row],[Blanket]],0)</f>
        <v>0</v>
      </c>
      <c r="AD586" s="112">
        <f>IF(NFI_Expiration=1,IF($A586&lt;VLOOKUP(O$5,NFI,5,0),1,0)*Data_NFI_t[[#This Row],[Kitchen Set]],0)</f>
        <v>0</v>
      </c>
      <c r="AE586" s="112">
        <f>IF(NFI_Expiration=1,IF($A586&lt;VLOOKUP(P$5,NFI,5,0),1,0)*Data_NFI_t[[#This Row],[Complementary Kit]],0)</f>
        <v>0</v>
      </c>
      <c r="AF586" s="112">
        <f>IF(NFI_Expiration=1,IF($A586&lt;VLOOKUP(Q$5,NFI,5,0),1,0)*Data_NFI_t[[#This Row],[Plastic Bucket]],0)</f>
        <v>0</v>
      </c>
      <c r="AG586" s="131">
        <f>IF(NFI_Expiration=1,IF($A586&lt;VLOOKUP(R$5,NFI,5,0),1,0)*Data_NFI_t[[#This Row],[Jerry Can]],0)</f>
        <v>0</v>
      </c>
      <c r="AH586" s="131">
        <f>IF(NFI_Expiration=1,IF($A586&lt;VLOOKUP(S$5,NFI,5,0),1,0)*Data_NFI_t[[#This Row],[Plastic Mat]],0)*IF(Data_NFI_t[[#This Row],[Distribution Date]]&gt;"01-06-2015",1,2.5)</f>
        <v>0</v>
      </c>
      <c r="AI586" s="901">
        <f>IF(NFI_Expiration=1,IF($A586&lt;VLOOKUP(T$5,NFI,5,0),1,0)*Data_NFI_t[[#This Row],[Adult Clothes]],0)</f>
        <v>0</v>
      </c>
      <c r="AJ586" s="131">
        <f>IF(NFI_Expiration=1,IF($A586&lt;VLOOKUP(U$5,NFI,5,0),1,0)*Data_NFI_t[[#This Row],[Children Clothes]],0)</f>
        <v>0</v>
      </c>
      <c r="AK586" s="131">
        <f>IF(NFI_Expiration=1,IF($A586&lt;VLOOKUP(V$5,NFI,5,0),1,0)*Data_NFI_t[[#This Row],[Sewing Kit]],0)</f>
        <v>0</v>
      </c>
      <c r="AL586" s="901">
        <f>IF(NFI_Expiration=1,IF($A586&lt;VLOOKUP(V$5,NFI,5,0),1,0)*Data_NFI_t[[#This Row],[Solar Lantern]],0)</f>
        <v>0</v>
      </c>
      <c r="AM586" s="131" t="str">
        <f ca="1">IFERROR(OFFSET(Camp_List[P_Code],MATCH(Data_NFI_t[[#This Row],[Camp Name]],Camp_List[Camp Name],0)-1,0,1,1),"")</f>
        <v/>
      </c>
      <c r="AN586" s="513" t="str">
        <f ca="1">IFERROR(OFFSET(Camp_List[Status],MATCH(Data_NFI_t[[#This Row],[Camp Name]],Camp_List[Camp Name],0)-1,0,1,1),"")</f>
        <v/>
      </c>
      <c r="AO586" s="131"/>
    </row>
    <row r="587" spans="1:41" s="789" customFormat="1" ht="19.5" customHeight="1" x14ac:dyDescent="0.25">
      <c r="A587" s="242" t="str">
        <f t="shared" si="13"/>
        <v/>
      </c>
      <c r="B587" s="522">
        <f>YEAR(Data_NFI_t[[#This Row],[Distribution Date]])</f>
        <v>1900</v>
      </c>
      <c r="C587" s="913"/>
      <c r="D587" s="489"/>
      <c r="E587" s="488"/>
      <c r="F587" s="489"/>
      <c r="G587" s="790"/>
      <c r="H587" s="790"/>
      <c r="I587" s="790"/>
      <c r="J587" s="51"/>
      <c r="K587" s="51"/>
      <c r="L587" s="119"/>
      <c r="M587" s="119"/>
      <c r="N587" s="119"/>
      <c r="O587" s="119"/>
      <c r="P587" s="119"/>
      <c r="Q587" s="119"/>
      <c r="R587" s="512"/>
      <c r="S587" s="119"/>
      <c r="T587" s="119"/>
      <c r="U587" s="119"/>
      <c r="V587" s="119"/>
      <c r="W587" s="119"/>
      <c r="X587" s="131">
        <f>IF(NFI_Expiration=1,IF($A587&lt;VLOOKUP(I$5,NFI,5,0),1,0)*Data_NFI_t[[#This Row],[Hygiene Kit]],0)</f>
        <v>0</v>
      </c>
      <c r="Y587" s="131">
        <f>IF(NFI_Expiration=1,IF($A587&lt;VLOOKUP(J$5,NFI,5,0),1,0)*Data_NFI_t[[#This Row],[NFI Core Kit]],0)</f>
        <v>0</v>
      </c>
      <c r="Z587" s="112">
        <f>IF(NFI_Expiration=1,IF($A587&lt;VLOOKUP(K$5,NFI,5,0),1,0)*Data_NFI_t[[#This Row],[Sanitary Kit]],0)</f>
        <v>0</v>
      </c>
      <c r="AA587" s="112">
        <f>IF(NFI_Expiration=1,IF($A587&lt;VLOOKUP(L$5,NFI,5,0),1,0)*Data_NFI_t[[#This Row],[Mosquito net]],0)</f>
        <v>0</v>
      </c>
      <c r="AB587" s="112">
        <f>IF(NFI_Expiration=1,IF($A587&lt;VLOOKUP(M$5,NFI,5,0),1,0)*Data_NFI_t[[#This Row],[Tarpaulin]],0)</f>
        <v>0</v>
      </c>
      <c r="AC587" s="112">
        <f>IF(NFI_Expiration=1,IF($A587&lt;VLOOKUP(N$5,NFI,5,0),1,0)*Data_NFI_t[[#This Row],[Blanket]],0)</f>
        <v>0</v>
      </c>
      <c r="AD587" s="112">
        <f>IF(NFI_Expiration=1,IF($A587&lt;VLOOKUP(O$5,NFI,5,0),1,0)*Data_NFI_t[[#This Row],[Kitchen Set]],0)</f>
        <v>0</v>
      </c>
      <c r="AE587" s="112">
        <f>IF(NFI_Expiration=1,IF($A587&lt;VLOOKUP(P$5,NFI,5,0),1,0)*Data_NFI_t[[#This Row],[Complementary Kit]],0)</f>
        <v>0</v>
      </c>
      <c r="AF587" s="112">
        <f>IF(NFI_Expiration=1,IF($A587&lt;VLOOKUP(Q$5,NFI,5,0),1,0)*Data_NFI_t[[#This Row],[Plastic Bucket]],0)</f>
        <v>0</v>
      </c>
      <c r="AG587" s="131">
        <f>IF(NFI_Expiration=1,IF($A587&lt;VLOOKUP(R$5,NFI,5,0),1,0)*Data_NFI_t[[#This Row],[Jerry Can]],0)</f>
        <v>0</v>
      </c>
      <c r="AH587" s="131">
        <f>IF(NFI_Expiration=1,IF($A587&lt;VLOOKUP(S$5,NFI,5,0),1,0)*Data_NFI_t[[#This Row],[Plastic Mat]],0)*IF(Data_NFI_t[[#This Row],[Distribution Date]]&gt;"01-06-2015",1,2.5)</f>
        <v>0</v>
      </c>
      <c r="AI587" s="901">
        <f>IF(NFI_Expiration=1,IF($A587&lt;VLOOKUP(T$5,NFI,5,0),1,0)*Data_NFI_t[[#This Row],[Adult Clothes]],0)</f>
        <v>0</v>
      </c>
      <c r="AJ587" s="131">
        <f>IF(NFI_Expiration=1,IF($A587&lt;VLOOKUP(U$5,NFI,5,0),1,0)*Data_NFI_t[[#This Row],[Children Clothes]],0)</f>
        <v>0</v>
      </c>
      <c r="AK587" s="131">
        <f>IF(NFI_Expiration=1,IF($A587&lt;VLOOKUP(V$5,NFI,5,0),1,0)*Data_NFI_t[[#This Row],[Sewing Kit]],0)</f>
        <v>0</v>
      </c>
      <c r="AL587" s="901">
        <f>IF(NFI_Expiration=1,IF($A587&lt;VLOOKUP(V$5,NFI,5,0),1,0)*Data_NFI_t[[#This Row],[Solar Lantern]],0)</f>
        <v>0</v>
      </c>
      <c r="AM587" s="131" t="str">
        <f ca="1">IFERROR(OFFSET(Camp_List[P_Code],MATCH(Data_NFI_t[[#This Row],[Camp Name]],Camp_List[Camp Name],0)-1,0,1,1),"")</f>
        <v/>
      </c>
      <c r="AN587" s="513" t="str">
        <f ca="1">IFERROR(OFFSET(Camp_List[Status],MATCH(Data_NFI_t[[#This Row],[Camp Name]],Camp_List[Camp Name],0)-1,0,1,1),"")</f>
        <v/>
      </c>
      <c r="AO587" s="131"/>
    </row>
    <row r="588" spans="1:41" s="789" customFormat="1" ht="19.5" customHeight="1" x14ac:dyDescent="0.25">
      <c r="A588" s="242" t="str">
        <f t="shared" si="13"/>
        <v/>
      </c>
      <c r="B588" s="522">
        <f>YEAR(Data_NFI_t[[#This Row],[Distribution Date]])</f>
        <v>1900</v>
      </c>
      <c r="C588" s="913"/>
      <c r="D588" s="489"/>
      <c r="E588" s="488"/>
      <c r="F588" s="489"/>
      <c r="G588" s="790"/>
      <c r="H588" s="790"/>
      <c r="I588" s="790"/>
      <c r="J588" s="51"/>
      <c r="K588" s="51"/>
      <c r="L588" s="119"/>
      <c r="M588" s="119"/>
      <c r="N588" s="119"/>
      <c r="O588" s="119"/>
      <c r="P588" s="119"/>
      <c r="Q588" s="119"/>
      <c r="R588" s="512"/>
      <c r="S588" s="119"/>
      <c r="T588" s="119"/>
      <c r="U588" s="119"/>
      <c r="V588" s="119"/>
      <c r="W588" s="119"/>
      <c r="X588" s="131">
        <f>IF(NFI_Expiration=1,IF($A588&lt;VLOOKUP(I$5,NFI,5,0),1,0)*Data_NFI_t[[#This Row],[Hygiene Kit]],0)</f>
        <v>0</v>
      </c>
      <c r="Y588" s="131">
        <f>IF(NFI_Expiration=1,IF($A588&lt;VLOOKUP(J$5,NFI,5,0),1,0)*Data_NFI_t[[#This Row],[NFI Core Kit]],0)</f>
        <v>0</v>
      </c>
      <c r="Z588" s="112">
        <f>IF(NFI_Expiration=1,IF($A588&lt;VLOOKUP(K$5,NFI,5,0),1,0)*Data_NFI_t[[#This Row],[Sanitary Kit]],0)</f>
        <v>0</v>
      </c>
      <c r="AA588" s="112">
        <f>IF(NFI_Expiration=1,IF($A588&lt;VLOOKUP(L$5,NFI,5,0),1,0)*Data_NFI_t[[#This Row],[Mosquito net]],0)</f>
        <v>0</v>
      </c>
      <c r="AB588" s="112">
        <f>IF(NFI_Expiration=1,IF($A588&lt;VLOOKUP(M$5,NFI,5,0),1,0)*Data_NFI_t[[#This Row],[Tarpaulin]],0)</f>
        <v>0</v>
      </c>
      <c r="AC588" s="112">
        <f>IF(NFI_Expiration=1,IF($A588&lt;VLOOKUP(N$5,NFI,5,0),1,0)*Data_NFI_t[[#This Row],[Blanket]],0)</f>
        <v>0</v>
      </c>
      <c r="AD588" s="112">
        <f>IF(NFI_Expiration=1,IF($A588&lt;VLOOKUP(O$5,NFI,5,0),1,0)*Data_NFI_t[[#This Row],[Kitchen Set]],0)</f>
        <v>0</v>
      </c>
      <c r="AE588" s="112">
        <f>IF(NFI_Expiration=1,IF($A588&lt;VLOOKUP(P$5,NFI,5,0),1,0)*Data_NFI_t[[#This Row],[Complementary Kit]],0)</f>
        <v>0</v>
      </c>
      <c r="AF588" s="112">
        <f>IF(NFI_Expiration=1,IF($A588&lt;VLOOKUP(Q$5,NFI,5,0),1,0)*Data_NFI_t[[#This Row],[Plastic Bucket]],0)</f>
        <v>0</v>
      </c>
      <c r="AG588" s="131">
        <f>IF(NFI_Expiration=1,IF($A588&lt;VLOOKUP(R$5,NFI,5,0),1,0)*Data_NFI_t[[#This Row],[Jerry Can]],0)</f>
        <v>0</v>
      </c>
      <c r="AH588" s="131">
        <f>IF(NFI_Expiration=1,IF($A588&lt;VLOOKUP(S$5,NFI,5,0),1,0)*Data_NFI_t[[#This Row],[Plastic Mat]],0)*IF(Data_NFI_t[[#This Row],[Distribution Date]]&gt;"01-06-2015",1,2.5)</f>
        <v>0</v>
      </c>
      <c r="AI588" s="901">
        <f>IF(NFI_Expiration=1,IF($A588&lt;VLOOKUP(T$5,NFI,5,0),1,0)*Data_NFI_t[[#This Row],[Adult Clothes]],0)</f>
        <v>0</v>
      </c>
      <c r="AJ588" s="131">
        <f>IF(NFI_Expiration=1,IF($A588&lt;VLOOKUP(U$5,NFI,5,0),1,0)*Data_NFI_t[[#This Row],[Children Clothes]],0)</f>
        <v>0</v>
      </c>
      <c r="AK588" s="131">
        <f>IF(NFI_Expiration=1,IF($A588&lt;VLOOKUP(V$5,NFI,5,0),1,0)*Data_NFI_t[[#This Row],[Sewing Kit]],0)</f>
        <v>0</v>
      </c>
      <c r="AL588" s="901">
        <f>IF(NFI_Expiration=1,IF($A588&lt;VLOOKUP(V$5,NFI,5,0),1,0)*Data_NFI_t[[#This Row],[Solar Lantern]],0)</f>
        <v>0</v>
      </c>
      <c r="AM588" s="131" t="str">
        <f ca="1">IFERROR(OFFSET(Camp_List[P_Code],MATCH(Data_NFI_t[[#This Row],[Camp Name]],Camp_List[Camp Name],0)-1,0,1,1),"")</f>
        <v/>
      </c>
      <c r="AN588" s="513" t="str">
        <f ca="1">IFERROR(OFFSET(Camp_List[Status],MATCH(Data_NFI_t[[#This Row],[Camp Name]],Camp_List[Camp Name],0)-1,0,1,1),"")</f>
        <v/>
      </c>
      <c r="AO588" s="131"/>
    </row>
    <row r="589" spans="1:41" s="789" customFormat="1" ht="19.5" customHeight="1" x14ac:dyDescent="0.25">
      <c r="A589" s="242" t="str">
        <f t="shared" si="13"/>
        <v/>
      </c>
      <c r="B589" s="522">
        <f>YEAR(Data_NFI_t[[#This Row],[Distribution Date]])</f>
        <v>1900</v>
      </c>
      <c r="C589" s="913"/>
      <c r="D589" s="489"/>
      <c r="E589" s="488"/>
      <c r="F589" s="489"/>
      <c r="G589" s="790"/>
      <c r="H589" s="790"/>
      <c r="I589" s="790"/>
      <c r="J589" s="51"/>
      <c r="K589" s="51"/>
      <c r="L589" s="119"/>
      <c r="M589" s="119"/>
      <c r="N589" s="119"/>
      <c r="O589" s="119"/>
      <c r="P589" s="119"/>
      <c r="Q589" s="119"/>
      <c r="R589" s="512"/>
      <c r="S589" s="119"/>
      <c r="T589" s="119"/>
      <c r="U589" s="119"/>
      <c r="V589" s="119"/>
      <c r="W589" s="119"/>
      <c r="X589" s="131">
        <f>IF(NFI_Expiration=1,IF($A589&lt;VLOOKUP(I$5,NFI,5,0),1,0)*Data_NFI_t[[#This Row],[Hygiene Kit]],0)</f>
        <v>0</v>
      </c>
      <c r="Y589" s="131">
        <f>IF(NFI_Expiration=1,IF($A589&lt;VLOOKUP(J$5,NFI,5,0),1,0)*Data_NFI_t[[#This Row],[NFI Core Kit]],0)</f>
        <v>0</v>
      </c>
      <c r="Z589" s="112">
        <f>IF(NFI_Expiration=1,IF($A589&lt;VLOOKUP(K$5,NFI,5,0),1,0)*Data_NFI_t[[#This Row],[Sanitary Kit]],0)</f>
        <v>0</v>
      </c>
      <c r="AA589" s="112">
        <f>IF(NFI_Expiration=1,IF($A589&lt;VLOOKUP(L$5,NFI,5,0),1,0)*Data_NFI_t[[#This Row],[Mosquito net]],0)</f>
        <v>0</v>
      </c>
      <c r="AB589" s="112">
        <f>IF(NFI_Expiration=1,IF($A589&lt;VLOOKUP(M$5,NFI,5,0),1,0)*Data_NFI_t[[#This Row],[Tarpaulin]],0)</f>
        <v>0</v>
      </c>
      <c r="AC589" s="112">
        <f>IF(NFI_Expiration=1,IF($A589&lt;VLOOKUP(N$5,NFI,5,0),1,0)*Data_NFI_t[[#This Row],[Blanket]],0)</f>
        <v>0</v>
      </c>
      <c r="AD589" s="112">
        <f>IF(NFI_Expiration=1,IF($A589&lt;VLOOKUP(O$5,NFI,5,0),1,0)*Data_NFI_t[[#This Row],[Kitchen Set]],0)</f>
        <v>0</v>
      </c>
      <c r="AE589" s="112">
        <f>IF(NFI_Expiration=1,IF($A589&lt;VLOOKUP(P$5,NFI,5,0),1,0)*Data_NFI_t[[#This Row],[Complementary Kit]],0)</f>
        <v>0</v>
      </c>
      <c r="AF589" s="112">
        <f>IF(NFI_Expiration=1,IF($A589&lt;VLOOKUP(Q$5,NFI,5,0),1,0)*Data_NFI_t[[#This Row],[Plastic Bucket]],0)</f>
        <v>0</v>
      </c>
      <c r="AG589" s="131">
        <f>IF(NFI_Expiration=1,IF($A589&lt;VLOOKUP(R$5,NFI,5,0),1,0)*Data_NFI_t[[#This Row],[Jerry Can]],0)</f>
        <v>0</v>
      </c>
      <c r="AH589" s="131">
        <f>IF(NFI_Expiration=1,IF($A589&lt;VLOOKUP(S$5,NFI,5,0),1,0)*Data_NFI_t[[#This Row],[Plastic Mat]],0)*IF(Data_NFI_t[[#This Row],[Distribution Date]]&gt;"01-06-2015",1,2.5)</f>
        <v>0</v>
      </c>
      <c r="AI589" s="901">
        <f>IF(NFI_Expiration=1,IF($A589&lt;VLOOKUP(T$5,NFI,5,0),1,0)*Data_NFI_t[[#This Row],[Adult Clothes]],0)</f>
        <v>0</v>
      </c>
      <c r="AJ589" s="131">
        <f>IF(NFI_Expiration=1,IF($A589&lt;VLOOKUP(U$5,NFI,5,0),1,0)*Data_NFI_t[[#This Row],[Children Clothes]],0)</f>
        <v>0</v>
      </c>
      <c r="AK589" s="131">
        <f>IF(NFI_Expiration=1,IF($A589&lt;VLOOKUP(V$5,NFI,5,0),1,0)*Data_NFI_t[[#This Row],[Sewing Kit]],0)</f>
        <v>0</v>
      </c>
      <c r="AL589" s="901">
        <f>IF(NFI_Expiration=1,IF($A589&lt;VLOOKUP(V$5,NFI,5,0),1,0)*Data_NFI_t[[#This Row],[Solar Lantern]],0)</f>
        <v>0</v>
      </c>
      <c r="AM589" s="131" t="str">
        <f ca="1">IFERROR(OFFSET(Camp_List[P_Code],MATCH(Data_NFI_t[[#This Row],[Camp Name]],Camp_List[Camp Name],0)-1,0,1,1),"")</f>
        <v/>
      </c>
      <c r="AN589" s="513" t="str">
        <f ca="1">IFERROR(OFFSET(Camp_List[Status],MATCH(Data_NFI_t[[#This Row],[Camp Name]],Camp_List[Camp Name],0)-1,0,1,1),"")</f>
        <v/>
      </c>
      <c r="AO589" s="131"/>
    </row>
    <row r="590" spans="1:41" s="789" customFormat="1" ht="19.5" customHeight="1" x14ac:dyDescent="0.25">
      <c r="A590" s="242" t="str">
        <f t="shared" si="13"/>
        <v/>
      </c>
      <c r="B590" s="522">
        <f>YEAR(Data_NFI_t[[#This Row],[Distribution Date]])</f>
        <v>1900</v>
      </c>
      <c r="C590" s="913"/>
      <c r="D590" s="489"/>
      <c r="E590" s="488"/>
      <c r="F590" s="489"/>
      <c r="G590" s="790"/>
      <c r="H590" s="790"/>
      <c r="I590" s="790"/>
      <c r="J590" s="51"/>
      <c r="K590" s="51"/>
      <c r="L590" s="119"/>
      <c r="M590" s="119"/>
      <c r="N590" s="119"/>
      <c r="O590" s="119"/>
      <c r="P590" s="119"/>
      <c r="Q590" s="119"/>
      <c r="R590" s="512"/>
      <c r="S590" s="119"/>
      <c r="T590" s="119"/>
      <c r="U590" s="119"/>
      <c r="V590" s="119"/>
      <c r="W590" s="119"/>
      <c r="X590" s="131">
        <f>IF(NFI_Expiration=1,IF($A590&lt;VLOOKUP(I$5,NFI,5,0),1,0)*Data_NFI_t[[#This Row],[Hygiene Kit]],0)</f>
        <v>0</v>
      </c>
      <c r="Y590" s="131">
        <f>IF(NFI_Expiration=1,IF($A590&lt;VLOOKUP(J$5,NFI,5,0),1,0)*Data_NFI_t[[#This Row],[NFI Core Kit]],0)</f>
        <v>0</v>
      </c>
      <c r="Z590" s="112">
        <f>IF(NFI_Expiration=1,IF($A590&lt;VLOOKUP(K$5,NFI,5,0),1,0)*Data_NFI_t[[#This Row],[Sanitary Kit]],0)</f>
        <v>0</v>
      </c>
      <c r="AA590" s="112">
        <f>IF(NFI_Expiration=1,IF($A590&lt;VLOOKUP(L$5,NFI,5,0),1,0)*Data_NFI_t[[#This Row],[Mosquito net]],0)</f>
        <v>0</v>
      </c>
      <c r="AB590" s="112">
        <f>IF(NFI_Expiration=1,IF($A590&lt;VLOOKUP(M$5,NFI,5,0),1,0)*Data_NFI_t[[#This Row],[Tarpaulin]],0)</f>
        <v>0</v>
      </c>
      <c r="AC590" s="112">
        <f>IF(NFI_Expiration=1,IF($A590&lt;VLOOKUP(N$5,NFI,5,0),1,0)*Data_NFI_t[[#This Row],[Blanket]],0)</f>
        <v>0</v>
      </c>
      <c r="AD590" s="112">
        <f>IF(NFI_Expiration=1,IF($A590&lt;VLOOKUP(O$5,NFI,5,0),1,0)*Data_NFI_t[[#This Row],[Kitchen Set]],0)</f>
        <v>0</v>
      </c>
      <c r="AE590" s="112">
        <f>IF(NFI_Expiration=1,IF($A590&lt;VLOOKUP(P$5,NFI,5,0),1,0)*Data_NFI_t[[#This Row],[Complementary Kit]],0)</f>
        <v>0</v>
      </c>
      <c r="AF590" s="112">
        <f>IF(NFI_Expiration=1,IF($A590&lt;VLOOKUP(Q$5,NFI,5,0),1,0)*Data_NFI_t[[#This Row],[Plastic Bucket]],0)</f>
        <v>0</v>
      </c>
      <c r="AG590" s="131">
        <f>IF(NFI_Expiration=1,IF($A590&lt;VLOOKUP(R$5,NFI,5,0),1,0)*Data_NFI_t[[#This Row],[Jerry Can]],0)</f>
        <v>0</v>
      </c>
      <c r="AH590" s="131">
        <f>IF(NFI_Expiration=1,IF($A590&lt;VLOOKUP(S$5,NFI,5,0),1,0)*Data_NFI_t[[#This Row],[Plastic Mat]],0)*IF(Data_NFI_t[[#This Row],[Distribution Date]]&gt;"01-06-2015",1,2.5)</f>
        <v>0</v>
      </c>
      <c r="AI590" s="901">
        <f>IF(NFI_Expiration=1,IF($A590&lt;VLOOKUP(T$5,NFI,5,0),1,0)*Data_NFI_t[[#This Row],[Adult Clothes]],0)</f>
        <v>0</v>
      </c>
      <c r="AJ590" s="131">
        <f>IF(NFI_Expiration=1,IF($A590&lt;VLOOKUP(U$5,NFI,5,0),1,0)*Data_NFI_t[[#This Row],[Children Clothes]],0)</f>
        <v>0</v>
      </c>
      <c r="AK590" s="131">
        <f>IF(NFI_Expiration=1,IF($A590&lt;VLOOKUP(V$5,NFI,5,0),1,0)*Data_NFI_t[[#This Row],[Sewing Kit]],0)</f>
        <v>0</v>
      </c>
      <c r="AL590" s="901">
        <f>IF(NFI_Expiration=1,IF($A590&lt;VLOOKUP(V$5,NFI,5,0),1,0)*Data_NFI_t[[#This Row],[Solar Lantern]],0)</f>
        <v>0</v>
      </c>
      <c r="AM590" s="131" t="str">
        <f ca="1">IFERROR(OFFSET(Camp_List[P_Code],MATCH(Data_NFI_t[[#This Row],[Camp Name]],Camp_List[Camp Name],0)-1,0,1,1),"")</f>
        <v/>
      </c>
      <c r="AN590" s="513" t="str">
        <f ca="1">IFERROR(OFFSET(Camp_List[Status],MATCH(Data_NFI_t[[#This Row],[Camp Name]],Camp_List[Camp Name],0)-1,0,1,1),"")</f>
        <v/>
      </c>
      <c r="AO590" s="131"/>
    </row>
    <row r="591" spans="1:41" s="789" customFormat="1" ht="19.5" customHeight="1" x14ac:dyDescent="0.25">
      <c r="A591" s="242" t="str">
        <f t="shared" si="13"/>
        <v/>
      </c>
      <c r="B591" s="522">
        <f>YEAR(Data_NFI_t[[#This Row],[Distribution Date]])</f>
        <v>1900</v>
      </c>
      <c r="C591" s="913"/>
      <c r="D591" s="489"/>
      <c r="E591" s="488"/>
      <c r="F591" s="489"/>
      <c r="G591" s="790"/>
      <c r="H591" s="790"/>
      <c r="I591" s="790"/>
      <c r="J591" s="51"/>
      <c r="K591" s="51"/>
      <c r="L591" s="119"/>
      <c r="M591" s="119"/>
      <c r="N591" s="119"/>
      <c r="O591" s="119"/>
      <c r="P591" s="119"/>
      <c r="Q591" s="119"/>
      <c r="R591" s="512"/>
      <c r="S591" s="119"/>
      <c r="T591" s="119"/>
      <c r="U591" s="119"/>
      <c r="V591" s="119"/>
      <c r="W591" s="119"/>
      <c r="X591" s="131">
        <f>IF(NFI_Expiration=1,IF($A591&lt;VLOOKUP(I$5,NFI,5,0),1,0)*Data_NFI_t[[#This Row],[Hygiene Kit]],0)</f>
        <v>0</v>
      </c>
      <c r="Y591" s="131">
        <f>IF(NFI_Expiration=1,IF($A591&lt;VLOOKUP(J$5,NFI,5,0),1,0)*Data_NFI_t[[#This Row],[NFI Core Kit]],0)</f>
        <v>0</v>
      </c>
      <c r="Z591" s="112">
        <f>IF(NFI_Expiration=1,IF($A591&lt;VLOOKUP(K$5,NFI,5,0),1,0)*Data_NFI_t[[#This Row],[Sanitary Kit]],0)</f>
        <v>0</v>
      </c>
      <c r="AA591" s="112">
        <f>IF(NFI_Expiration=1,IF($A591&lt;VLOOKUP(L$5,NFI,5,0),1,0)*Data_NFI_t[[#This Row],[Mosquito net]],0)</f>
        <v>0</v>
      </c>
      <c r="AB591" s="112">
        <f>IF(NFI_Expiration=1,IF($A591&lt;VLOOKUP(M$5,NFI,5,0),1,0)*Data_NFI_t[[#This Row],[Tarpaulin]],0)</f>
        <v>0</v>
      </c>
      <c r="AC591" s="112">
        <f>IF(NFI_Expiration=1,IF($A591&lt;VLOOKUP(N$5,NFI,5,0),1,0)*Data_NFI_t[[#This Row],[Blanket]],0)</f>
        <v>0</v>
      </c>
      <c r="AD591" s="112">
        <f>IF(NFI_Expiration=1,IF($A591&lt;VLOOKUP(O$5,NFI,5,0),1,0)*Data_NFI_t[[#This Row],[Kitchen Set]],0)</f>
        <v>0</v>
      </c>
      <c r="AE591" s="112">
        <f>IF(NFI_Expiration=1,IF($A591&lt;VLOOKUP(P$5,NFI,5,0),1,0)*Data_NFI_t[[#This Row],[Complementary Kit]],0)</f>
        <v>0</v>
      </c>
      <c r="AF591" s="112">
        <f>IF(NFI_Expiration=1,IF($A591&lt;VLOOKUP(Q$5,NFI,5,0),1,0)*Data_NFI_t[[#This Row],[Plastic Bucket]],0)</f>
        <v>0</v>
      </c>
      <c r="AG591" s="131">
        <f>IF(NFI_Expiration=1,IF($A591&lt;VLOOKUP(R$5,NFI,5,0),1,0)*Data_NFI_t[[#This Row],[Jerry Can]],0)</f>
        <v>0</v>
      </c>
      <c r="AH591" s="131">
        <f>IF(NFI_Expiration=1,IF($A591&lt;VLOOKUP(S$5,NFI,5,0),1,0)*Data_NFI_t[[#This Row],[Plastic Mat]],0)*IF(Data_NFI_t[[#This Row],[Distribution Date]]&gt;"01-06-2015",1,2.5)</f>
        <v>0</v>
      </c>
      <c r="AI591" s="901">
        <f>IF(NFI_Expiration=1,IF($A591&lt;VLOOKUP(T$5,NFI,5,0),1,0)*Data_NFI_t[[#This Row],[Adult Clothes]],0)</f>
        <v>0</v>
      </c>
      <c r="AJ591" s="131">
        <f>IF(NFI_Expiration=1,IF($A591&lt;VLOOKUP(U$5,NFI,5,0),1,0)*Data_NFI_t[[#This Row],[Children Clothes]],0)</f>
        <v>0</v>
      </c>
      <c r="AK591" s="131">
        <f>IF(NFI_Expiration=1,IF($A591&lt;VLOOKUP(V$5,NFI,5,0),1,0)*Data_NFI_t[[#This Row],[Sewing Kit]],0)</f>
        <v>0</v>
      </c>
      <c r="AL591" s="901">
        <f>IF(NFI_Expiration=1,IF($A591&lt;VLOOKUP(V$5,NFI,5,0),1,0)*Data_NFI_t[[#This Row],[Solar Lantern]],0)</f>
        <v>0</v>
      </c>
      <c r="AM591" s="131" t="str">
        <f ca="1">IFERROR(OFFSET(Camp_List[P_Code],MATCH(Data_NFI_t[[#This Row],[Camp Name]],Camp_List[Camp Name],0)-1,0,1,1),"")</f>
        <v/>
      </c>
      <c r="AN591" s="513" t="str">
        <f ca="1">IFERROR(OFFSET(Camp_List[Status],MATCH(Data_NFI_t[[#This Row],[Camp Name]],Camp_List[Camp Name],0)-1,0,1,1),"")</f>
        <v/>
      </c>
      <c r="AO591" s="131"/>
    </row>
    <row r="592" spans="1:41" s="789" customFormat="1" ht="19.5" customHeight="1" x14ac:dyDescent="0.25">
      <c r="A592" s="242" t="str">
        <f t="shared" si="13"/>
        <v/>
      </c>
      <c r="B592" s="522">
        <f>YEAR(Data_NFI_t[[#This Row],[Distribution Date]])</f>
        <v>1900</v>
      </c>
      <c r="C592" s="913"/>
      <c r="D592" s="489"/>
      <c r="E592" s="488"/>
      <c r="F592" s="489"/>
      <c r="G592" s="790"/>
      <c r="H592" s="790"/>
      <c r="I592" s="790"/>
      <c r="J592" s="51"/>
      <c r="K592" s="51"/>
      <c r="L592" s="119"/>
      <c r="M592" s="119"/>
      <c r="N592" s="119"/>
      <c r="O592" s="119"/>
      <c r="P592" s="119"/>
      <c r="Q592" s="119"/>
      <c r="R592" s="512"/>
      <c r="S592" s="119"/>
      <c r="T592" s="119"/>
      <c r="U592" s="119"/>
      <c r="V592" s="119"/>
      <c r="W592" s="119"/>
      <c r="X592" s="131">
        <f>IF(NFI_Expiration=1,IF($A592&lt;VLOOKUP(I$5,NFI,5,0),1,0)*Data_NFI_t[[#This Row],[Hygiene Kit]],0)</f>
        <v>0</v>
      </c>
      <c r="Y592" s="131">
        <f>IF(NFI_Expiration=1,IF($A592&lt;VLOOKUP(J$5,NFI,5,0),1,0)*Data_NFI_t[[#This Row],[NFI Core Kit]],0)</f>
        <v>0</v>
      </c>
      <c r="Z592" s="112">
        <f>IF(NFI_Expiration=1,IF($A592&lt;VLOOKUP(K$5,NFI,5,0),1,0)*Data_NFI_t[[#This Row],[Sanitary Kit]],0)</f>
        <v>0</v>
      </c>
      <c r="AA592" s="112">
        <f>IF(NFI_Expiration=1,IF($A592&lt;VLOOKUP(L$5,NFI,5,0),1,0)*Data_NFI_t[[#This Row],[Mosquito net]],0)</f>
        <v>0</v>
      </c>
      <c r="AB592" s="112">
        <f>IF(NFI_Expiration=1,IF($A592&lt;VLOOKUP(M$5,NFI,5,0),1,0)*Data_NFI_t[[#This Row],[Tarpaulin]],0)</f>
        <v>0</v>
      </c>
      <c r="AC592" s="112">
        <f>IF(NFI_Expiration=1,IF($A592&lt;VLOOKUP(N$5,NFI,5,0),1,0)*Data_NFI_t[[#This Row],[Blanket]],0)</f>
        <v>0</v>
      </c>
      <c r="AD592" s="112">
        <f>IF(NFI_Expiration=1,IF($A592&lt;VLOOKUP(O$5,NFI,5,0),1,0)*Data_NFI_t[[#This Row],[Kitchen Set]],0)</f>
        <v>0</v>
      </c>
      <c r="AE592" s="112">
        <f>IF(NFI_Expiration=1,IF($A592&lt;VLOOKUP(P$5,NFI,5,0),1,0)*Data_NFI_t[[#This Row],[Complementary Kit]],0)</f>
        <v>0</v>
      </c>
      <c r="AF592" s="112">
        <f>IF(NFI_Expiration=1,IF($A592&lt;VLOOKUP(Q$5,NFI,5,0),1,0)*Data_NFI_t[[#This Row],[Plastic Bucket]],0)</f>
        <v>0</v>
      </c>
      <c r="AG592" s="131">
        <f>IF(NFI_Expiration=1,IF($A592&lt;VLOOKUP(R$5,NFI,5,0),1,0)*Data_NFI_t[[#This Row],[Jerry Can]],0)</f>
        <v>0</v>
      </c>
      <c r="AH592" s="131">
        <f>IF(NFI_Expiration=1,IF($A592&lt;VLOOKUP(S$5,NFI,5,0),1,0)*Data_NFI_t[[#This Row],[Plastic Mat]],0)*IF(Data_NFI_t[[#This Row],[Distribution Date]]&gt;"01-06-2015",1,2.5)</f>
        <v>0</v>
      </c>
      <c r="AI592" s="901">
        <f>IF(NFI_Expiration=1,IF($A592&lt;VLOOKUP(T$5,NFI,5,0),1,0)*Data_NFI_t[[#This Row],[Adult Clothes]],0)</f>
        <v>0</v>
      </c>
      <c r="AJ592" s="131">
        <f>IF(NFI_Expiration=1,IF($A592&lt;VLOOKUP(U$5,NFI,5,0),1,0)*Data_NFI_t[[#This Row],[Children Clothes]],0)</f>
        <v>0</v>
      </c>
      <c r="AK592" s="131">
        <f>IF(NFI_Expiration=1,IF($A592&lt;VLOOKUP(V$5,NFI,5,0),1,0)*Data_NFI_t[[#This Row],[Sewing Kit]],0)</f>
        <v>0</v>
      </c>
      <c r="AL592" s="901">
        <f>IF(NFI_Expiration=1,IF($A592&lt;VLOOKUP(V$5,NFI,5,0),1,0)*Data_NFI_t[[#This Row],[Solar Lantern]],0)</f>
        <v>0</v>
      </c>
      <c r="AM592" s="131" t="str">
        <f ca="1">IFERROR(OFFSET(Camp_List[P_Code],MATCH(Data_NFI_t[[#This Row],[Camp Name]],Camp_List[Camp Name],0)-1,0,1,1),"")</f>
        <v/>
      </c>
      <c r="AN592" s="513" t="str">
        <f ca="1">IFERROR(OFFSET(Camp_List[Status],MATCH(Data_NFI_t[[#This Row],[Camp Name]],Camp_List[Camp Name],0)-1,0,1,1),"")</f>
        <v/>
      </c>
      <c r="AO592" s="131"/>
    </row>
    <row r="593" spans="1:41" s="789" customFormat="1" ht="19.5" customHeight="1" x14ac:dyDescent="0.25">
      <c r="A593" s="242" t="str">
        <f t="shared" si="13"/>
        <v/>
      </c>
      <c r="B593" s="522">
        <f>YEAR(Data_NFI_t[[#This Row],[Distribution Date]])</f>
        <v>1900</v>
      </c>
      <c r="C593" s="913"/>
      <c r="D593" s="489"/>
      <c r="E593" s="488"/>
      <c r="F593" s="489"/>
      <c r="G593" s="790"/>
      <c r="H593" s="790"/>
      <c r="I593" s="790"/>
      <c r="J593" s="51"/>
      <c r="K593" s="51"/>
      <c r="L593" s="119"/>
      <c r="M593" s="119"/>
      <c r="N593" s="119"/>
      <c r="O593" s="119"/>
      <c r="P593" s="119"/>
      <c r="Q593" s="119"/>
      <c r="R593" s="512"/>
      <c r="S593" s="119"/>
      <c r="T593" s="119"/>
      <c r="U593" s="119"/>
      <c r="V593" s="119"/>
      <c r="W593" s="119"/>
      <c r="X593" s="131">
        <f>IF(NFI_Expiration=1,IF($A593&lt;VLOOKUP(I$5,NFI,5,0),1,0)*Data_NFI_t[[#This Row],[Hygiene Kit]],0)</f>
        <v>0</v>
      </c>
      <c r="Y593" s="131">
        <f>IF(NFI_Expiration=1,IF($A593&lt;VLOOKUP(J$5,NFI,5,0),1,0)*Data_NFI_t[[#This Row],[NFI Core Kit]],0)</f>
        <v>0</v>
      </c>
      <c r="Z593" s="112">
        <f>IF(NFI_Expiration=1,IF($A593&lt;VLOOKUP(K$5,NFI,5,0),1,0)*Data_NFI_t[[#This Row],[Sanitary Kit]],0)</f>
        <v>0</v>
      </c>
      <c r="AA593" s="112">
        <f>IF(NFI_Expiration=1,IF($A593&lt;VLOOKUP(L$5,NFI,5,0),1,0)*Data_NFI_t[[#This Row],[Mosquito net]],0)</f>
        <v>0</v>
      </c>
      <c r="AB593" s="112">
        <f>IF(NFI_Expiration=1,IF($A593&lt;VLOOKUP(M$5,NFI,5,0),1,0)*Data_NFI_t[[#This Row],[Tarpaulin]],0)</f>
        <v>0</v>
      </c>
      <c r="AC593" s="112">
        <f>IF(NFI_Expiration=1,IF($A593&lt;VLOOKUP(N$5,NFI,5,0),1,0)*Data_NFI_t[[#This Row],[Blanket]],0)</f>
        <v>0</v>
      </c>
      <c r="AD593" s="112">
        <f>IF(NFI_Expiration=1,IF($A593&lt;VLOOKUP(O$5,NFI,5,0),1,0)*Data_NFI_t[[#This Row],[Kitchen Set]],0)</f>
        <v>0</v>
      </c>
      <c r="AE593" s="112">
        <f>IF(NFI_Expiration=1,IF($A593&lt;VLOOKUP(P$5,NFI,5,0),1,0)*Data_NFI_t[[#This Row],[Complementary Kit]],0)</f>
        <v>0</v>
      </c>
      <c r="AF593" s="112">
        <f>IF(NFI_Expiration=1,IF($A593&lt;VLOOKUP(Q$5,NFI,5,0),1,0)*Data_NFI_t[[#This Row],[Plastic Bucket]],0)</f>
        <v>0</v>
      </c>
      <c r="AG593" s="131">
        <f>IF(NFI_Expiration=1,IF($A593&lt;VLOOKUP(R$5,NFI,5,0),1,0)*Data_NFI_t[[#This Row],[Jerry Can]],0)</f>
        <v>0</v>
      </c>
      <c r="AH593" s="131">
        <f>IF(NFI_Expiration=1,IF($A593&lt;VLOOKUP(S$5,NFI,5,0),1,0)*Data_NFI_t[[#This Row],[Plastic Mat]],0)*IF(Data_NFI_t[[#This Row],[Distribution Date]]&gt;"01-06-2015",1,2.5)</f>
        <v>0</v>
      </c>
      <c r="AI593" s="901">
        <f>IF(NFI_Expiration=1,IF($A593&lt;VLOOKUP(T$5,NFI,5,0),1,0)*Data_NFI_t[[#This Row],[Adult Clothes]],0)</f>
        <v>0</v>
      </c>
      <c r="AJ593" s="131">
        <f>IF(NFI_Expiration=1,IF($A593&lt;VLOOKUP(U$5,NFI,5,0),1,0)*Data_NFI_t[[#This Row],[Children Clothes]],0)</f>
        <v>0</v>
      </c>
      <c r="AK593" s="131">
        <f>IF(NFI_Expiration=1,IF($A593&lt;VLOOKUP(V$5,NFI,5,0),1,0)*Data_NFI_t[[#This Row],[Sewing Kit]],0)</f>
        <v>0</v>
      </c>
      <c r="AL593" s="901">
        <f>IF(NFI_Expiration=1,IF($A593&lt;VLOOKUP(V$5,NFI,5,0),1,0)*Data_NFI_t[[#This Row],[Solar Lantern]],0)</f>
        <v>0</v>
      </c>
      <c r="AM593" s="131" t="str">
        <f ca="1">IFERROR(OFFSET(Camp_List[P_Code],MATCH(Data_NFI_t[[#This Row],[Camp Name]],Camp_List[Camp Name],0)-1,0,1,1),"")</f>
        <v/>
      </c>
      <c r="AN593" s="513" t="str">
        <f ca="1">IFERROR(OFFSET(Camp_List[Status],MATCH(Data_NFI_t[[#This Row],[Camp Name]],Camp_List[Camp Name],0)-1,0,1,1),"")</f>
        <v/>
      </c>
      <c r="AO593" s="131"/>
    </row>
    <row r="594" spans="1:41" s="789" customFormat="1" ht="19.5" customHeight="1" x14ac:dyDescent="0.25">
      <c r="A594" s="242" t="str">
        <f t="shared" si="13"/>
        <v/>
      </c>
      <c r="B594" s="522">
        <f>YEAR(Data_NFI_t[[#This Row],[Distribution Date]])</f>
        <v>1900</v>
      </c>
      <c r="C594" s="913"/>
      <c r="D594" s="489"/>
      <c r="E594" s="488"/>
      <c r="F594" s="489"/>
      <c r="G594" s="790"/>
      <c r="H594" s="790"/>
      <c r="I594" s="790"/>
      <c r="J594" s="51"/>
      <c r="K594" s="51"/>
      <c r="L594" s="119"/>
      <c r="M594" s="119"/>
      <c r="N594" s="119"/>
      <c r="O594" s="119"/>
      <c r="P594" s="119"/>
      <c r="Q594" s="119"/>
      <c r="R594" s="512"/>
      <c r="S594" s="119"/>
      <c r="T594" s="119"/>
      <c r="U594" s="119"/>
      <c r="V594" s="119"/>
      <c r="W594" s="119"/>
      <c r="X594" s="131">
        <f>IF(NFI_Expiration=1,IF($A594&lt;VLOOKUP(I$5,NFI,5,0),1,0)*Data_NFI_t[[#This Row],[Hygiene Kit]],0)</f>
        <v>0</v>
      </c>
      <c r="Y594" s="131">
        <f>IF(NFI_Expiration=1,IF($A594&lt;VLOOKUP(J$5,NFI,5,0),1,0)*Data_NFI_t[[#This Row],[NFI Core Kit]],0)</f>
        <v>0</v>
      </c>
      <c r="Z594" s="112">
        <f>IF(NFI_Expiration=1,IF($A594&lt;VLOOKUP(K$5,NFI,5,0),1,0)*Data_NFI_t[[#This Row],[Sanitary Kit]],0)</f>
        <v>0</v>
      </c>
      <c r="AA594" s="112">
        <f>IF(NFI_Expiration=1,IF($A594&lt;VLOOKUP(L$5,NFI,5,0),1,0)*Data_NFI_t[[#This Row],[Mosquito net]],0)</f>
        <v>0</v>
      </c>
      <c r="AB594" s="112">
        <f>IF(NFI_Expiration=1,IF($A594&lt;VLOOKUP(M$5,NFI,5,0),1,0)*Data_NFI_t[[#This Row],[Tarpaulin]],0)</f>
        <v>0</v>
      </c>
      <c r="AC594" s="112">
        <f>IF(NFI_Expiration=1,IF($A594&lt;VLOOKUP(N$5,NFI,5,0),1,0)*Data_NFI_t[[#This Row],[Blanket]],0)</f>
        <v>0</v>
      </c>
      <c r="AD594" s="112">
        <f>IF(NFI_Expiration=1,IF($A594&lt;VLOOKUP(O$5,NFI,5,0),1,0)*Data_NFI_t[[#This Row],[Kitchen Set]],0)</f>
        <v>0</v>
      </c>
      <c r="AE594" s="112">
        <f>IF(NFI_Expiration=1,IF($A594&lt;VLOOKUP(P$5,NFI,5,0),1,0)*Data_NFI_t[[#This Row],[Complementary Kit]],0)</f>
        <v>0</v>
      </c>
      <c r="AF594" s="112">
        <f>IF(NFI_Expiration=1,IF($A594&lt;VLOOKUP(Q$5,NFI,5,0),1,0)*Data_NFI_t[[#This Row],[Plastic Bucket]],0)</f>
        <v>0</v>
      </c>
      <c r="AG594" s="131">
        <f>IF(NFI_Expiration=1,IF($A594&lt;VLOOKUP(R$5,NFI,5,0),1,0)*Data_NFI_t[[#This Row],[Jerry Can]],0)</f>
        <v>0</v>
      </c>
      <c r="AH594" s="131">
        <f>IF(NFI_Expiration=1,IF($A594&lt;VLOOKUP(S$5,NFI,5,0),1,0)*Data_NFI_t[[#This Row],[Plastic Mat]],0)*IF(Data_NFI_t[[#This Row],[Distribution Date]]&gt;"01-06-2015",1,2.5)</f>
        <v>0</v>
      </c>
      <c r="AI594" s="901">
        <f>IF(NFI_Expiration=1,IF($A594&lt;VLOOKUP(T$5,NFI,5,0),1,0)*Data_NFI_t[[#This Row],[Adult Clothes]],0)</f>
        <v>0</v>
      </c>
      <c r="AJ594" s="131">
        <f>IF(NFI_Expiration=1,IF($A594&lt;VLOOKUP(U$5,NFI,5,0),1,0)*Data_NFI_t[[#This Row],[Children Clothes]],0)</f>
        <v>0</v>
      </c>
      <c r="AK594" s="131">
        <f>IF(NFI_Expiration=1,IF($A594&lt;VLOOKUP(V$5,NFI,5,0),1,0)*Data_NFI_t[[#This Row],[Sewing Kit]],0)</f>
        <v>0</v>
      </c>
      <c r="AL594" s="901">
        <f>IF(NFI_Expiration=1,IF($A594&lt;VLOOKUP(V$5,NFI,5,0),1,0)*Data_NFI_t[[#This Row],[Solar Lantern]],0)</f>
        <v>0</v>
      </c>
      <c r="AM594" s="131" t="str">
        <f ca="1">IFERROR(OFFSET(Camp_List[P_Code],MATCH(Data_NFI_t[[#This Row],[Camp Name]],Camp_List[Camp Name],0)-1,0,1,1),"")</f>
        <v/>
      </c>
      <c r="AN594" s="513" t="str">
        <f ca="1">IFERROR(OFFSET(Camp_List[Status],MATCH(Data_NFI_t[[#This Row],[Camp Name]],Camp_List[Camp Name],0)-1,0,1,1),"")</f>
        <v/>
      </c>
      <c r="AO594" s="131"/>
    </row>
    <row r="595" spans="1:41" s="789" customFormat="1" ht="19.5" customHeight="1" x14ac:dyDescent="0.25">
      <c r="A595" s="242" t="str">
        <f t="shared" si="13"/>
        <v/>
      </c>
      <c r="B595" s="522">
        <f>YEAR(Data_NFI_t[[#This Row],[Distribution Date]])</f>
        <v>1900</v>
      </c>
      <c r="C595" s="913"/>
      <c r="D595" s="489"/>
      <c r="E595" s="488"/>
      <c r="F595" s="489"/>
      <c r="G595" s="790"/>
      <c r="H595" s="790"/>
      <c r="I595" s="790"/>
      <c r="J595" s="51"/>
      <c r="K595" s="51"/>
      <c r="L595" s="119"/>
      <c r="M595" s="119"/>
      <c r="N595" s="119"/>
      <c r="O595" s="119"/>
      <c r="P595" s="119"/>
      <c r="Q595" s="119"/>
      <c r="R595" s="512"/>
      <c r="S595" s="119"/>
      <c r="T595" s="119"/>
      <c r="U595" s="119"/>
      <c r="V595" s="119"/>
      <c r="W595" s="119"/>
      <c r="X595" s="131">
        <f>IF(NFI_Expiration=1,IF($A595&lt;VLOOKUP(I$5,NFI,5,0),1,0)*Data_NFI_t[[#This Row],[Hygiene Kit]],0)</f>
        <v>0</v>
      </c>
      <c r="Y595" s="131">
        <f>IF(NFI_Expiration=1,IF($A595&lt;VLOOKUP(J$5,NFI,5,0),1,0)*Data_NFI_t[[#This Row],[NFI Core Kit]],0)</f>
        <v>0</v>
      </c>
      <c r="Z595" s="112">
        <f>IF(NFI_Expiration=1,IF($A595&lt;VLOOKUP(K$5,NFI,5,0),1,0)*Data_NFI_t[[#This Row],[Sanitary Kit]],0)</f>
        <v>0</v>
      </c>
      <c r="AA595" s="112">
        <f>IF(NFI_Expiration=1,IF($A595&lt;VLOOKUP(L$5,NFI,5,0),1,0)*Data_NFI_t[[#This Row],[Mosquito net]],0)</f>
        <v>0</v>
      </c>
      <c r="AB595" s="112">
        <f>IF(NFI_Expiration=1,IF($A595&lt;VLOOKUP(M$5,NFI,5,0),1,0)*Data_NFI_t[[#This Row],[Tarpaulin]],0)</f>
        <v>0</v>
      </c>
      <c r="AC595" s="112">
        <f>IF(NFI_Expiration=1,IF($A595&lt;VLOOKUP(N$5,NFI,5,0),1,0)*Data_NFI_t[[#This Row],[Blanket]],0)</f>
        <v>0</v>
      </c>
      <c r="AD595" s="112">
        <f>IF(NFI_Expiration=1,IF($A595&lt;VLOOKUP(O$5,NFI,5,0),1,0)*Data_NFI_t[[#This Row],[Kitchen Set]],0)</f>
        <v>0</v>
      </c>
      <c r="AE595" s="112">
        <f>IF(NFI_Expiration=1,IF($A595&lt;VLOOKUP(P$5,NFI,5,0),1,0)*Data_NFI_t[[#This Row],[Complementary Kit]],0)</f>
        <v>0</v>
      </c>
      <c r="AF595" s="112">
        <f>IF(NFI_Expiration=1,IF($A595&lt;VLOOKUP(Q$5,NFI,5,0),1,0)*Data_NFI_t[[#This Row],[Plastic Bucket]],0)</f>
        <v>0</v>
      </c>
      <c r="AG595" s="131">
        <f>IF(NFI_Expiration=1,IF($A595&lt;VLOOKUP(R$5,NFI,5,0),1,0)*Data_NFI_t[[#This Row],[Jerry Can]],0)</f>
        <v>0</v>
      </c>
      <c r="AH595" s="131">
        <f>IF(NFI_Expiration=1,IF($A595&lt;VLOOKUP(S$5,NFI,5,0),1,0)*Data_NFI_t[[#This Row],[Plastic Mat]],0)*IF(Data_NFI_t[[#This Row],[Distribution Date]]&gt;"01-06-2015",1,2.5)</f>
        <v>0</v>
      </c>
      <c r="AI595" s="901">
        <f>IF(NFI_Expiration=1,IF($A595&lt;VLOOKUP(T$5,NFI,5,0),1,0)*Data_NFI_t[[#This Row],[Adult Clothes]],0)</f>
        <v>0</v>
      </c>
      <c r="AJ595" s="131">
        <f>IF(NFI_Expiration=1,IF($A595&lt;VLOOKUP(U$5,NFI,5,0),1,0)*Data_NFI_t[[#This Row],[Children Clothes]],0)</f>
        <v>0</v>
      </c>
      <c r="AK595" s="131">
        <f>IF(NFI_Expiration=1,IF($A595&lt;VLOOKUP(V$5,NFI,5,0),1,0)*Data_NFI_t[[#This Row],[Sewing Kit]],0)</f>
        <v>0</v>
      </c>
      <c r="AL595" s="901">
        <f>IF(NFI_Expiration=1,IF($A595&lt;VLOOKUP(V$5,NFI,5,0),1,0)*Data_NFI_t[[#This Row],[Solar Lantern]],0)</f>
        <v>0</v>
      </c>
      <c r="AM595" s="131" t="str">
        <f ca="1">IFERROR(OFFSET(Camp_List[P_Code],MATCH(Data_NFI_t[[#This Row],[Camp Name]],Camp_List[Camp Name],0)-1,0,1,1),"")</f>
        <v/>
      </c>
      <c r="AN595" s="513" t="str">
        <f ca="1">IFERROR(OFFSET(Camp_List[Status],MATCH(Data_NFI_t[[#This Row],[Camp Name]],Camp_List[Camp Name],0)-1,0,1,1),"")</f>
        <v/>
      </c>
      <c r="AO595" s="131"/>
    </row>
    <row r="596" spans="1:41" s="789" customFormat="1" ht="19.5" customHeight="1" x14ac:dyDescent="0.25">
      <c r="A596" s="242" t="str">
        <f t="shared" si="13"/>
        <v/>
      </c>
      <c r="B596" s="522">
        <f>YEAR(Data_NFI_t[[#This Row],[Distribution Date]])</f>
        <v>1900</v>
      </c>
      <c r="C596" s="913"/>
      <c r="D596" s="489"/>
      <c r="E596" s="488"/>
      <c r="F596" s="489"/>
      <c r="G596" s="790"/>
      <c r="H596" s="790"/>
      <c r="I596" s="790"/>
      <c r="J596" s="51"/>
      <c r="K596" s="51"/>
      <c r="L596" s="119"/>
      <c r="M596" s="119"/>
      <c r="N596" s="119"/>
      <c r="O596" s="119"/>
      <c r="P596" s="119"/>
      <c r="Q596" s="119"/>
      <c r="R596" s="512"/>
      <c r="S596" s="119"/>
      <c r="T596" s="119"/>
      <c r="U596" s="119"/>
      <c r="V596" s="119"/>
      <c r="W596" s="119"/>
      <c r="X596" s="131">
        <f>IF(NFI_Expiration=1,IF($A596&lt;VLOOKUP(I$5,NFI,5,0),1,0)*Data_NFI_t[[#This Row],[Hygiene Kit]],0)</f>
        <v>0</v>
      </c>
      <c r="Y596" s="131">
        <f>IF(NFI_Expiration=1,IF($A596&lt;VLOOKUP(J$5,NFI,5,0),1,0)*Data_NFI_t[[#This Row],[NFI Core Kit]],0)</f>
        <v>0</v>
      </c>
      <c r="Z596" s="112">
        <f>IF(NFI_Expiration=1,IF($A596&lt;VLOOKUP(K$5,NFI,5,0),1,0)*Data_NFI_t[[#This Row],[Sanitary Kit]],0)</f>
        <v>0</v>
      </c>
      <c r="AA596" s="112">
        <f>IF(NFI_Expiration=1,IF($A596&lt;VLOOKUP(L$5,NFI,5,0),1,0)*Data_NFI_t[[#This Row],[Mosquito net]],0)</f>
        <v>0</v>
      </c>
      <c r="AB596" s="112">
        <f>IF(NFI_Expiration=1,IF($A596&lt;VLOOKUP(M$5,NFI,5,0),1,0)*Data_NFI_t[[#This Row],[Tarpaulin]],0)</f>
        <v>0</v>
      </c>
      <c r="AC596" s="112">
        <f>IF(NFI_Expiration=1,IF($A596&lt;VLOOKUP(N$5,NFI,5,0),1,0)*Data_NFI_t[[#This Row],[Blanket]],0)</f>
        <v>0</v>
      </c>
      <c r="AD596" s="112">
        <f>IF(NFI_Expiration=1,IF($A596&lt;VLOOKUP(O$5,NFI,5,0),1,0)*Data_NFI_t[[#This Row],[Kitchen Set]],0)</f>
        <v>0</v>
      </c>
      <c r="AE596" s="112">
        <f>IF(NFI_Expiration=1,IF($A596&lt;VLOOKUP(P$5,NFI,5,0),1,0)*Data_NFI_t[[#This Row],[Complementary Kit]],0)</f>
        <v>0</v>
      </c>
      <c r="AF596" s="112">
        <f>IF(NFI_Expiration=1,IF($A596&lt;VLOOKUP(Q$5,NFI,5,0),1,0)*Data_NFI_t[[#This Row],[Plastic Bucket]],0)</f>
        <v>0</v>
      </c>
      <c r="AG596" s="131">
        <f>IF(NFI_Expiration=1,IF($A596&lt;VLOOKUP(R$5,NFI,5,0),1,0)*Data_NFI_t[[#This Row],[Jerry Can]],0)</f>
        <v>0</v>
      </c>
      <c r="AH596" s="131">
        <f>IF(NFI_Expiration=1,IF($A596&lt;VLOOKUP(S$5,NFI,5,0),1,0)*Data_NFI_t[[#This Row],[Plastic Mat]],0)*IF(Data_NFI_t[[#This Row],[Distribution Date]]&gt;"01-06-2015",1,2.5)</f>
        <v>0</v>
      </c>
      <c r="AI596" s="901">
        <f>IF(NFI_Expiration=1,IF($A596&lt;VLOOKUP(T$5,NFI,5,0),1,0)*Data_NFI_t[[#This Row],[Adult Clothes]],0)</f>
        <v>0</v>
      </c>
      <c r="AJ596" s="131">
        <f>IF(NFI_Expiration=1,IF($A596&lt;VLOOKUP(U$5,NFI,5,0),1,0)*Data_NFI_t[[#This Row],[Children Clothes]],0)</f>
        <v>0</v>
      </c>
      <c r="AK596" s="131">
        <f>IF(NFI_Expiration=1,IF($A596&lt;VLOOKUP(V$5,NFI,5,0),1,0)*Data_NFI_t[[#This Row],[Sewing Kit]],0)</f>
        <v>0</v>
      </c>
      <c r="AL596" s="901">
        <f>IF(NFI_Expiration=1,IF($A596&lt;VLOOKUP(V$5,NFI,5,0),1,0)*Data_NFI_t[[#This Row],[Solar Lantern]],0)</f>
        <v>0</v>
      </c>
      <c r="AM596" s="131" t="str">
        <f ca="1">IFERROR(OFFSET(Camp_List[P_Code],MATCH(Data_NFI_t[[#This Row],[Camp Name]],Camp_List[Camp Name],0)-1,0,1,1),"")</f>
        <v/>
      </c>
      <c r="AN596" s="513" t="str">
        <f ca="1">IFERROR(OFFSET(Camp_List[Status],MATCH(Data_NFI_t[[#This Row],[Camp Name]],Camp_List[Camp Name],0)-1,0,1,1),"")</f>
        <v/>
      </c>
      <c r="AO596" s="131"/>
    </row>
    <row r="597" spans="1:41" s="789" customFormat="1" ht="19.5" customHeight="1" x14ac:dyDescent="0.25">
      <c r="A597" s="242" t="str">
        <f t="shared" si="13"/>
        <v/>
      </c>
      <c r="B597" s="522">
        <f>YEAR(Data_NFI_t[[#This Row],[Distribution Date]])</f>
        <v>1900</v>
      </c>
      <c r="C597" s="913"/>
      <c r="D597" s="489"/>
      <c r="E597" s="488"/>
      <c r="F597" s="489"/>
      <c r="G597" s="790"/>
      <c r="H597" s="790"/>
      <c r="I597" s="790"/>
      <c r="J597" s="51"/>
      <c r="K597" s="51"/>
      <c r="L597" s="119"/>
      <c r="M597" s="119"/>
      <c r="N597" s="119"/>
      <c r="O597" s="119"/>
      <c r="P597" s="119"/>
      <c r="Q597" s="119"/>
      <c r="R597" s="512"/>
      <c r="S597" s="119"/>
      <c r="T597" s="119"/>
      <c r="U597" s="119"/>
      <c r="V597" s="119"/>
      <c r="W597" s="119"/>
      <c r="X597" s="131">
        <f>IF(NFI_Expiration=1,IF($A597&lt;VLOOKUP(I$5,NFI,5,0),1,0)*Data_NFI_t[[#This Row],[Hygiene Kit]],0)</f>
        <v>0</v>
      </c>
      <c r="Y597" s="131">
        <f>IF(NFI_Expiration=1,IF($A597&lt;VLOOKUP(J$5,NFI,5,0),1,0)*Data_NFI_t[[#This Row],[NFI Core Kit]],0)</f>
        <v>0</v>
      </c>
      <c r="Z597" s="112">
        <f>IF(NFI_Expiration=1,IF($A597&lt;VLOOKUP(K$5,NFI,5,0),1,0)*Data_NFI_t[[#This Row],[Sanitary Kit]],0)</f>
        <v>0</v>
      </c>
      <c r="AA597" s="112">
        <f>IF(NFI_Expiration=1,IF($A597&lt;VLOOKUP(L$5,NFI,5,0),1,0)*Data_NFI_t[[#This Row],[Mosquito net]],0)</f>
        <v>0</v>
      </c>
      <c r="AB597" s="112">
        <f>IF(NFI_Expiration=1,IF($A597&lt;VLOOKUP(M$5,NFI,5,0),1,0)*Data_NFI_t[[#This Row],[Tarpaulin]],0)</f>
        <v>0</v>
      </c>
      <c r="AC597" s="112">
        <f>IF(NFI_Expiration=1,IF($A597&lt;VLOOKUP(N$5,NFI,5,0),1,0)*Data_NFI_t[[#This Row],[Blanket]],0)</f>
        <v>0</v>
      </c>
      <c r="AD597" s="112">
        <f>IF(NFI_Expiration=1,IF($A597&lt;VLOOKUP(O$5,NFI,5,0),1,0)*Data_NFI_t[[#This Row],[Kitchen Set]],0)</f>
        <v>0</v>
      </c>
      <c r="AE597" s="112">
        <f>IF(NFI_Expiration=1,IF($A597&lt;VLOOKUP(P$5,NFI,5,0),1,0)*Data_NFI_t[[#This Row],[Complementary Kit]],0)</f>
        <v>0</v>
      </c>
      <c r="AF597" s="112">
        <f>IF(NFI_Expiration=1,IF($A597&lt;VLOOKUP(Q$5,NFI,5,0),1,0)*Data_NFI_t[[#This Row],[Plastic Bucket]],0)</f>
        <v>0</v>
      </c>
      <c r="AG597" s="131">
        <f>IF(NFI_Expiration=1,IF($A597&lt;VLOOKUP(R$5,NFI,5,0),1,0)*Data_NFI_t[[#This Row],[Jerry Can]],0)</f>
        <v>0</v>
      </c>
      <c r="AH597" s="131">
        <f>IF(NFI_Expiration=1,IF($A597&lt;VLOOKUP(S$5,NFI,5,0),1,0)*Data_NFI_t[[#This Row],[Plastic Mat]],0)*IF(Data_NFI_t[[#This Row],[Distribution Date]]&gt;"01-06-2015",1,2.5)</f>
        <v>0</v>
      </c>
      <c r="AI597" s="901">
        <f>IF(NFI_Expiration=1,IF($A597&lt;VLOOKUP(T$5,NFI,5,0),1,0)*Data_NFI_t[[#This Row],[Adult Clothes]],0)</f>
        <v>0</v>
      </c>
      <c r="AJ597" s="131">
        <f>IF(NFI_Expiration=1,IF($A597&lt;VLOOKUP(U$5,NFI,5,0),1,0)*Data_NFI_t[[#This Row],[Children Clothes]],0)</f>
        <v>0</v>
      </c>
      <c r="AK597" s="131">
        <f>IF(NFI_Expiration=1,IF($A597&lt;VLOOKUP(V$5,NFI,5,0),1,0)*Data_NFI_t[[#This Row],[Sewing Kit]],0)</f>
        <v>0</v>
      </c>
      <c r="AL597" s="901">
        <f>IF(NFI_Expiration=1,IF($A597&lt;VLOOKUP(V$5,NFI,5,0),1,0)*Data_NFI_t[[#This Row],[Solar Lantern]],0)</f>
        <v>0</v>
      </c>
      <c r="AM597" s="131" t="str">
        <f ca="1">IFERROR(OFFSET(Camp_List[P_Code],MATCH(Data_NFI_t[[#This Row],[Camp Name]],Camp_List[Camp Name],0)-1,0,1,1),"")</f>
        <v/>
      </c>
      <c r="AN597" s="513" t="str">
        <f ca="1">IFERROR(OFFSET(Camp_List[Status],MATCH(Data_NFI_t[[#This Row],[Camp Name]],Camp_List[Camp Name],0)-1,0,1,1),"")</f>
        <v/>
      </c>
      <c r="AO597" s="131"/>
    </row>
    <row r="598" spans="1:41" s="789" customFormat="1" ht="19.5" customHeight="1" x14ac:dyDescent="0.25">
      <c r="A598" s="242" t="str">
        <f t="shared" si="13"/>
        <v/>
      </c>
      <c r="B598" s="522">
        <f>YEAR(Data_NFI_t[[#This Row],[Distribution Date]])</f>
        <v>1900</v>
      </c>
      <c r="C598" s="913"/>
      <c r="D598" s="489"/>
      <c r="E598" s="488"/>
      <c r="F598" s="489"/>
      <c r="G598" s="790"/>
      <c r="H598" s="790"/>
      <c r="I598" s="790"/>
      <c r="J598" s="51"/>
      <c r="K598" s="51"/>
      <c r="L598" s="119"/>
      <c r="M598" s="119"/>
      <c r="N598" s="119"/>
      <c r="O598" s="119"/>
      <c r="P598" s="119"/>
      <c r="Q598" s="119"/>
      <c r="R598" s="512"/>
      <c r="S598" s="119"/>
      <c r="T598" s="119"/>
      <c r="U598" s="119"/>
      <c r="V598" s="119"/>
      <c r="W598" s="119"/>
      <c r="X598" s="131">
        <f>IF(NFI_Expiration=1,IF($A598&lt;VLOOKUP(I$5,NFI,5,0),1,0)*Data_NFI_t[[#This Row],[Hygiene Kit]],0)</f>
        <v>0</v>
      </c>
      <c r="Y598" s="131">
        <f>IF(NFI_Expiration=1,IF($A598&lt;VLOOKUP(J$5,NFI,5,0),1,0)*Data_NFI_t[[#This Row],[NFI Core Kit]],0)</f>
        <v>0</v>
      </c>
      <c r="Z598" s="112">
        <f>IF(NFI_Expiration=1,IF($A598&lt;VLOOKUP(K$5,NFI,5,0),1,0)*Data_NFI_t[[#This Row],[Sanitary Kit]],0)</f>
        <v>0</v>
      </c>
      <c r="AA598" s="112">
        <f>IF(NFI_Expiration=1,IF($A598&lt;VLOOKUP(L$5,NFI,5,0),1,0)*Data_NFI_t[[#This Row],[Mosquito net]],0)</f>
        <v>0</v>
      </c>
      <c r="AB598" s="112">
        <f>IF(NFI_Expiration=1,IF($A598&lt;VLOOKUP(M$5,NFI,5,0),1,0)*Data_NFI_t[[#This Row],[Tarpaulin]],0)</f>
        <v>0</v>
      </c>
      <c r="AC598" s="112">
        <f>IF(NFI_Expiration=1,IF($A598&lt;VLOOKUP(N$5,NFI,5,0),1,0)*Data_NFI_t[[#This Row],[Blanket]],0)</f>
        <v>0</v>
      </c>
      <c r="AD598" s="112">
        <f>IF(NFI_Expiration=1,IF($A598&lt;VLOOKUP(O$5,NFI,5,0),1,0)*Data_NFI_t[[#This Row],[Kitchen Set]],0)</f>
        <v>0</v>
      </c>
      <c r="AE598" s="112">
        <f>IF(NFI_Expiration=1,IF($A598&lt;VLOOKUP(P$5,NFI,5,0),1,0)*Data_NFI_t[[#This Row],[Complementary Kit]],0)</f>
        <v>0</v>
      </c>
      <c r="AF598" s="112">
        <f>IF(NFI_Expiration=1,IF($A598&lt;VLOOKUP(Q$5,NFI,5,0),1,0)*Data_NFI_t[[#This Row],[Plastic Bucket]],0)</f>
        <v>0</v>
      </c>
      <c r="AG598" s="131">
        <f>IF(NFI_Expiration=1,IF($A598&lt;VLOOKUP(R$5,NFI,5,0),1,0)*Data_NFI_t[[#This Row],[Jerry Can]],0)</f>
        <v>0</v>
      </c>
      <c r="AH598" s="131">
        <f>IF(NFI_Expiration=1,IF($A598&lt;VLOOKUP(S$5,NFI,5,0),1,0)*Data_NFI_t[[#This Row],[Plastic Mat]],0)*IF(Data_NFI_t[[#This Row],[Distribution Date]]&gt;"01-06-2015",1,2.5)</f>
        <v>0</v>
      </c>
      <c r="AI598" s="901">
        <f>IF(NFI_Expiration=1,IF($A598&lt;VLOOKUP(T$5,NFI,5,0),1,0)*Data_NFI_t[[#This Row],[Adult Clothes]],0)</f>
        <v>0</v>
      </c>
      <c r="AJ598" s="131">
        <f>IF(NFI_Expiration=1,IF($A598&lt;VLOOKUP(U$5,NFI,5,0),1,0)*Data_NFI_t[[#This Row],[Children Clothes]],0)</f>
        <v>0</v>
      </c>
      <c r="AK598" s="131">
        <f>IF(NFI_Expiration=1,IF($A598&lt;VLOOKUP(V$5,NFI,5,0),1,0)*Data_NFI_t[[#This Row],[Sewing Kit]],0)</f>
        <v>0</v>
      </c>
      <c r="AL598" s="901">
        <f>IF(NFI_Expiration=1,IF($A598&lt;VLOOKUP(V$5,NFI,5,0),1,0)*Data_NFI_t[[#This Row],[Solar Lantern]],0)</f>
        <v>0</v>
      </c>
      <c r="AM598" s="131" t="str">
        <f ca="1">IFERROR(OFFSET(Camp_List[P_Code],MATCH(Data_NFI_t[[#This Row],[Camp Name]],Camp_List[Camp Name],0)-1,0,1,1),"")</f>
        <v/>
      </c>
      <c r="AN598" s="513" t="str">
        <f ca="1">IFERROR(OFFSET(Camp_List[Status],MATCH(Data_NFI_t[[#This Row],[Camp Name]],Camp_List[Camp Name],0)-1,0,1,1),"")</f>
        <v/>
      </c>
      <c r="AO598" s="131"/>
    </row>
    <row r="599" spans="1:41" s="789" customFormat="1" ht="19.5" customHeight="1" x14ac:dyDescent="0.25">
      <c r="A599" s="242" t="str">
        <f t="shared" si="13"/>
        <v/>
      </c>
      <c r="B599" s="522">
        <f>YEAR(Data_NFI_t[[#This Row],[Distribution Date]])</f>
        <v>1900</v>
      </c>
      <c r="C599" s="913"/>
      <c r="D599" s="489"/>
      <c r="E599" s="488"/>
      <c r="F599" s="489"/>
      <c r="G599" s="790"/>
      <c r="H599" s="790"/>
      <c r="I599" s="790"/>
      <c r="J599" s="51"/>
      <c r="K599" s="51"/>
      <c r="L599" s="119"/>
      <c r="M599" s="119"/>
      <c r="N599" s="119"/>
      <c r="O599" s="119"/>
      <c r="P599" s="119"/>
      <c r="Q599" s="119"/>
      <c r="R599" s="512"/>
      <c r="S599" s="119"/>
      <c r="T599" s="119"/>
      <c r="U599" s="119"/>
      <c r="V599" s="119"/>
      <c r="W599" s="119"/>
      <c r="X599" s="131">
        <f>IF(NFI_Expiration=1,IF($A599&lt;VLOOKUP(I$5,NFI,5,0),1,0)*Data_NFI_t[[#This Row],[Hygiene Kit]],0)</f>
        <v>0</v>
      </c>
      <c r="Y599" s="131">
        <f>IF(NFI_Expiration=1,IF($A599&lt;VLOOKUP(J$5,NFI,5,0),1,0)*Data_NFI_t[[#This Row],[NFI Core Kit]],0)</f>
        <v>0</v>
      </c>
      <c r="Z599" s="112">
        <f>IF(NFI_Expiration=1,IF($A599&lt;VLOOKUP(K$5,NFI,5,0),1,0)*Data_NFI_t[[#This Row],[Sanitary Kit]],0)</f>
        <v>0</v>
      </c>
      <c r="AA599" s="112">
        <f>IF(NFI_Expiration=1,IF($A599&lt;VLOOKUP(L$5,NFI,5,0),1,0)*Data_NFI_t[[#This Row],[Mosquito net]],0)</f>
        <v>0</v>
      </c>
      <c r="AB599" s="112">
        <f>IF(NFI_Expiration=1,IF($A599&lt;VLOOKUP(M$5,NFI,5,0),1,0)*Data_NFI_t[[#This Row],[Tarpaulin]],0)</f>
        <v>0</v>
      </c>
      <c r="AC599" s="112">
        <f>IF(NFI_Expiration=1,IF($A599&lt;VLOOKUP(N$5,NFI,5,0),1,0)*Data_NFI_t[[#This Row],[Blanket]],0)</f>
        <v>0</v>
      </c>
      <c r="AD599" s="112">
        <f>IF(NFI_Expiration=1,IF($A599&lt;VLOOKUP(O$5,NFI,5,0),1,0)*Data_NFI_t[[#This Row],[Kitchen Set]],0)</f>
        <v>0</v>
      </c>
      <c r="AE599" s="112">
        <f>IF(NFI_Expiration=1,IF($A599&lt;VLOOKUP(P$5,NFI,5,0),1,0)*Data_NFI_t[[#This Row],[Complementary Kit]],0)</f>
        <v>0</v>
      </c>
      <c r="AF599" s="112">
        <f>IF(NFI_Expiration=1,IF($A599&lt;VLOOKUP(Q$5,NFI,5,0),1,0)*Data_NFI_t[[#This Row],[Plastic Bucket]],0)</f>
        <v>0</v>
      </c>
      <c r="AG599" s="131">
        <f>IF(NFI_Expiration=1,IF($A599&lt;VLOOKUP(R$5,NFI,5,0),1,0)*Data_NFI_t[[#This Row],[Jerry Can]],0)</f>
        <v>0</v>
      </c>
      <c r="AH599" s="131">
        <f>IF(NFI_Expiration=1,IF($A599&lt;VLOOKUP(S$5,NFI,5,0),1,0)*Data_NFI_t[[#This Row],[Plastic Mat]],0)*IF(Data_NFI_t[[#This Row],[Distribution Date]]&gt;"01-06-2015",1,2.5)</f>
        <v>0</v>
      </c>
      <c r="AI599" s="901">
        <f>IF(NFI_Expiration=1,IF($A599&lt;VLOOKUP(T$5,NFI,5,0),1,0)*Data_NFI_t[[#This Row],[Adult Clothes]],0)</f>
        <v>0</v>
      </c>
      <c r="AJ599" s="131">
        <f>IF(NFI_Expiration=1,IF($A599&lt;VLOOKUP(U$5,NFI,5,0),1,0)*Data_NFI_t[[#This Row],[Children Clothes]],0)</f>
        <v>0</v>
      </c>
      <c r="AK599" s="131">
        <f>IF(NFI_Expiration=1,IF($A599&lt;VLOOKUP(V$5,NFI,5,0),1,0)*Data_NFI_t[[#This Row],[Sewing Kit]],0)</f>
        <v>0</v>
      </c>
      <c r="AL599" s="901">
        <f>IF(NFI_Expiration=1,IF($A599&lt;VLOOKUP(V$5,NFI,5,0),1,0)*Data_NFI_t[[#This Row],[Solar Lantern]],0)</f>
        <v>0</v>
      </c>
      <c r="AM599" s="131" t="str">
        <f ca="1">IFERROR(OFFSET(Camp_List[P_Code],MATCH(Data_NFI_t[[#This Row],[Camp Name]],Camp_List[Camp Name],0)-1,0,1,1),"")</f>
        <v/>
      </c>
      <c r="AN599" s="513" t="str">
        <f ca="1">IFERROR(OFFSET(Camp_List[Status],MATCH(Data_NFI_t[[#This Row],[Camp Name]],Camp_List[Camp Name],0)-1,0,1,1),"")</f>
        <v/>
      </c>
      <c r="AO599" s="131"/>
    </row>
    <row r="600" spans="1:41" s="789" customFormat="1" ht="19.5" customHeight="1" x14ac:dyDescent="0.25">
      <c r="A600" s="242" t="str">
        <f t="shared" si="13"/>
        <v/>
      </c>
      <c r="B600" s="522">
        <f>YEAR(Data_NFI_t[[#This Row],[Distribution Date]])</f>
        <v>1900</v>
      </c>
      <c r="C600" s="913"/>
      <c r="D600" s="489"/>
      <c r="E600" s="488"/>
      <c r="F600" s="489"/>
      <c r="G600" s="790"/>
      <c r="H600" s="790"/>
      <c r="I600" s="790"/>
      <c r="J600" s="51"/>
      <c r="K600" s="51"/>
      <c r="L600" s="119"/>
      <c r="M600" s="119"/>
      <c r="N600" s="119"/>
      <c r="O600" s="119"/>
      <c r="P600" s="119"/>
      <c r="Q600" s="119"/>
      <c r="R600" s="512"/>
      <c r="S600" s="119"/>
      <c r="T600" s="119"/>
      <c r="U600" s="119"/>
      <c r="V600" s="119"/>
      <c r="W600" s="119"/>
      <c r="X600" s="131">
        <f>IF(NFI_Expiration=1,IF($A600&lt;VLOOKUP(I$5,NFI,5,0),1,0)*Data_NFI_t[[#This Row],[Hygiene Kit]],0)</f>
        <v>0</v>
      </c>
      <c r="Y600" s="131">
        <f>IF(NFI_Expiration=1,IF($A600&lt;VLOOKUP(J$5,NFI,5,0),1,0)*Data_NFI_t[[#This Row],[NFI Core Kit]],0)</f>
        <v>0</v>
      </c>
      <c r="Z600" s="112">
        <f>IF(NFI_Expiration=1,IF($A600&lt;VLOOKUP(K$5,NFI,5,0),1,0)*Data_NFI_t[[#This Row],[Sanitary Kit]],0)</f>
        <v>0</v>
      </c>
      <c r="AA600" s="112">
        <f>IF(NFI_Expiration=1,IF($A600&lt;VLOOKUP(L$5,NFI,5,0),1,0)*Data_NFI_t[[#This Row],[Mosquito net]],0)</f>
        <v>0</v>
      </c>
      <c r="AB600" s="112">
        <f>IF(NFI_Expiration=1,IF($A600&lt;VLOOKUP(M$5,NFI,5,0),1,0)*Data_NFI_t[[#This Row],[Tarpaulin]],0)</f>
        <v>0</v>
      </c>
      <c r="AC600" s="112">
        <f>IF(NFI_Expiration=1,IF($A600&lt;VLOOKUP(N$5,NFI,5,0),1,0)*Data_NFI_t[[#This Row],[Blanket]],0)</f>
        <v>0</v>
      </c>
      <c r="AD600" s="112">
        <f>IF(NFI_Expiration=1,IF($A600&lt;VLOOKUP(O$5,NFI,5,0),1,0)*Data_NFI_t[[#This Row],[Kitchen Set]],0)</f>
        <v>0</v>
      </c>
      <c r="AE600" s="112">
        <f>IF(NFI_Expiration=1,IF($A600&lt;VLOOKUP(P$5,NFI,5,0),1,0)*Data_NFI_t[[#This Row],[Complementary Kit]],0)</f>
        <v>0</v>
      </c>
      <c r="AF600" s="112">
        <f>IF(NFI_Expiration=1,IF($A600&lt;VLOOKUP(Q$5,NFI,5,0),1,0)*Data_NFI_t[[#This Row],[Plastic Bucket]],0)</f>
        <v>0</v>
      </c>
      <c r="AG600" s="131">
        <f>IF(NFI_Expiration=1,IF($A600&lt;VLOOKUP(R$5,NFI,5,0),1,0)*Data_NFI_t[[#This Row],[Jerry Can]],0)</f>
        <v>0</v>
      </c>
      <c r="AH600" s="131">
        <f>IF(NFI_Expiration=1,IF($A600&lt;VLOOKUP(S$5,NFI,5,0),1,0)*Data_NFI_t[[#This Row],[Plastic Mat]],0)*IF(Data_NFI_t[[#This Row],[Distribution Date]]&gt;"01-06-2015",1,2.5)</f>
        <v>0</v>
      </c>
      <c r="AI600" s="901">
        <f>IF(NFI_Expiration=1,IF($A600&lt;VLOOKUP(T$5,NFI,5,0),1,0)*Data_NFI_t[[#This Row],[Adult Clothes]],0)</f>
        <v>0</v>
      </c>
      <c r="AJ600" s="131">
        <f>IF(NFI_Expiration=1,IF($A600&lt;VLOOKUP(U$5,NFI,5,0),1,0)*Data_NFI_t[[#This Row],[Children Clothes]],0)</f>
        <v>0</v>
      </c>
      <c r="AK600" s="131">
        <f>IF(NFI_Expiration=1,IF($A600&lt;VLOOKUP(V$5,NFI,5,0),1,0)*Data_NFI_t[[#This Row],[Sewing Kit]],0)</f>
        <v>0</v>
      </c>
      <c r="AL600" s="901">
        <f>IF(NFI_Expiration=1,IF($A600&lt;VLOOKUP(V$5,NFI,5,0),1,0)*Data_NFI_t[[#This Row],[Solar Lantern]],0)</f>
        <v>0</v>
      </c>
      <c r="AM600" s="131" t="str">
        <f ca="1">IFERROR(OFFSET(Camp_List[P_Code],MATCH(Data_NFI_t[[#This Row],[Camp Name]],Camp_List[Camp Name],0)-1,0,1,1),"")</f>
        <v/>
      </c>
      <c r="AN600" s="513" t="str">
        <f ca="1">IFERROR(OFFSET(Camp_List[Status],MATCH(Data_NFI_t[[#This Row],[Camp Name]],Camp_List[Camp Name],0)-1,0,1,1),"")</f>
        <v/>
      </c>
      <c r="AO600" s="131"/>
    </row>
    <row r="601" spans="1:41" s="789" customFormat="1" ht="19.5" customHeight="1" x14ac:dyDescent="0.25">
      <c r="A601" s="242" t="str">
        <f t="shared" si="13"/>
        <v/>
      </c>
      <c r="B601" s="522">
        <f>YEAR(Data_NFI_t[[#This Row],[Distribution Date]])</f>
        <v>1900</v>
      </c>
      <c r="C601" s="913"/>
      <c r="D601" s="489"/>
      <c r="E601" s="488"/>
      <c r="F601" s="489"/>
      <c r="G601" s="790"/>
      <c r="H601" s="790"/>
      <c r="I601" s="790"/>
      <c r="J601" s="51"/>
      <c r="K601" s="51"/>
      <c r="L601" s="119"/>
      <c r="M601" s="119"/>
      <c r="N601" s="119"/>
      <c r="O601" s="119"/>
      <c r="P601" s="119"/>
      <c r="Q601" s="119"/>
      <c r="R601" s="512"/>
      <c r="S601" s="119"/>
      <c r="T601" s="119"/>
      <c r="U601" s="119"/>
      <c r="V601" s="119"/>
      <c r="W601" s="119"/>
      <c r="X601" s="131">
        <f>IF(NFI_Expiration=1,IF($A601&lt;VLOOKUP(I$5,NFI,5,0),1,0)*Data_NFI_t[[#This Row],[Hygiene Kit]],0)</f>
        <v>0</v>
      </c>
      <c r="Y601" s="131">
        <f>IF(NFI_Expiration=1,IF($A601&lt;VLOOKUP(J$5,NFI,5,0),1,0)*Data_NFI_t[[#This Row],[NFI Core Kit]],0)</f>
        <v>0</v>
      </c>
      <c r="Z601" s="112">
        <f>IF(NFI_Expiration=1,IF($A601&lt;VLOOKUP(K$5,NFI,5,0),1,0)*Data_NFI_t[[#This Row],[Sanitary Kit]],0)</f>
        <v>0</v>
      </c>
      <c r="AA601" s="112">
        <f>IF(NFI_Expiration=1,IF($A601&lt;VLOOKUP(L$5,NFI,5,0),1,0)*Data_NFI_t[[#This Row],[Mosquito net]],0)</f>
        <v>0</v>
      </c>
      <c r="AB601" s="112">
        <f>IF(NFI_Expiration=1,IF($A601&lt;VLOOKUP(M$5,NFI,5,0),1,0)*Data_NFI_t[[#This Row],[Tarpaulin]],0)</f>
        <v>0</v>
      </c>
      <c r="AC601" s="112">
        <f>IF(NFI_Expiration=1,IF($A601&lt;VLOOKUP(N$5,NFI,5,0),1,0)*Data_NFI_t[[#This Row],[Blanket]],0)</f>
        <v>0</v>
      </c>
      <c r="AD601" s="112">
        <f>IF(NFI_Expiration=1,IF($A601&lt;VLOOKUP(O$5,NFI,5,0),1,0)*Data_NFI_t[[#This Row],[Kitchen Set]],0)</f>
        <v>0</v>
      </c>
      <c r="AE601" s="112">
        <f>IF(NFI_Expiration=1,IF($A601&lt;VLOOKUP(P$5,NFI,5,0),1,0)*Data_NFI_t[[#This Row],[Complementary Kit]],0)</f>
        <v>0</v>
      </c>
      <c r="AF601" s="112">
        <f>IF(NFI_Expiration=1,IF($A601&lt;VLOOKUP(Q$5,NFI,5,0),1,0)*Data_NFI_t[[#This Row],[Plastic Bucket]],0)</f>
        <v>0</v>
      </c>
      <c r="AG601" s="131">
        <f>IF(NFI_Expiration=1,IF($A601&lt;VLOOKUP(R$5,NFI,5,0),1,0)*Data_NFI_t[[#This Row],[Jerry Can]],0)</f>
        <v>0</v>
      </c>
      <c r="AH601" s="131">
        <f>IF(NFI_Expiration=1,IF($A601&lt;VLOOKUP(S$5,NFI,5,0),1,0)*Data_NFI_t[[#This Row],[Plastic Mat]],0)*IF(Data_NFI_t[[#This Row],[Distribution Date]]&gt;"01-06-2015",1,2.5)</f>
        <v>0</v>
      </c>
      <c r="AI601" s="901">
        <f>IF(NFI_Expiration=1,IF($A601&lt;VLOOKUP(T$5,NFI,5,0),1,0)*Data_NFI_t[[#This Row],[Adult Clothes]],0)</f>
        <v>0</v>
      </c>
      <c r="AJ601" s="131">
        <f>IF(NFI_Expiration=1,IF($A601&lt;VLOOKUP(U$5,NFI,5,0),1,0)*Data_NFI_t[[#This Row],[Children Clothes]],0)</f>
        <v>0</v>
      </c>
      <c r="AK601" s="131">
        <f>IF(NFI_Expiration=1,IF($A601&lt;VLOOKUP(V$5,NFI,5,0),1,0)*Data_NFI_t[[#This Row],[Sewing Kit]],0)</f>
        <v>0</v>
      </c>
      <c r="AL601" s="901">
        <f>IF(NFI_Expiration=1,IF($A601&lt;VLOOKUP(V$5,NFI,5,0),1,0)*Data_NFI_t[[#This Row],[Solar Lantern]],0)</f>
        <v>0</v>
      </c>
      <c r="AM601" s="131" t="str">
        <f ca="1">IFERROR(OFFSET(Camp_List[P_Code],MATCH(Data_NFI_t[[#This Row],[Camp Name]],Camp_List[Camp Name],0)-1,0,1,1),"")</f>
        <v/>
      </c>
      <c r="AN601" s="513" t="str">
        <f ca="1">IFERROR(OFFSET(Camp_List[Status],MATCH(Data_NFI_t[[#This Row],[Camp Name]],Camp_List[Camp Name],0)-1,0,1,1),"")</f>
        <v/>
      </c>
      <c r="AO601" s="131"/>
    </row>
    <row r="602" spans="1:41" s="789" customFormat="1" ht="19.5" customHeight="1" x14ac:dyDescent="0.25">
      <c r="A602" s="242" t="str">
        <f t="shared" si="13"/>
        <v/>
      </c>
      <c r="B602" s="522">
        <f>YEAR(Data_NFI_t[[#This Row],[Distribution Date]])</f>
        <v>1900</v>
      </c>
      <c r="C602" s="913"/>
      <c r="D602" s="489"/>
      <c r="E602" s="488"/>
      <c r="F602" s="489"/>
      <c r="G602" s="790"/>
      <c r="H602" s="790"/>
      <c r="I602" s="790"/>
      <c r="J602" s="51"/>
      <c r="K602" s="51"/>
      <c r="L602" s="119"/>
      <c r="M602" s="119"/>
      <c r="N602" s="119"/>
      <c r="O602" s="119"/>
      <c r="P602" s="119"/>
      <c r="Q602" s="119"/>
      <c r="R602" s="512"/>
      <c r="S602" s="119"/>
      <c r="T602" s="119"/>
      <c r="U602" s="119"/>
      <c r="V602" s="119"/>
      <c r="W602" s="119"/>
      <c r="X602" s="131">
        <f>IF(NFI_Expiration=1,IF($A602&lt;VLOOKUP(I$5,NFI,5,0),1,0)*Data_NFI_t[[#This Row],[Hygiene Kit]],0)</f>
        <v>0</v>
      </c>
      <c r="Y602" s="131">
        <f>IF(NFI_Expiration=1,IF($A602&lt;VLOOKUP(J$5,NFI,5,0),1,0)*Data_NFI_t[[#This Row],[NFI Core Kit]],0)</f>
        <v>0</v>
      </c>
      <c r="Z602" s="112">
        <f>IF(NFI_Expiration=1,IF($A602&lt;VLOOKUP(K$5,NFI,5,0),1,0)*Data_NFI_t[[#This Row],[Sanitary Kit]],0)</f>
        <v>0</v>
      </c>
      <c r="AA602" s="112">
        <f>IF(NFI_Expiration=1,IF($A602&lt;VLOOKUP(L$5,NFI,5,0),1,0)*Data_NFI_t[[#This Row],[Mosquito net]],0)</f>
        <v>0</v>
      </c>
      <c r="AB602" s="112">
        <f>IF(NFI_Expiration=1,IF($A602&lt;VLOOKUP(M$5,NFI,5,0),1,0)*Data_NFI_t[[#This Row],[Tarpaulin]],0)</f>
        <v>0</v>
      </c>
      <c r="AC602" s="112">
        <f>IF(NFI_Expiration=1,IF($A602&lt;VLOOKUP(N$5,NFI,5,0),1,0)*Data_NFI_t[[#This Row],[Blanket]],0)</f>
        <v>0</v>
      </c>
      <c r="AD602" s="112">
        <f>IF(NFI_Expiration=1,IF($A602&lt;VLOOKUP(O$5,NFI,5,0),1,0)*Data_NFI_t[[#This Row],[Kitchen Set]],0)</f>
        <v>0</v>
      </c>
      <c r="AE602" s="112">
        <f>IF(NFI_Expiration=1,IF($A602&lt;VLOOKUP(P$5,NFI,5,0),1,0)*Data_NFI_t[[#This Row],[Complementary Kit]],0)</f>
        <v>0</v>
      </c>
      <c r="AF602" s="112">
        <f>IF(NFI_Expiration=1,IF($A602&lt;VLOOKUP(Q$5,NFI,5,0),1,0)*Data_NFI_t[[#This Row],[Plastic Bucket]],0)</f>
        <v>0</v>
      </c>
      <c r="AG602" s="131">
        <f>IF(NFI_Expiration=1,IF($A602&lt;VLOOKUP(R$5,NFI,5,0),1,0)*Data_NFI_t[[#This Row],[Jerry Can]],0)</f>
        <v>0</v>
      </c>
      <c r="AH602" s="131">
        <f>IF(NFI_Expiration=1,IF($A602&lt;VLOOKUP(S$5,NFI,5,0),1,0)*Data_NFI_t[[#This Row],[Plastic Mat]],0)*IF(Data_NFI_t[[#This Row],[Distribution Date]]&gt;"01-06-2015",1,2.5)</f>
        <v>0</v>
      </c>
      <c r="AI602" s="901">
        <f>IF(NFI_Expiration=1,IF($A602&lt;VLOOKUP(T$5,NFI,5,0),1,0)*Data_NFI_t[[#This Row],[Adult Clothes]],0)</f>
        <v>0</v>
      </c>
      <c r="AJ602" s="131">
        <f>IF(NFI_Expiration=1,IF($A602&lt;VLOOKUP(U$5,NFI,5,0),1,0)*Data_NFI_t[[#This Row],[Children Clothes]],0)</f>
        <v>0</v>
      </c>
      <c r="AK602" s="131">
        <f>IF(NFI_Expiration=1,IF($A602&lt;VLOOKUP(V$5,NFI,5,0),1,0)*Data_NFI_t[[#This Row],[Sewing Kit]],0)</f>
        <v>0</v>
      </c>
      <c r="AL602" s="901">
        <f>IF(NFI_Expiration=1,IF($A602&lt;VLOOKUP(V$5,NFI,5,0),1,0)*Data_NFI_t[[#This Row],[Solar Lantern]],0)</f>
        <v>0</v>
      </c>
      <c r="AM602" s="131" t="str">
        <f ca="1">IFERROR(OFFSET(Camp_List[P_Code],MATCH(Data_NFI_t[[#This Row],[Camp Name]],Camp_List[Camp Name],0)-1,0,1,1),"")</f>
        <v/>
      </c>
      <c r="AN602" s="513" t="str">
        <f ca="1">IFERROR(OFFSET(Camp_List[Status],MATCH(Data_NFI_t[[#This Row],[Camp Name]],Camp_List[Camp Name],0)-1,0,1,1),"")</f>
        <v/>
      </c>
      <c r="AO602" s="131"/>
    </row>
    <row r="603" spans="1:41" s="789" customFormat="1" ht="19.5" customHeight="1" x14ac:dyDescent="0.25">
      <c r="A603" s="242" t="str">
        <f t="shared" si="13"/>
        <v/>
      </c>
      <c r="B603" s="522">
        <f>YEAR(Data_NFI_t[[#This Row],[Distribution Date]])</f>
        <v>1900</v>
      </c>
      <c r="C603" s="913"/>
      <c r="D603" s="489"/>
      <c r="E603" s="488"/>
      <c r="F603" s="489"/>
      <c r="G603" s="790"/>
      <c r="H603" s="790"/>
      <c r="I603" s="790"/>
      <c r="J603" s="51"/>
      <c r="K603" s="51"/>
      <c r="L603" s="119"/>
      <c r="M603" s="119"/>
      <c r="N603" s="119"/>
      <c r="O603" s="119"/>
      <c r="P603" s="119"/>
      <c r="Q603" s="119"/>
      <c r="R603" s="512"/>
      <c r="S603" s="119"/>
      <c r="T603" s="119"/>
      <c r="U603" s="119"/>
      <c r="V603" s="119"/>
      <c r="W603" s="119"/>
      <c r="X603" s="131">
        <f>IF(NFI_Expiration=1,IF($A603&lt;VLOOKUP(I$5,NFI,5,0),1,0)*Data_NFI_t[[#This Row],[Hygiene Kit]],0)</f>
        <v>0</v>
      </c>
      <c r="Y603" s="131">
        <f>IF(NFI_Expiration=1,IF($A603&lt;VLOOKUP(J$5,NFI,5,0),1,0)*Data_NFI_t[[#This Row],[NFI Core Kit]],0)</f>
        <v>0</v>
      </c>
      <c r="Z603" s="112">
        <f>IF(NFI_Expiration=1,IF($A603&lt;VLOOKUP(K$5,NFI,5,0),1,0)*Data_NFI_t[[#This Row],[Sanitary Kit]],0)</f>
        <v>0</v>
      </c>
      <c r="AA603" s="112">
        <f>IF(NFI_Expiration=1,IF($A603&lt;VLOOKUP(L$5,NFI,5,0),1,0)*Data_NFI_t[[#This Row],[Mosquito net]],0)</f>
        <v>0</v>
      </c>
      <c r="AB603" s="112">
        <f>IF(NFI_Expiration=1,IF($A603&lt;VLOOKUP(M$5,NFI,5,0),1,0)*Data_NFI_t[[#This Row],[Tarpaulin]],0)</f>
        <v>0</v>
      </c>
      <c r="AC603" s="112">
        <f>IF(NFI_Expiration=1,IF($A603&lt;VLOOKUP(N$5,NFI,5,0),1,0)*Data_NFI_t[[#This Row],[Blanket]],0)</f>
        <v>0</v>
      </c>
      <c r="AD603" s="112">
        <f>IF(NFI_Expiration=1,IF($A603&lt;VLOOKUP(O$5,NFI,5,0),1,0)*Data_NFI_t[[#This Row],[Kitchen Set]],0)</f>
        <v>0</v>
      </c>
      <c r="AE603" s="112">
        <f>IF(NFI_Expiration=1,IF($A603&lt;VLOOKUP(P$5,NFI,5,0),1,0)*Data_NFI_t[[#This Row],[Complementary Kit]],0)</f>
        <v>0</v>
      </c>
      <c r="AF603" s="112">
        <f>IF(NFI_Expiration=1,IF($A603&lt;VLOOKUP(Q$5,NFI,5,0),1,0)*Data_NFI_t[[#This Row],[Plastic Bucket]],0)</f>
        <v>0</v>
      </c>
      <c r="AG603" s="131">
        <f>IF(NFI_Expiration=1,IF($A603&lt;VLOOKUP(R$5,NFI,5,0),1,0)*Data_NFI_t[[#This Row],[Jerry Can]],0)</f>
        <v>0</v>
      </c>
      <c r="AH603" s="131">
        <f>IF(NFI_Expiration=1,IF($A603&lt;VLOOKUP(S$5,NFI,5,0),1,0)*Data_NFI_t[[#This Row],[Plastic Mat]],0)*IF(Data_NFI_t[[#This Row],[Distribution Date]]&gt;"01-06-2015",1,2.5)</f>
        <v>0</v>
      </c>
      <c r="AI603" s="901">
        <f>IF(NFI_Expiration=1,IF($A603&lt;VLOOKUP(T$5,NFI,5,0),1,0)*Data_NFI_t[[#This Row],[Adult Clothes]],0)</f>
        <v>0</v>
      </c>
      <c r="AJ603" s="131">
        <f>IF(NFI_Expiration=1,IF($A603&lt;VLOOKUP(U$5,NFI,5,0),1,0)*Data_NFI_t[[#This Row],[Children Clothes]],0)</f>
        <v>0</v>
      </c>
      <c r="AK603" s="131">
        <f>IF(NFI_Expiration=1,IF($A603&lt;VLOOKUP(V$5,NFI,5,0),1,0)*Data_NFI_t[[#This Row],[Sewing Kit]],0)</f>
        <v>0</v>
      </c>
      <c r="AL603" s="901">
        <f>IF(NFI_Expiration=1,IF($A603&lt;VLOOKUP(V$5,NFI,5,0),1,0)*Data_NFI_t[[#This Row],[Solar Lantern]],0)</f>
        <v>0</v>
      </c>
      <c r="AM603" s="131" t="str">
        <f ca="1">IFERROR(OFFSET(Camp_List[P_Code],MATCH(Data_NFI_t[[#This Row],[Camp Name]],Camp_List[Camp Name],0)-1,0,1,1),"")</f>
        <v/>
      </c>
      <c r="AN603" s="513" t="str">
        <f ca="1">IFERROR(OFFSET(Camp_List[Status],MATCH(Data_NFI_t[[#This Row],[Camp Name]],Camp_List[Camp Name],0)-1,0,1,1),"")</f>
        <v/>
      </c>
      <c r="AO603" s="131"/>
    </row>
    <row r="604" spans="1:41" ht="19.5" customHeight="1" x14ac:dyDescent="0.25">
      <c r="A604" s="242" t="str">
        <f t="shared" si="13"/>
        <v/>
      </c>
      <c r="B604" s="912">
        <f>YEAR(Data_NFI_t[[#This Row],[Distribution Date]])</f>
        <v>1900</v>
      </c>
      <c r="C604" s="913"/>
      <c r="D604" s="489"/>
      <c r="E604" s="488"/>
      <c r="F604" s="489"/>
      <c r="G604" s="790"/>
      <c r="H604" s="790"/>
      <c r="I604" s="790"/>
      <c r="J604" s="51"/>
      <c r="K604" s="51"/>
      <c r="L604" s="787"/>
      <c r="M604" s="787"/>
      <c r="N604" s="787"/>
      <c r="O604" s="787"/>
      <c r="P604" s="787"/>
      <c r="Q604" s="787"/>
      <c r="R604" s="914"/>
      <c r="S604" s="787"/>
      <c r="T604" s="787"/>
      <c r="U604" s="787"/>
      <c r="V604" s="787"/>
      <c r="W604" s="787"/>
      <c r="X604" s="131">
        <f>IF(NFI_Expiration=1,IF($A604&lt;VLOOKUP(I$5,NFI,5,0),1,0)*Data_NFI_t[[#This Row],[Hygiene Kit]],0)</f>
        <v>0</v>
      </c>
      <c r="Y604" s="131">
        <f>IF(NFI_Expiration=1,IF($A604&lt;VLOOKUP(J$5,NFI,5,0),1,0)*Data_NFI_t[[#This Row],[NFI Core Kit]],0)</f>
        <v>0</v>
      </c>
      <c r="Z604" s="112">
        <f>IF(NFI_Expiration=1,IF($A604&lt;VLOOKUP(K$5,NFI,5,0),1,0)*Data_NFI_t[[#This Row],[Sanitary Kit]],0)</f>
        <v>0</v>
      </c>
      <c r="AA604" s="112">
        <f>IF(NFI_Expiration=1,IF($A604&lt;VLOOKUP(L$5,NFI,5,0),1,0)*Data_NFI_t[[#This Row],[Mosquito net]],0)</f>
        <v>0</v>
      </c>
      <c r="AB604" s="112">
        <f>IF(NFI_Expiration=1,IF($A604&lt;VLOOKUP(M$5,NFI,5,0),1,0)*Data_NFI_t[[#This Row],[Tarpaulin]],0)</f>
        <v>0</v>
      </c>
      <c r="AC604" s="112">
        <f>IF(NFI_Expiration=1,IF($A604&lt;VLOOKUP(N$5,NFI,5,0),1,0)*Data_NFI_t[[#This Row],[Blanket]],0)</f>
        <v>0</v>
      </c>
      <c r="AD604" s="112">
        <f>IF(NFI_Expiration=1,IF($A604&lt;VLOOKUP(O$5,NFI,5,0),1,0)*Data_NFI_t[[#This Row],[Kitchen Set]],0)</f>
        <v>0</v>
      </c>
      <c r="AE604" s="112">
        <f>IF(NFI_Expiration=1,IF($A604&lt;VLOOKUP(P$5,NFI,5,0),1,0)*Data_NFI_t[[#This Row],[Complementary Kit]],0)</f>
        <v>0</v>
      </c>
      <c r="AF604" s="112">
        <f>IF(NFI_Expiration=1,IF($A604&lt;VLOOKUP(Q$5,NFI,5,0),1,0)*Data_NFI_t[[#This Row],[Plastic Bucket]],0)</f>
        <v>0</v>
      </c>
      <c r="AG604" s="131">
        <f>IF(NFI_Expiration=1,IF($A604&lt;VLOOKUP(R$5,NFI,5,0),1,0)*Data_NFI_t[[#This Row],[Jerry Can]],0)</f>
        <v>0</v>
      </c>
      <c r="AH604" s="131">
        <f>IF(NFI_Expiration=1,IF($A604&lt;VLOOKUP(S$5,NFI,5,0),1,0)*Data_NFI_t[[#This Row],[Plastic Mat]],0)*IF(Data_NFI_t[[#This Row],[Distribution Date]]&gt;"01-06-2015",1,2.5)</f>
        <v>0</v>
      </c>
      <c r="AI604" s="901">
        <f>IF(NFI_Expiration=1,IF($A604&lt;VLOOKUP(T$5,NFI,5,0),1,0)*Data_NFI_t[[#This Row],[Adult Clothes]],0)</f>
        <v>0</v>
      </c>
      <c r="AJ604" s="131">
        <f>IF(NFI_Expiration=1,IF($A604&lt;VLOOKUP(U$5,NFI,5,0),1,0)*Data_NFI_t[[#This Row],[Children Clothes]],0)</f>
        <v>0</v>
      </c>
      <c r="AK604" s="131">
        <f>IF(NFI_Expiration=1,IF($A604&lt;VLOOKUP(V$5,NFI,5,0),1,0)*Data_NFI_t[[#This Row],[Sewing Kit]],0)</f>
        <v>0</v>
      </c>
      <c r="AL604" s="901">
        <f>IF(NFI_Expiration=1,IF($A604&lt;VLOOKUP(V$5,NFI,5,0),1,0)*Data_NFI_t[[#This Row],[Solar Lantern]],0)</f>
        <v>0</v>
      </c>
      <c r="AM604" s="131" t="str">
        <f ca="1">IFERROR(OFFSET(Camp_List[P_Code],MATCH(Data_NFI_t[[#This Row],[Camp Name]],Camp_List[Camp Name],0)-1,0,1,1),"")</f>
        <v/>
      </c>
      <c r="AN604" s="513" t="str">
        <f ca="1">IFERROR(OFFSET(Camp_List[Status],MATCH(Data_NFI_t[[#This Row],[Camp Name]],Camp_List[Camp Name],0)-1,0,1,1),"")</f>
        <v/>
      </c>
      <c r="AO604" s="890"/>
    </row>
    <row r="605" spans="1:41" ht="19.5" customHeight="1" x14ac:dyDescent="0.25">
      <c r="A605"/>
      <c r="B605" s="38"/>
      <c r="C605"/>
      <c r="E605" s="118"/>
      <c r="I605" s="118"/>
      <c r="J605" s="119"/>
      <c r="K605" s="119"/>
      <c r="L605" s="119"/>
      <c r="M605" s="119"/>
      <c r="N605" s="119"/>
      <c r="O605" s="119"/>
      <c r="P605" s="119"/>
      <c r="Q605" s="119"/>
      <c r="R605" s="512"/>
      <c r="S605" s="119"/>
      <c r="T605" s="119"/>
      <c r="U605" s="119"/>
      <c r="V605" s="119"/>
      <c r="W605" s="119"/>
      <c r="X605"/>
      <c r="Y605"/>
      <c r="Z605"/>
      <c r="AA605"/>
      <c r="AB605"/>
      <c r="AC605"/>
      <c r="AD605"/>
      <c r="AE605"/>
      <c r="AF605"/>
      <c r="AG605" s="90"/>
      <c r="AH605"/>
      <c r="AI605" s="789"/>
      <c r="AJ605" s="789"/>
      <c r="AK605" s="789"/>
      <c r="AL605" s="789"/>
    </row>
  </sheetData>
  <sortState ref="A5:A1000">
    <sortCondition descending="1" ref="A8"/>
  </sortState>
  <mergeCells count="3">
    <mergeCell ref="A4:D4"/>
    <mergeCell ref="A2:I2"/>
    <mergeCell ref="A3:I3"/>
  </mergeCells>
  <conditionalFormatting sqref="AN55:AN63 AN50 AN604:AN605">
    <cfRule type="cellIs" dxfId="630" priority="4" operator="equal">
      <formula>"close"</formula>
    </cfRule>
  </conditionalFormatting>
  <conditionalFormatting sqref="AN64:AN451">
    <cfRule type="cellIs" dxfId="629" priority="2" operator="equal">
      <formula>"close"</formula>
    </cfRule>
  </conditionalFormatting>
  <dataValidations count="5">
    <dataValidation type="list" allowBlank="1" showInputMessage="1" showErrorMessage="1" sqref="D122:D133">
      <formula1>Agency1</formula1>
    </dataValidation>
    <dataValidation type="list" showInputMessage="1" showErrorMessage="1" sqref="JJ106 WVV106 WLZ106 WCD106 VSH106 VIL106 UYP106 UOT106 UEX106 TVB106 TLF106 TBJ106 SRN106 SHR106 RXV106 RNZ106 RED106 QUH106 QKL106 QAP106 PQT106 PGX106 OXB106 ONF106 ODJ106 NTN106 NJR106 MZV106 MPZ106 MGD106 LWH106 LML106 LCP106 KST106 KIX106 JZB106 JPF106 JFJ106 IVN106 ILR106 IBV106 HRZ106 HID106 GYH106 GOL106 GEP106 FUT106 FKX106 FBB106 ERF106 EHJ106 DXN106 DNR106 DDV106 CTZ106 CKD106 CAH106 BQL106 BGP106 AWT106 AMX106 ADB106 TF106">
      <formula1>INDIRECT(#REF!)</formula1>
    </dataValidation>
    <dataValidation type="list" allowBlank="1" showInputMessage="1" showErrorMessage="1" sqref="F6:F604">
      <formula1>State</formula1>
    </dataValidation>
    <dataValidation type="list" showInputMessage="1" showErrorMessage="1" sqref="G6:G604">
      <formula1>INDIRECT(F6)</formula1>
    </dataValidation>
    <dataValidation type="list" errorStyle="warning" showInputMessage="1" showErrorMessage="1" sqref="H6:H604">
      <formula1>OFFSET(TCL_T1,MATCH(G6,TCL_T,0)-1,1,COUNTIF(TCL_T,G6),1)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J106"/>
  <sheetViews>
    <sheetView showZeros="0" zoomScale="75" zoomScaleNormal="75" workbookViewId="0">
      <selection activeCell="I14" sqref="I14"/>
    </sheetView>
  </sheetViews>
  <sheetFormatPr defaultColWidth="5" defaultRowHeight="51.75" customHeight="1" x14ac:dyDescent="0.25"/>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7" width="9.5703125" style="1" customWidth="1"/>
    <col min="18" max="18" width="11.7109375" style="57" customWidth="1"/>
    <col min="19" max="19" width="10.5703125" style="1" customWidth="1"/>
    <col min="20" max="20" width="6.28515625" style="1" customWidth="1"/>
    <col min="21" max="21" width="10.28515625" style="57" customWidth="1"/>
    <col min="22" max="22" width="10.140625" style="1" customWidth="1"/>
    <col min="23" max="23" width="6.140625" style="58" bestFit="1" customWidth="1"/>
    <col min="24" max="24" width="10.5703125" bestFit="1" customWidth="1"/>
    <col min="25" max="25" width="9.85546875" style="39" customWidth="1"/>
    <col min="26" max="26" width="8.140625" style="39" customWidth="1"/>
    <col min="27" max="27" width="9.7109375" style="57" bestFit="1" customWidth="1"/>
    <col min="28" max="28" width="9.42578125" style="1" customWidth="1"/>
    <col min="29" max="29" width="6.140625" style="58" bestFit="1" customWidth="1"/>
    <col min="30" max="30" width="10.140625" style="57" bestFit="1" customWidth="1"/>
    <col min="31" max="31" width="10.5703125" style="1" bestFit="1" customWidth="1"/>
    <col min="32" max="32" width="6.140625" style="58" bestFit="1" customWidth="1"/>
    <col min="33" max="33" width="9.7109375" style="57" customWidth="1"/>
    <col min="34" max="34" width="9.42578125" style="1" customWidth="1"/>
    <col min="35" max="35" width="6.140625" style="58" customWidth="1"/>
    <col min="36" max="36" width="9.7109375" style="57" customWidth="1"/>
    <col min="37" max="37" width="9.7109375" style="1" customWidth="1"/>
    <col min="38" max="38" width="9.7109375" style="58" customWidth="1"/>
    <col min="39" max="39" width="9.7109375" style="57" customWidth="1"/>
    <col min="40" max="40" width="9.42578125" style="1" customWidth="1"/>
    <col min="41" max="41" width="6.140625" style="58" customWidth="1"/>
    <col min="42" max="42" width="11.28515625" customWidth="1"/>
    <col min="43" max="43" width="9.7109375" customWidth="1"/>
    <col min="44" max="44" width="11.28515625" customWidth="1"/>
  </cols>
  <sheetData>
    <row r="1" spans="1:62" s="1" customFormat="1" ht="36" x14ac:dyDescent="0.25">
      <c r="A1" s="186"/>
      <c r="B1" s="187"/>
      <c r="C1" s="187"/>
      <c r="D1" s="187"/>
      <c r="E1" s="187"/>
      <c r="F1" s="187"/>
      <c r="G1" s="187"/>
      <c r="H1" s="187"/>
      <c r="I1" s="243"/>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67"/>
      <c r="AQ1" s="67"/>
      <c r="AR1" s="211"/>
      <c r="BI1" s="68"/>
      <c r="BJ1" s="68"/>
    </row>
    <row r="2" spans="1:62" s="1" customFormat="1" ht="86.25" customHeight="1" x14ac:dyDescent="0.25">
      <c r="A2" s="244" t="s">
        <v>524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211"/>
      <c r="BI2" s="68"/>
      <c r="BJ2" s="68"/>
    </row>
    <row r="3" spans="1:62" s="19" customFormat="1" ht="18" customHeight="1" x14ac:dyDescent="0.25">
      <c r="A3" s="1013">
        <f>Report_Date</f>
        <v>42856</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205"/>
      <c r="AK3" s="205"/>
      <c r="AL3" s="205"/>
      <c r="AM3" s="205"/>
      <c r="AN3" s="205"/>
      <c r="AO3" s="205"/>
      <c r="AP3" s="205"/>
      <c r="AQ3" s="205"/>
      <c r="AR3" s="206"/>
      <c r="BI3" s="69"/>
      <c r="BJ3" s="69"/>
    </row>
    <row r="4" spans="1:62" s="59" customFormat="1" ht="15.75" customHeight="1" thickBot="1" x14ac:dyDescent="0.3">
      <c r="O4" s="789"/>
      <c r="P4" s="789"/>
      <c r="Q4" s="789"/>
      <c r="AD4" s="90"/>
      <c r="AE4" s="90"/>
      <c r="AF4" s="90"/>
      <c r="AG4" s="90"/>
      <c r="AH4" s="90"/>
      <c r="AI4" s="90"/>
      <c r="AJ4" s="90"/>
      <c r="AK4" s="90"/>
      <c r="AL4" s="90"/>
      <c r="AM4" s="90"/>
      <c r="AN4" s="90"/>
      <c r="AO4" s="90"/>
    </row>
    <row r="5" spans="1:62" s="52" customFormat="1" ht="72.75" customHeight="1" thickBot="1" x14ac:dyDescent="0.3">
      <c r="A5" s="1094" t="s">
        <v>207</v>
      </c>
      <c r="B5" s="1094" t="s">
        <v>200</v>
      </c>
      <c r="C5" s="245"/>
      <c r="D5" s="1094" t="s">
        <v>10</v>
      </c>
      <c r="E5" s="1094" t="s">
        <v>1</v>
      </c>
      <c r="F5" s="1102" t="s">
        <v>201</v>
      </c>
      <c r="G5" s="1103"/>
      <c r="H5" s="1104"/>
      <c r="I5" s="1105" t="s">
        <v>202</v>
      </c>
      <c r="J5" s="1106"/>
      <c r="K5" s="1107"/>
      <c r="L5" s="1082" t="s">
        <v>203</v>
      </c>
      <c r="M5" s="1083"/>
      <c r="N5" s="1084"/>
      <c r="O5" s="1082" t="s">
        <v>1134</v>
      </c>
      <c r="P5" s="1083"/>
      <c r="Q5" s="1084"/>
      <c r="R5" s="1099" t="s">
        <v>204</v>
      </c>
      <c r="S5" s="1100"/>
      <c r="T5" s="1101"/>
      <c r="U5" s="1096" t="s">
        <v>205</v>
      </c>
      <c r="V5" s="1097"/>
      <c r="W5" s="1098"/>
      <c r="X5" s="1103" t="s">
        <v>228</v>
      </c>
      <c r="Y5" s="1103"/>
      <c r="Z5" s="1103"/>
      <c r="AA5" s="1108" t="s">
        <v>229</v>
      </c>
      <c r="AB5" s="1109"/>
      <c r="AC5" s="1110"/>
      <c r="AD5" s="1079" t="s">
        <v>876</v>
      </c>
      <c r="AE5" s="1080"/>
      <c r="AF5" s="1081"/>
      <c r="AG5" s="1111" t="s">
        <v>579</v>
      </c>
      <c r="AH5" s="1112"/>
      <c r="AI5" s="1113"/>
      <c r="AJ5" s="1091" t="s">
        <v>580</v>
      </c>
      <c r="AK5" s="1092"/>
      <c r="AL5" s="1093"/>
      <c r="AM5" s="1088" t="s">
        <v>928</v>
      </c>
      <c r="AN5" s="1089"/>
      <c r="AO5" s="1090"/>
      <c r="AP5" s="1085" t="s">
        <v>1150</v>
      </c>
      <c r="AQ5" s="1086"/>
      <c r="AR5" s="1087"/>
    </row>
    <row r="6" spans="1:62" s="52" customFormat="1" ht="51.75" customHeight="1" thickBot="1" x14ac:dyDescent="0.3">
      <c r="A6" s="1095"/>
      <c r="B6" s="1095"/>
      <c r="C6" s="246" t="s">
        <v>211</v>
      </c>
      <c r="D6" s="1095"/>
      <c r="E6" s="1095"/>
      <c r="F6" s="176" t="s">
        <v>1081</v>
      </c>
      <c r="G6" s="813" t="s">
        <v>208</v>
      </c>
      <c r="H6" s="814" t="s">
        <v>209</v>
      </c>
      <c r="I6" s="176" t="s">
        <v>1081</v>
      </c>
      <c r="J6" s="813" t="s">
        <v>208</v>
      </c>
      <c r="K6" s="814" t="s">
        <v>209</v>
      </c>
      <c r="L6" s="813" t="s">
        <v>206</v>
      </c>
      <c r="M6" s="813" t="s">
        <v>208</v>
      </c>
      <c r="N6" s="814" t="s">
        <v>209</v>
      </c>
      <c r="O6" s="936" t="s">
        <v>1081</v>
      </c>
      <c r="P6" s="814" t="s">
        <v>208</v>
      </c>
      <c r="Q6" s="814" t="s">
        <v>209</v>
      </c>
      <c r="R6" s="176" t="s">
        <v>206</v>
      </c>
      <c r="S6" s="176" t="s">
        <v>208</v>
      </c>
      <c r="T6" s="176" t="s">
        <v>209</v>
      </c>
      <c r="U6" s="176" t="s">
        <v>206</v>
      </c>
      <c r="V6" s="176" t="s">
        <v>208</v>
      </c>
      <c r="W6" s="176" t="s">
        <v>209</v>
      </c>
      <c r="X6" s="176" t="s">
        <v>206</v>
      </c>
      <c r="Y6" s="176" t="s">
        <v>208</v>
      </c>
      <c r="Z6" s="176" t="s">
        <v>209</v>
      </c>
      <c r="AA6" s="176" t="s">
        <v>206</v>
      </c>
      <c r="AB6" s="176" t="s">
        <v>208</v>
      </c>
      <c r="AC6" s="176" t="s">
        <v>209</v>
      </c>
      <c r="AD6" s="176" t="s">
        <v>206</v>
      </c>
      <c r="AE6" s="176" t="s">
        <v>208</v>
      </c>
      <c r="AF6" s="176" t="s">
        <v>209</v>
      </c>
      <c r="AG6" s="176" t="s">
        <v>206</v>
      </c>
      <c r="AH6" s="176" t="s">
        <v>208</v>
      </c>
      <c r="AI6" s="176" t="s">
        <v>209</v>
      </c>
      <c r="AJ6" s="176" t="s">
        <v>206</v>
      </c>
      <c r="AK6" s="176" t="s">
        <v>208</v>
      </c>
      <c r="AL6" s="176" t="s">
        <v>209</v>
      </c>
      <c r="AM6" s="176" t="s">
        <v>206</v>
      </c>
      <c r="AN6" s="627" t="s">
        <v>208</v>
      </c>
      <c r="AO6" s="628" t="s">
        <v>209</v>
      </c>
      <c r="AP6" s="176" t="s">
        <v>206</v>
      </c>
      <c r="AQ6" s="972" t="s">
        <v>208</v>
      </c>
      <c r="AR6" s="628" t="s">
        <v>209</v>
      </c>
    </row>
    <row r="7" spans="1:62" s="5" customFormat="1" ht="23.25" customHeight="1" x14ac:dyDescent="0.25">
      <c r="A7" s="120">
        <v>42657</v>
      </c>
      <c r="B7" s="121" t="s">
        <v>285</v>
      </c>
      <c r="C7" s="121" t="s">
        <v>285</v>
      </c>
      <c r="D7" s="121" t="s">
        <v>7</v>
      </c>
      <c r="E7" s="121" t="s">
        <v>20</v>
      </c>
      <c r="F7" s="122" t="s">
        <v>1080</v>
      </c>
      <c r="G7" s="19"/>
      <c r="H7" s="123"/>
      <c r="I7" s="122">
        <v>494</v>
      </c>
      <c r="J7" s="19"/>
      <c r="K7" s="123"/>
      <c r="L7" s="122">
        <v>599</v>
      </c>
      <c r="M7" s="19"/>
      <c r="N7" s="123"/>
      <c r="O7" s="19"/>
      <c r="P7" s="19"/>
      <c r="Q7" s="19"/>
      <c r="R7" s="977">
        <v>1004</v>
      </c>
      <c r="S7" s="250">
        <v>0</v>
      </c>
      <c r="T7" s="251">
        <v>0</v>
      </c>
      <c r="U7" s="977">
        <v>410</v>
      </c>
      <c r="V7" s="250">
        <v>0</v>
      </c>
      <c r="W7" s="251">
        <v>0</v>
      </c>
      <c r="X7" s="977">
        <v>975</v>
      </c>
      <c r="Y7" s="250">
        <v>0</v>
      </c>
      <c r="Z7" s="251">
        <v>0</v>
      </c>
      <c r="AA7" s="295">
        <v>795</v>
      </c>
      <c r="AB7" s="247">
        <v>0</v>
      </c>
      <c r="AC7" s="248">
        <v>0</v>
      </c>
      <c r="AD7" s="249">
        <v>0</v>
      </c>
      <c r="AE7" s="247">
        <v>0</v>
      </c>
      <c r="AF7" s="248">
        <v>0</v>
      </c>
      <c r="AG7" s="295">
        <v>439</v>
      </c>
      <c r="AH7" s="247">
        <v>0</v>
      </c>
      <c r="AI7" s="248">
        <v>0</v>
      </c>
      <c r="AJ7" s="963">
        <v>2480</v>
      </c>
      <c r="AK7" s="247">
        <v>0</v>
      </c>
      <c r="AL7" s="248">
        <v>0</v>
      </c>
      <c r="AM7" s="295">
        <v>1082</v>
      </c>
      <c r="AN7" s="247">
        <v>0</v>
      </c>
      <c r="AO7" s="248">
        <v>0</v>
      </c>
      <c r="AP7" s="295"/>
      <c r="AQ7" s="247"/>
      <c r="AR7" s="248"/>
    </row>
    <row r="8" spans="1:62" s="5" customFormat="1" ht="23.25" customHeight="1" x14ac:dyDescent="0.25">
      <c r="A8" s="120">
        <v>42657</v>
      </c>
      <c r="B8" s="121" t="s">
        <v>285</v>
      </c>
      <c r="C8" s="121" t="s">
        <v>285</v>
      </c>
      <c r="D8" s="121" t="s">
        <v>7</v>
      </c>
      <c r="E8" s="121" t="s">
        <v>597</v>
      </c>
      <c r="F8" s="122" t="s">
        <v>1080</v>
      </c>
      <c r="G8" s="19"/>
      <c r="H8" s="123"/>
      <c r="I8" s="122">
        <v>501</v>
      </c>
      <c r="J8" s="19"/>
      <c r="K8" s="123"/>
      <c r="L8" s="122">
        <v>374</v>
      </c>
      <c r="M8" s="19"/>
      <c r="N8" s="123"/>
      <c r="O8" s="19"/>
      <c r="P8" s="19"/>
      <c r="Q8" s="19"/>
      <c r="R8" s="296">
        <v>999</v>
      </c>
      <c r="S8" s="297">
        <v>0</v>
      </c>
      <c r="T8" s="248">
        <v>0</v>
      </c>
      <c r="U8" s="296">
        <v>981</v>
      </c>
      <c r="V8" s="297">
        <v>0</v>
      </c>
      <c r="W8" s="248">
        <v>0</v>
      </c>
      <c r="X8" s="296">
        <v>1039</v>
      </c>
      <c r="Y8" s="297">
        <v>0</v>
      </c>
      <c r="Z8" s="248">
        <v>0</v>
      </c>
      <c r="AA8" s="295">
        <v>628</v>
      </c>
      <c r="AB8" s="295">
        <v>0</v>
      </c>
      <c r="AC8" s="248">
        <v>0</v>
      </c>
      <c r="AD8" s="249">
        <v>0</v>
      </c>
      <c r="AE8" s="295">
        <v>0</v>
      </c>
      <c r="AF8" s="248">
        <v>0</v>
      </c>
      <c r="AG8" s="295">
        <v>553</v>
      </c>
      <c r="AH8" s="295">
        <v>0</v>
      </c>
      <c r="AI8" s="248">
        <v>0</v>
      </c>
      <c r="AJ8" s="963">
        <v>2515</v>
      </c>
      <c r="AK8" s="247">
        <v>0</v>
      </c>
      <c r="AL8" s="248">
        <v>0</v>
      </c>
      <c r="AM8" s="295">
        <v>1081</v>
      </c>
      <c r="AN8" s="295">
        <v>0</v>
      </c>
      <c r="AO8" s="248">
        <v>0</v>
      </c>
      <c r="AP8" s="295"/>
      <c r="AQ8" s="295"/>
      <c r="AR8" s="248"/>
    </row>
    <row r="9" spans="1:62" s="5" customFormat="1" ht="23.25" customHeight="1" x14ac:dyDescent="0.25">
      <c r="A9" s="120">
        <v>42880</v>
      </c>
      <c r="B9" s="121" t="s">
        <v>285</v>
      </c>
      <c r="C9" s="121" t="s">
        <v>285</v>
      </c>
      <c r="D9" s="121" t="s">
        <v>7</v>
      </c>
      <c r="E9" s="121" t="s">
        <v>19</v>
      </c>
      <c r="F9" s="122">
        <v>68</v>
      </c>
      <c r="G9" s="19"/>
      <c r="H9" s="123"/>
      <c r="I9" s="122"/>
      <c r="J9" s="19"/>
      <c r="K9" s="123"/>
      <c r="L9" s="122">
        <v>21</v>
      </c>
      <c r="M9" s="19"/>
      <c r="N9" s="123"/>
      <c r="O9" s="976">
        <v>0</v>
      </c>
      <c r="P9" s="19"/>
      <c r="Q9" s="19"/>
      <c r="R9" s="995">
        <v>3818</v>
      </c>
      <c r="S9" s="247">
        <v>0</v>
      </c>
      <c r="T9" s="248">
        <v>0</v>
      </c>
      <c r="U9" s="995">
        <v>1941</v>
      </c>
      <c r="V9" s="247">
        <v>0</v>
      </c>
      <c r="W9" s="248">
        <v>0</v>
      </c>
      <c r="X9" s="995">
        <v>0</v>
      </c>
      <c r="Y9" s="247">
        <v>0</v>
      </c>
      <c r="Z9" s="248">
        <v>0</v>
      </c>
      <c r="AA9" s="996">
        <v>1909</v>
      </c>
      <c r="AB9" s="247">
        <v>0</v>
      </c>
      <c r="AC9" s="248">
        <v>0</v>
      </c>
      <c r="AD9" s="998">
        <v>8</v>
      </c>
      <c r="AE9" s="247">
        <v>0</v>
      </c>
      <c r="AF9" s="248">
        <v>0</v>
      </c>
      <c r="AG9" s="996">
        <v>2000</v>
      </c>
      <c r="AH9" s="247">
        <v>0</v>
      </c>
      <c r="AI9" s="248">
        <v>0</v>
      </c>
      <c r="AJ9" s="997">
        <v>9545</v>
      </c>
      <c r="AK9" s="247">
        <v>0</v>
      </c>
      <c r="AL9" s="248">
        <v>0</v>
      </c>
      <c r="AM9" s="996">
        <v>1909</v>
      </c>
      <c r="AN9" s="247">
        <v>0</v>
      </c>
      <c r="AO9" s="248">
        <v>0</v>
      </c>
      <c r="AP9" s="996">
        <v>620</v>
      </c>
      <c r="AQ9" s="247"/>
      <c r="AR9" s="248"/>
    </row>
    <row r="10" spans="1:62" s="90" customFormat="1" ht="23.25" customHeight="1" x14ac:dyDescent="0.25">
      <c r="A10" s="120"/>
      <c r="B10" s="121"/>
      <c r="C10" s="121"/>
      <c r="D10" s="121"/>
      <c r="E10" s="121"/>
      <c r="F10" s="57"/>
      <c r="G10" s="1"/>
      <c r="H10" s="58"/>
      <c r="I10" s="57"/>
      <c r="J10" s="1"/>
      <c r="K10" s="58"/>
      <c r="L10" s="57"/>
      <c r="M10" s="1"/>
      <c r="N10" s="58"/>
      <c r="O10" s="1"/>
      <c r="P10" s="1"/>
      <c r="Q10" s="1"/>
      <c r="R10" s="298"/>
      <c r="S10" s="299"/>
      <c r="T10" s="300"/>
      <c r="U10" s="298"/>
      <c r="V10" s="297"/>
      <c r="W10" s="300"/>
      <c r="X10" s="298"/>
      <c r="Y10" s="297"/>
      <c r="Z10" s="300"/>
      <c r="AA10" s="298"/>
      <c r="AB10" s="297"/>
      <c r="AC10" s="300"/>
      <c r="AD10" s="298"/>
      <c r="AE10" s="297"/>
      <c r="AF10" s="300"/>
      <c r="AG10" s="298"/>
      <c r="AH10" s="297"/>
      <c r="AI10" s="300"/>
      <c r="AJ10" s="298"/>
      <c r="AK10" s="299"/>
      <c r="AL10" s="300"/>
      <c r="AM10" s="298"/>
      <c r="AN10" s="297"/>
      <c r="AO10" s="300"/>
      <c r="AP10" s="295"/>
      <c r="AQ10" s="247"/>
      <c r="AR10" s="248"/>
    </row>
    <row r="11" spans="1:62" ht="23.25" customHeight="1" x14ac:dyDescent="0.25">
      <c r="A11" s="70" t="s">
        <v>773</v>
      </c>
      <c r="B11" s="70"/>
      <c r="C11" s="70"/>
      <c r="D11" s="70"/>
      <c r="E11" s="70"/>
      <c r="T11" s="58"/>
      <c r="X11" s="57"/>
      <c r="Y11" s="1"/>
      <c r="Z11" s="58"/>
      <c r="AA11" s="1"/>
      <c r="AJ11" s="962"/>
      <c r="AP11" s="295"/>
      <c r="AQ11" s="247"/>
      <c r="AR11" s="248"/>
    </row>
    <row r="12" spans="1:62" ht="23.25" customHeight="1" x14ac:dyDescent="0.25">
      <c r="A12" s="70"/>
      <c r="B12" s="70"/>
      <c r="C12" s="70"/>
      <c r="D12" s="70"/>
      <c r="E12" s="70"/>
      <c r="T12" s="58"/>
      <c r="X12" s="57"/>
      <c r="Y12" s="1"/>
      <c r="Z12" s="58"/>
      <c r="AA12" s="1"/>
      <c r="AP12" s="295"/>
      <c r="AQ12" s="247"/>
      <c r="AR12" s="248"/>
    </row>
    <row r="13" spans="1:62" ht="23.25" customHeight="1" x14ac:dyDescent="0.25">
      <c r="A13" s="70"/>
      <c r="B13" s="70"/>
      <c r="C13" s="70"/>
      <c r="D13" s="70"/>
      <c r="E13" s="70"/>
      <c r="T13" s="58"/>
      <c r="X13" s="57"/>
      <c r="Y13" s="1"/>
      <c r="Z13" s="58"/>
      <c r="AA13" s="1"/>
      <c r="AP13" s="295"/>
      <c r="AQ13" s="247"/>
      <c r="AR13" s="248"/>
    </row>
    <row r="14" spans="1:62" ht="23.25" customHeight="1" x14ac:dyDescent="0.25">
      <c r="A14" s="70"/>
      <c r="B14" s="70"/>
      <c r="C14" s="70"/>
      <c r="D14" s="70"/>
      <c r="E14" s="70"/>
      <c r="T14" s="58"/>
      <c r="X14" s="57"/>
      <c r="Y14" s="1"/>
      <c r="Z14" s="58"/>
      <c r="AA14" s="1"/>
      <c r="AP14" s="295"/>
      <c r="AQ14" s="247"/>
      <c r="AR14" s="248"/>
    </row>
    <row r="15" spans="1:62" ht="23.25" customHeight="1" x14ac:dyDescent="0.25">
      <c r="A15" s="70"/>
      <c r="B15" s="70"/>
      <c r="C15" s="70"/>
      <c r="D15" s="70"/>
      <c r="E15" s="70"/>
      <c r="T15" s="58"/>
      <c r="X15" s="57"/>
      <c r="Y15" s="1"/>
      <c r="Z15" s="58"/>
      <c r="AA15" s="1"/>
      <c r="AP15" s="295"/>
      <c r="AQ15" s="247"/>
      <c r="AR15" s="248"/>
    </row>
    <row r="16" spans="1:62" ht="23.25" customHeight="1" x14ac:dyDescent="0.25">
      <c r="A16" s="70"/>
      <c r="B16" s="70"/>
      <c r="C16" s="70"/>
      <c r="D16" s="70"/>
      <c r="E16" s="70"/>
      <c r="T16" s="58"/>
      <c r="X16" s="57"/>
      <c r="Y16" s="1"/>
      <c r="Z16" s="58"/>
      <c r="AA16" s="1"/>
      <c r="AP16" s="295"/>
      <c r="AQ16" s="247"/>
      <c r="AR16" s="248"/>
    </row>
    <row r="17" spans="1:44" ht="23.25" customHeight="1" x14ac:dyDescent="0.25">
      <c r="A17" s="70"/>
      <c r="B17" s="70"/>
      <c r="C17" s="70"/>
      <c r="D17" s="70"/>
      <c r="E17" s="70"/>
      <c r="T17" s="58"/>
      <c r="X17" s="57"/>
      <c r="Y17" s="1"/>
      <c r="Z17" s="58"/>
      <c r="AA17" s="1"/>
      <c r="AP17" s="295"/>
      <c r="AQ17" s="247"/>
      <c r="AR17" s="248"/>
    </row>
    <row r="18" spans="1:44" ht="23.25" customHeight="1" x14ac:dyDescent="0.25">
      <c r="A18" s="70"/>
      <c r="B18" s="70"/>
      <c r="C18" s="70"/>
      <c r="D18" s="70"/>
      <c r="E18" s="70"/>
      <c r="T18" s="58"/>
      <c r="X18" s="57"/>
      <c r="Y18" s="1"/>
      <c r="Z18" s="58"/>
      <c r="AA18" s="1"/>
      <c r="AP18" s="295"/>
      <c r="AQ18" s="247"/>
      <c r="AR18" s="248"/>
    </row>
    <row r="19" spans="1:44" ht="51.75" customHeight="1" x14ac:dyDescent="0.25">
      <c r="A19" s="70"/>
      <c r="B19" s="70"/>
      <c r="C19" s="70"/>
      <c r="D19" s="70"/>
      <c r="E19" s="70"/>
      <c r="T19" s="58"/>
      <c r="X19" s="57"/>
      <c r="Y19" s="1"/>
      <c r="Z19" s="58"/>
      <c r="AA19" s="1"/>
      <c r="AP19" s="295"/>
      <c r="AQ19" s="247"/>
      <c r="AR19" s="248"/>
    </row>
    <row r="20" spans="1:44" ht="51.75" customHeight="1" x14ac:dyDescent="0.25">
      <c r="A20" s="70"/>
      <c r="B20" s="70"/>
      <c r="C20" s="70"/>
      <c r="D20" s="70"/>
      <c r="E20" s="70"/>
      <c r="T20" s="58"/>
      <c r="X20" s="57"/>
      <c r="Y20" s="1"/>
      <c r="Z20" s="58"/>
      <c r="AA20" s="1"/>
      <c r="AP20" s="295"/>
      <c r="AQ20" s="247"/>
      <c r="AR20" s="248"/>
    </row>
    <row r="21" spans="1:44" ht="51.75" customHeight="1" x14ac:dyDescent="0.25">
      <c r="A21" s="70"/>
      <c r="B21" s="70"/>
      <c r="C21" s="70"/>
      <c r="D21" s="70"/>
      <c r="E21" s="70"/>
      <c r="T21" s="58"/>
      <c r="X21" s="57"/>
      <c r="Y21" s="1"/>
      <c r="Z21" s="58"/>
      <c r="AA21" s="1"/>
      <c r="AP21" s="295"/>
      <c r="AQ21" s="247"/>
      <c r="AR21" s="248"/>
    </row>
    <row r="22" spans="1:44" ht="51.75" customHeight="1" x14ac:dyDescent="0.25">
      <c r="A22" s="70"/>
      <c r="B22" s="70"/>
      <c r="C22" s="70"/>
      <c r="D22" s="70"/>
      <c r="E22" s="70"/>
      <c r="T22" s="58"/>
      <c r="X22" s="57"/>
      <c r="Y22" s="1"/>
      <c r="Z22" s="58"/>
      <c r="AA22" s="1"/>
      <c r="AP22" s="295"/>
      <c r="AQ22" s="247"/>
      <c r="AR22" s="248"/>
    </row>
    <row r="23" spans="1:44" ht="51.75" customHeight="1" x14ac:dyDescent="0.25">
      <c r="A23" s="70"/>
      <c r="B23" s="70"/>
      <c r="C23" s="70"/>
      <c r="D23" s="70"/>
      <c r="E23" s="70"/>
      <c r="T23" s="58"/>
      <c r="X23" s="57"/>
      <c r="Y23" s="1"/>
      <c r="Z23" s="58"/>
      <c r="AA23" s="1"/>
      <c r="AP23" s="295"/>
      <c r="AQ23" s="247"/>
      <c r="AR23" s="248"/>
    </row>
    <row r="24" spans="1:44" ht="51.75" customHeight="1" x14ac:dyDescent="0.25">
      <c r="T24" s="58"/>
      <c r="X24" s="57"/>
      <c r="Y24" s="1"/>
      <c r="Z24" s="58"/>
      <c r="AA24" s="1"/>
      <c r="AP24" s="295"/>
      <c r="AQ24" s="247"/>
      <c r="AR24" s="248"/>
    </row>
    <row r="25" spans="1:44" ht="51.75" customHeight="1" x14ac:dyDescent="0.25">
      <c r="T25" s="58"/>
      <c r="X25" s="57"/>
      <c r="Y25" s="1"/>
      <c r="Z25" s="58"/>
      <c r="AA25" s="1"/>
      <c r="AP25" s="295"/>
      <c r="AQ25" s="247"/>
      <c r="AR25" s="248"/>
    </row>
    <row r="26" spans="1:44" ht="51.75" customHeight="1" x14ac:dyDescent="0.25">
      <c r="T26" s="58"/>
      <c r="X26" s="57"/>
      <c r="Y26" s="1"/>
      <c r="Z26" s="58"/>
      <c r="AA26" s="1"/>
      <c r="AP26" s="295"/>
      <c r="AQ26" s="247"/>
      <c r="AR26" s="248"/>
    </row>
    <row r="27" spans="1:44" ht="51.75" customHeight="1" x14ac:dyDescent="0.25">
      <c r="T27" s="58"/>
      <c r="X27" s="57"/>
      <c r="Y27" s="1"/>
      <c r="Z27" s="58"/>
      <c r="AA27" s="1"/>
      <c r="AP27" s="295"/>
      <c r="AQ27" s="247"/>
      <c r="AR27" s="248"/>
    </row>
    <row r="28" spans="1:44" ht="51.75" customHeight="1" x14ac:dyDescent="0.25">
      <c r="T28" s="58"/>
      <c r="X28" s="57"/>
      <c r="Y28" s="1"/>
      <c r="Z28" s="58"/>
      <c r="AA28" s="1"/>
      <c r="AP28" s="295"/>
      <c r="AQ28" s="247"/>
      <c r="AR28" s="248"/>
    </row>
    <row r="29" spans="1:44" ht="51.75" customHeight="1" x14ac:dyDescent="0.25">
      <c r="T29" s="58"/>
      <c r="X29" s="57"/>
      <c r="Y29" s="1"/>
      <c r="Z29" s="58"/>
      <c r="AA29" s="1"/>
      <c r="AP29" s="295"/>
      <c r="AQ29" s="247"/>
      <c r="AR29" s="248"/>
    </row>
    <row r="30" spans="1:44" ht="51.75" customHeight="1" x14ac:dyDescent="0.25">
      <c r="T30" s="58"/>
      <c r="X30" s="57"/>
      <c r="Y30" s="1"/>
      <c r="Z30" s="58"/>
      <c r="AA30" s="1"/>
      <c r="AP30" s="295"/>
      <c r="AQ30" s="247"/>
      <c r="AR30" s="248"/>
    </row>
    <row r="31" spans="1:44" ht="51.75" customHeight="1" x14ac:dyDescent="0.25">
      <c r="T31" s="58"/>
      <c r="X31" s="57"/>
      <c r="Y31" s="1"/>
      <c r="Z31" s="58"/>
      <c r="AA31" s="1"/>
      <c r="AP31" s="295"/>
      <c r="AQ31" s="247"/>
      <c r="AR31" s="248"/>
    </row>
    <row r="32" spans="1:44" ht="51.75" customHeight="1" x14ac:dyDescent="0.25">
      <c r="T32" s="58"/>
      <c r="X32" s="57"/>
      <c r="Y32" s="1"/>
      <c r="Z32" s="58"/>
      <c r="AA32" s="1"/>
      <c r="AP32" s="295"/>
      <c r="AQ32" s="247"/>
      <c r="AR32" s="248"/>
    </row>
    <row r="33" spans="20:44" ht="51.75" customHeight="1" x14ac:dyDescent="0.25">
      <c r="T33" s="58"/>
      <c r="X33" s="57"/>
      <c r="Y33" s="1"/>
      <c r="Z33" s="58"/>
      <c r="AA33" s="1"/>
      <c r="AP33" s="295"/>
      <c r="AQ33" s="247"/>
      <c r="AR33" s="248"/>
    </row>
    <row r="34" spans="20:44" ht="51.75" customHeight="1" x14ac:dyDescent="0.25">
      <c r="T34" s="58"/>
      <c r="X34" s="57"/>
      <c r="Y34" s="1"/>
      <c r="Z34" s="58"/>
      <c r="AA34" s="1"/>
      <c r="AP34" s="295"/>
      <c r="AQ34" s="247"/>
      <c r="AR34" s="248"/>
    </row>
    <row r="35" spans="20:44" ht="51.75" customHeight="1" x14ac:dyDescent="0.25">
      <c r="T35" s="58"/>
      <c r="X35" s="57"/>
      <c r="Y35" s="1"/>
      <c r="Z35" s="58"/>
      <c r="AA35" s="1"/>
      <c r="AP35" s="295"/>
      <c r="AQ35" s="247"/>
      <c r="AR35" s="248"/>
    </row>
    <row r="36" spans="20:44" ht="51.75" customHeight="1" x14ac:dyDescent="0.25">
      <c r="T36" s="58"/>
      <c r="X36" s="57"/>
      <c r="Y36" s="1"/>
      <c r="Z36" s="58"/>
      <c r="AA36" s="1"/>
      <c r="AP36" s="295"/>
      <c r="AQ36" s="247"/>
      <c r="AR36" s="248"/>
    </row>
    <row r="37" spans="20:44" ht="51.75" customHeight="1" x14ac:dyDescent="0.25">
      <c r="T37" s="58"/>
      <c r="X37" s="57"/>
      <c r="Y37" s="1"/>
      <c r="Z37" s="58"/>
      <c r="AA37" s="1"/>
      <c r="AP37" s="295"/>
      <c r="AQ37" s="247"/>
      <c r="AR37" s="248"/>
    </row>
    <row r="38" spans="20:44" ht="51.75" customHeight="1" x14ac:dyDescent="0.25">
      <c r="T38" s="58"/>
      <c r="X38" s="57"/>
      <c r="Y38" s="1"/>
      <c r="Z38" s="58"/>
      <c r="AA38" s="1"/>
      <c r="AP38" s="295"/>
      <c r="AQ38" s="247"/>
      <c r="AR38" s="248"/>
    </row>
    <row r="39" spans="20:44" ht="51.75" customHeight="1" x14ac:dyDescent="0.25">
      <c r="T39" s="58"/>
      <c r="X39" s="57"/>
      <c r="Y39" s="1"/>
      <c r="Z39" s="58"/>
      <c r="AA39" s="1"/>
      <c r="AP39" s="295"/>
      <c r="AQ39" s="247"/>
      <c r="AR39" s="248"/>
    </row>
    <row r="40" spans="20:44" ht="51.75" customHeight="1" x14ac:dyDescent="0.25">
      <c r="T40" s="58"/>
      <c r="X40" s="57"/>
      <c r="Y40" s="1"/>
      <c r="Z40" s="58"/>
      <c r="AA40" s="1"/>
      <c r="AP40" s="295"/>
      <c r="AQ40" s="247"/>
      <c r="AR40" s="248"/>
    </row>
    <row r="41" spans="20:44" ht="51.75" customHeight="1" x14ac:dyDescent="0.25">
      <c r="T41" s="58"/>
      <c r="X41" s="57"/>
      <c r="Y41" s="1"/>
      <c r="Z41" s="58"/>
      <c r="AA41" s="1"/>
      <c r="AP41" s="295"/>
      <c r="AQ41" s="247"/>
      <c r="AR41" s="248"/>
    </row>
    <row r="42" spans="20:44" ht="51.75" customHeight="1" x14ac:dyDescent="0.25">
      <c r="T42" s="58"/>
      <c r="X42" s="57"/>
      <c r="Y42" s="1"/>
      <c r="Z42" s="58"/>
      <c r="AA42" s="1"/>
      <c r="AP42" s="295"/>
      <c r="AQ42" s="247"/>
      <c r="AR42" s="248"/>
    </row>
    <row r="43" spans="20:44" ht="51.75" customHeight="1" x14ac:dyDescent="0.25">
      <c r="T43" s="58"/>
      <c r="X43" s="57"/>
      <c r="Y43" s="1"/>
      <c r="Z43" s="58"/>
      <c r="AA43" s="1"/>
      <c r="AP43" s="295"/>
      <c r="AQ43" s="247"/>
      <c r="AR43" s="248"/>
    </row>
    <row r="44" spans="20:44" ht="51.75" customHeight="1" x14ac:dyDescent="0.25">
      <c r="T44" s="58"/>
      <c r="X44" s="57"/>
      <c r="Y44" s="1"/>
      <c r="Z44" s="58"/>
      <c r="AA44" s="1"/>
      <c r="AP44" s="295"/>
      <c r="AQ44" s="247"/>
      <c r="AR44" s="248"/>
    </row>
    <row r="45" spans="20:44" ht="51.75" customHeight="1" x14ac:dyDescent="0.25">
      <c r="T45" s="58"/>
      <c r="X45" s="57"/>
      <c r="Y45" s="1"/>
      <c r="Z45" s="58"/>
      <c r="AA45" s="1"/>
      <c r="AP45" s="295"/>
      <c r="AQ45" s="247"/>
      <c r="AR45" s="248"/>
    </row>
    <row r="46" spans="20:44" ht="51.75" customHeight="1" x14ac:dyDescent="0.25">
      <c r="T46" s="58"/>
      <c r="X46" s="57"/>
      <c r="Y46" s="1"/>
      <c r="Z46" s="58"/>
      <c r="AA46" s="1"/>
      <c r="AP46" s="295"/>
      <c r="AQ46" s="247"/>
      <c r="AR46" s="248"/>
    </row>
    <row r="47" spans="20:44" ht="51.75" customHeight="1" x14ac:dyDescent="0.25">
      <c r="T47" s="58"/>
      <c r="X47" s="57"/>
      <c r="Y47" s="1"/>
      <c r="Z47" s="58"/>
      <c r="AA47" s="1"/>
      <c r="AP47" s="295"/>
      <c r="AQ47" s="247"/>
      <c r="AR47" s="248"/>
    </row>
    <row r="48" spans="20:44" ht="51.75" customHeight="1" x14ac:dyDescent="0.25">
      <c r="T48" s="58"/>
      <c r="X48" s="57"/>
      <c r="Y48" s="1"/>
      <c r="Z48" s="58"/>
      <c r="AA48" s="1"/>
      <c r="AP48" s="295"/>
      <c r="AQ48" s="247"/>
      <c r="AR48" s="248"/>
    </row>
    <row r="49" spans="20:44" ht="51.75" customHeight="1" x14ac:dyDescent="0.25">
      <c r="T49" s="58"/>
      <c r="X49" s="57"/>
      <c r="Y49" s="1"/>
      <c r="Z49" s="58"/>
      <c r="AA49" s="1"/>
      <c r="AP49" s="295"/>
      <c r="AQ49" s="247"/>
      <c r="AR49" s="248"/>
    </row>
    <row r="50" spans="20:44" ht="51.75" customHeight="1" x14ac:dyDescent="0.25">
      <c r="T50" s="58"/>
      <c r="X50" s="57"/>
      <c r="Y50" s="1"/>
      <c r="Z50" s="58"/>
      <c r="AA50" s="1"/>
      <c r="AP50" s="295"/>
      <c r="AQ50" s="247"/>
      <c r="AR50" s="248"/>
    </row>
    <row r="51" spans="20:44" ht="51.75" customHeight="1" x14ac:dyDescent="0.25">
      <c r="T51" s="58"/>
      <c r="X51" s="57"/>
      <c r="Y51" s="1"/>
      <c r="Z51" s="58"/>
      <c r="AA51" s="1"/>
      <c r="AP51" s="295"/>
      <c r="AQ51" s="247"/>
      <c r="AR51" s="248"/>
    </row>
    <row r="52" spans="20:44" ht="51.75" customHeight="1" x14ac:dyDescent="0.25">
      <c r="T52" s="58"/>
      <c r="X52" s="57"/>
      <c r="Y52" s="1"/>
      <c r="Z52" s="58"/>
      <c r="AA52" s="1"/>
      <c r="AP52" s="295"/>
      <c r="AQ52" s="247"/>
      <c r="AR52" s="248"/>
    </row>
    <row r="53" spans="20:44" ht="51.75" customHeight="1" x14ac:dyDescent="0.25">
      <c r="T53" s="58"/>
      <c r="X53" s="57"/>
      <c r="Y53" s="1"/>
      <c r="Z53" s="58"/>
      <c r="AA53" s="1"/>
      <c r="AP53" s="295"/>
      <c r="AQ53" s="247"/>
      <c r="AR53" s="248"/>
    </row>
    <row r="54" spans="20:44" ht="51.75" customHeight="1" x14ac:dyDescent="0.25">
      <c r="T54" s="58"/>
      <c r="X54" s="57"/>
      <c r="Y54" s="1"/>
      <c r="Z54" s="58"/>
      <c r="AA54" s="1"/>
      <c r="AP54" s="295"/>
      <c r="AQ54" s="247"/>
      <c r="AR54" s="248"/>
    </row>
    <row r="55" spans="20:44" ht="51.75" customHeight="1" x14ac:dyDescent="0.25">
      <c r="T55" s="58"/>
      <c r="X55" s="57"/>
      <c r="Y55" s="1"/>
      <c r="Z55" s="58"/>
      <c r="AA55" s="1"/>
      <c r="AP55" s="295"/>
      <c r="AQ55" s="247"/>
      <c r="AR55" s="248"/>
    </row>
    <row r="56" spans="20:44" ht="51.75" customHeight="1" x14ac:dyDescent="0.25">
      <c r="T56" s="58"/>
      <c r="X56" s="57"/>
      <c r="Y56" s="1"/>
      <c r="Z56" s="58"/>
      <c r="AA56" s="1"/>
      <c r="AP56" s="295"/>
      <c r="AQ56" s="247"/>
      <c r="AR56" s="248"/>
    </row>
    <row r="57" spans="20:44" ht="51.75" customHeight="1" x14ac:dyDescent="0.25">
      <c r="T57" s="58"/>
      <c r="X57" s="57"/>
      <c r="Y57" s="1"/>
      <c r="Z57" s="58"/>
      <c r="AA57" s="1"/>
      <c r="AP57" s="295"/>
      <c r="AQ57" s="247"/>
      <c r="AR57" s="248"/>
    </row>
    <row r="58" spans="20:44" ht="51.75" customHeight="1" x14ac:dyDescent="0.25">
      <c r="T58" s="58"/>
      <c r="X58" s="57"/>
      <c r="Y58" s="1"/>
      <c r="Z58" s="58"/>
      <c r="AA58" s="1"/>
      <c r="AP58" s="295"/>
      <c r="AQ58" s="247"/>
      <c r="AR58" s="248"/>
    </row>
    <row r="59" spans="20:44" ht="51.75" customHeight="1" x14ac:dyDescent="0.25">
      <c r="T59" s="58"/>
      <c r="X59" s="57"/>
      <c r="Y59" s="1"/>
      <c r="Z59" s="58"/>
      <c r="AA59" s="1"/>
      <c r="AP59" s="295"/>
      <c r="AQ59" s="247"/>
      <c r="AR59" s="248"/>
    </row>
    <row r="60" spans="20:44" ht="51.75" customHeight="1" x14ac:dyDescent="0.25">
      <c r="T60" s="58"/>
      <c r="X60" s="57"/>
      <c r="Y60" s="1"/>
      <c r="Z60" s="58"/>
      <c r="AA60" s="1"/>
      <c r="AP60" s="295"/>
      <c r="AQ60" s="247"/>
      <c r="AR60" s="248"/>
    </row>
    <row r="61" spans="20:44" ht="51.75" customHeight="1" x14ac:dyDescent="0.25">
      <c r="T61" s="58"/>
      <c r="X61" s="57"/>
      <c r="Y61" s="1"/>
      <c r="Z61" s="58"/>
      <c r="AA61" s="1"/>
      <c r="AP61" s="295"/>
      <c r="AQ61" s="247"/>
      <c r="AR61" s="248"/>
    </row>
    <row r="62" spans="20:44" ht="51.75" customHeight="1" x14ac:dyDescent="0.25">
      <c r="T62" s="58"/>
      <c r="X62" s="57"/>
      <c r="Y62" s="1"/>
      <c r="Z62" s="58"/>
      <c r="AA62" s="1"/>
      <c r="AP62" s="295"/>
      <c r="AQ62" s="247"/>
      <c r="AR62" s="248"/>
    </row>
    <row r="63" spans="20:44" ht="51.75" customHeight="1" x14ac:dyDescent="0.25">
      <c r="T63" s="58"/>
      <c r="X63" s="57"/>
      <c r="Y63" s="1"/>
      <c r="Z63" s="58"/>
      <c r="AA63" s="1"/>
      <c r="AP63" s="295"/>
      <c r="AQ63" s="247"/>
      <c r="AR63" s="248"/>
    </row>
    <row r="64" spans="20:44" ht="51.75" customHeight="1" x14ac:dyDescent="0.25">
      <c r="T64" s="58"/>
      <c r="X64" s="57"/>
      <c r="Y64" s="1"/>
      <c r="Z64" s="58"/>
      <c r="AA64" s="1"/>
      <c r="AP64" s="295"/>
      <c r="AQ64" s="247"/>
      <c r="AR64" s="248"/>
    </row>
    <row r="65" spans="20:44" ht="51.75" customHeight="1" x14ac:dyDescent="0.25">
      <c r="T65" s="58"/>
      <c r="X65" s="57"/>
      <c r="Y65" s="1"/>
      <c r="Z65" s="58"/>
      <c r="AA65" s="1"/>
      <c r="AP65" s="295"/>
      <c r="AQ65" s="247"/>
      <c r="AR65" s="248"/>
    </row>
    <row r="66" spans="20:44" ht="51.75" customHeight="1" x14ac:dyDescent="0.25">
      <c r="T66" s="58"/>
      <c r="X66" s="57"/>
      <c r="Y66" s="1"/>
      <c r="Z66" s="58"/>
      <c r="AA66" s="1"/>
      <c r="AP66" s="295"/>
      <c r="AQ66" s="247"/>
      <c r="AR66" s="248"/>
    </row>
    <row r="67" spans="20:44" ht="51.75" customHeight="1" x14ac:dyDescent="0.25">
      <c r="T67" s="58"/>
      <c r="X67" s="57"/>
      <c r="Y67" s="1"/>
      <c r="Z67" s="58"/>
      <c r="AA67" s="1"/>
      <c r="AP67" s="295"/>
      <c r="AQ67" s="247"/>
      <c r="AR67" s="248"/>
    </row>
    <row r="68" spans="20:44" ht="51.75" customHeight="1" x14ac:dyDescent="0.25">
      <c r="T68" s="58"/>
      <c r="X68" s="57"/>
      <c r="Y68" s="1"/>
      <c r="Z68" s="58"/>
      <c r="AA68" s="1"/>
      <c r="AP68" s="295"/>
      <c r="AQ68" s="247"/>
      <c r="AR68" s="248"/>
    </row>
    <row r="69" spans="20:44" ht="51.75" customHeight="1" x14ac:dyDescent="0.25">
      <c r="T69" s="58"/>
      <c r="X69" s="57"/>
      <c r="Y69" s="1"/>
      <c r="Z69" s="58"/>
      <c r="AA69" s="1"/>
      <c r="AP69" s="295"/>
      <c r="AQ69" s="247"/>
      <c r="AR69" s="248"/>
    </row>
    <row r="70" spans="20:44" ht="51.75" customHeight="1" x14ac:dyDescent="0.25">
      <c r="T70" s="58"/>
      <c r="X70" s="57"/>
      <c r="Y70" s="1"/>
      <c r="Z70" s="58"/>
      <c r="AA70" s="1"/>
      <c r="AP70" s="295"/>
      <c r="AQ70" s="247"/>
      <c r="AR70" s="248"/>
    </row>
    <row r="71" spans="20:44" ht="51.75" customHeight="1" x14ac:dyDescent="0.25">
      <c r="T71" s="58"/>
      <c r="X71" s="57"/>
      <c r="Y71" s="1"/>
      <c r="Z71" s="58"/>
      <c r="AA71" s="1"/>
      <c r="AP71" s="295"/>
      <c r="AQ71" s="247"/>
      <c r="AR71" s="248"/>
    </row>
    <row r="72" spans="20:44" ht="51.75" customHeight="1" x14ac:dyDescent="0.25">
      <c r="T72" s="58"/>
      <c r="X72" s="57"/>
      <c r="Y72" s="1"/>
      <c r="Z72" s="58"/>
      <c r="AA72" s="1"/>
      <c r="AP72" s="295"/>
      <c r="AQ72" s="247"/>
      <c r="AR72" s="248"/>
    </row>
    <row r="73" spans="20:44" ht="51.75" customHeight="1" x14ac:dyDescent="0.25">
      <c r="T73" s="58"/>
      <c r="X73" s="57"/>
      <c r="Y73" s="1"/>
      <c r="Z73" s="58"/>
      <c r="AA73" s="1"/>
      <c r="AP73" s="295"/>
      <c r="AQ73" s="247"/>
      <c r="AR73" s="248"/>
    </row>
    <row r="74" spans="20:44" ht="51.75" customHeight="1" x14ac:dyDescent="0.25">
      <c r="T74" s="58"/>
      <c r="X74" s="57"/>
      <c r="Y74" s="1"/>
      <c r="Z74" s="58"/>
      <c r="AA74" s="1"/>
      <c r="AP74" s="295"/>
      <c r="AQ74" s="247"/>
      <c r="AR74" s="248"/>
    </row>
    <row r="75" spans="20:44" ht="51.75" customHeight="1" x14ac:dyDescent="0.25">
      <c r="T75" s="58"/>
      <c r="X75" s="57"/>
      <c r="Y75" s="1"/>
      <c r="Z75" s="58"/>
      <c r="AA75" s="1"/>
      <c r="AP75" s="295"/>
      <c r="AQ75" s="247"/>
      <c r="AR75" s="248"/>
    </row>
    <row r="76" spans="20:44" ht="51.75" customHeight="1" x14ac:dyDescent="0.25">
      <c r="T76" s="58"/>
      <c r="X76" s="57"/>
      <c r="Y76" s="1"/>
      <c r="Z76" s="58"/>
      <c r="AA76" s="1"/>
      <c r="AP76" s="295"/>
      <c r="AQ76" s="247"/>
      <c r="AR76" s="248"/>
    </row>
    <row r="77" spans="20:44" ht="51.75" customHeight="1" x14ac:dyDescent="0.25">
      <c r="T77" s="58"/>
      <c r="X77" s="57"/>
      <c r="Y77" s="1"/>
      <c r="Z77" s="58"/>
      <c r="AA77" s="1"/>
      <c r="AP77" s="295"/>
      <c r="AQ77" s="247"/>
      <c r="AR77" s="248"/>
    </row>
    <row r="78" spans="20:44" ht="51.75" customHeight="1" x14ac:dyDescent="0.25">
      <c r="T78" s="58"/>
      <c r="X78" s="57"/>
      <c r="Y78" s="1"/>
      <c r="Z78" s="58"/>
      <c r="AA78" s="1"/>
      <c r="AP78" s="295"/>
      <c r="AQ78" s="247"/>
      <c r="AR78" s="248"/>
    </row>
    <row r="79" spans="20:44" ht="51.75" customHeight="1" x14ac:dyDescent="0.25">
      <c r="T79" s="58"/>
      <c r="X79" s="57"/>
      <c r="Y79" s="1"/>
      <c r="Z79" s="58"/>
      <c r="AA79" s="1"/>
      <c r="AP79" s="295"/>
      <c r="AQ79" s="247"/>
      <c r="AR79" s="248"/>
    </row>
    <row r="80" spans="20:44" ht="51.75" customHeight="1" x14ac:dyDescent="0.25">
      <c r="T80" s="58"/>
      <c r="X80" s="57"/>
      <c r="Y80" s="1"/>
      <c r="Z80" s="58"/>
      <c r="AA80" s="1"/>
      <c r="AP80" s="295"/>
      <c r="AQ80" s="247"/>
      <c r="AR80" s="248"/>
    </row>
    <row r="81" spans="20:44" ht="51.75" customHeight="1" x14ac:dyDescent="0.25">
      <c r="T81" s="58"/>
      <c r="X81" s="57"/>
      <c r="Y81" s="1"/>
      <c r="Z81" s="58"/>
      <c r="AA81" s="1"/>
      <c r="AP81" s="295"/>
      <c r="AQ81" s="247"/>
      <c r="AR81" s="248"/>
    </row>
    <row r="82" spans="20:44" ht="51.75" customHeight="1" x14ac:dyDescent="0.25">
      <c r="T82" s="58"/>
      <c r="X82" s="57"/>
      <c r="Y82" s="1"/>
      <c r="Z82" s="58"/>
      <c r="AA82" s="1"/>
      <c r="AP82" s="295"/>
      <c r="AQ82" s="247"/>
      <c r="AR82" s="248"/>
    </row>
    <row r="83" spans="20:44" ht="51.75" customHeight="1" x14ac:dyDescent="0.25">
      <c r="T83" s="58"/>
      <c r="X83" s="57"/>
      <c r="Y83" s="1"/>
      <c r="Z83" s="58"/>
      <c r="AA83" s="1"/>
      <c r="AP83" s="295"/>
      <c r="AQ83" s="247"/>
      <c r="AR83" s="248"/>
    </row>
    <row r="84" spans="20:44" ht="51.75" customHeight="1" x14ac:dyDescent="0.25">
      <c r="T84" s="58"/>
      <c r="X84" s="57"/>
      <c r="Y84" s="1"/>
      <c r="Z84" s="58"/>
      <c r="AA84" s="1"/>
      <c r="AP84" s="295"/>
      <c r="AQ84" s="247"/>
      <c r="AR84" s="248"/>
    </row>
    <row r="85" spans="20:44" ht="51.75" customHeight="1" x14ac:dyDescent="0.25">
      <c r="T85" s="58"/>
      <c r="X85" s="57"/>
      <c r="Y85" s="1"/>
      <c r="Z85" s="58"/>
      <c r="AA85" s="1"/>
      <c r="AP85" s="295"/>
      <c r="AQ85" s="247"/>
      <c r="AR85" s="248"/>
    </row>
    <row r="86" spans="20:44" ht="51.75" customHeight="1" x14ac:dyDescent="0.25">
      <c r="T86" s="58"/>
      <c r="X86" s="57"/>
      <c r="Y86" s="1"/>
      <c r="Z86" s="58"/>
      <c r="AA86" s="1"/>
      <c r="AP86" s="295"/>
      <c r="AQ86" s="247"/>
      <c r="AR86" s="248"/>
    </row>
    <row r="87" spans="20:44" ht="51.75" customHeight="1" x14ac:dyDescent="0.25">
      <c r="T87" s="58"/>
      <c r="X87" s="57"/>
      <c r="Y87" s="1"/>
      <c r="Z87" s="58"/>
      <c r="AA87" s="1"/>
      <c r="AP87" s="295"/>
      <c r="AQ87" s="247"/>
      <c r="AR87" s="248"/>
    </row>
    <row r="88" spans="20:44" ht="51.75" customHeight="1" x14ac:dyDescent="0.25">
      <c r="T88" s="58"/>
      <c r="X88" s="57"/>
      <c r="Y88" s="1"/>
      <c r="Z88" s="58"/>
      <c r="AA88" s="1"/>
      <c r="AP88" s="295"/>
      <c r="AQ88" s="247"/>
      <c r="AR88" s="248"/>
    </row>
    <row r="89" spans="20:44" ht="51.75" customHeight="1" x14ac:dyDescent="0.25">
      <c r="T89" s="58"/>
      <c r="X89" s="57"/>
      <c r="Y89" s="1"/>
      <c r="Z89" s="58"/>
      <c r="AA89" s="1"/>
      <c r="AP89" s="295"/>
      <c r="AQ89" s="247"/>
      <c r="AR89" s="248"/>
    </row>
    <row r="90" spans="20:44" ht="51.75" customHeight="1" x14ac:dyDescent="0.25">
      <c r="T90" s="58"/>
      <c r="X90" s="57"/>
      <c r="Y90" s="1"/>
      <c r="Z90" s="58"/>
      <c r="AA90" s="1"/>
      <c r="AP90" s="295"/>
      <c r="AQ90" s="247"/>
      <c r="AR90" s="248"/>
    </row>
    <row r="91" spans="20:44" ht="51.75" customHeight="1" x14ac:dyDescent="0.25">
      <c r="T91" s="58"/>
      <c r="X91" s="57"/>
      <c r="Y91" s="1"/>
      <c r="Z91" s="58"/>
      <c r="AA91" s="1"/>
      <c r="AP91" s="295"/>
      <c r="AQ91" s="247"/>
      <c r="AR91" s="248"/>
    </row>
    <row r="92" spans="20:44" ht="51.75" customHeight="1" x14ac:dyDescent="0.25">
      <c r="T92" s="58"/>
      <c r="X92" s="57"/>
      <c r="Y92" s="1"/>
      <c r="Z92" s="58"/>
      <c r="AA92" s="1"/>
      <c r="AP92" s="295"/>
      <c r="AQ92" s="247"/>
      <c r="AR92" s="248"/>
    </row>
    <row r="93" spans="20:44" ht="51.75" customHeight="1" x14ac:dyDescent="0.25">
      <c r="T93" s="58"/>
      <c r="X93" s="57"/>
      <c r="Y93" s="1"/>
      <c r="Z93" s="58"/>
      <c r="AA93" s="1"/>
      <c r="AP93" s="295"/>
      <c r="AQ93" s="247"/>
      <c r="AR93" s="248"/>
    </row>
    <row r="94" spans="20:44" ht="51.75" customHeight="1" x14ac:dyDescent="0.25">
      <c r="T94" s="58"/>
      <c r="X94" s="57"/>
      <c r="Y94" s="1"/>
      <c r="Z94" s="58"/>
      <c r="AA94" s="1"/>
      <c r="AP94" s="295"/>
      <c r="AQ94" s="247"/>
      <c r="AR94" s="248"/>
    </row>
    <row r="95" spans="20:44" ht="51.75" customHeight="1" x14ac:dyDescent="0.25">
      <c r="T95" s="58"/>
      <c r="X95" s="57"/>
      <c r="Y95" s="1"/>
      <c r="Z95" s="58"/>
      <c r="AA95" s="1"/>
      <c r="AP95" s="295"/>
      <c r="AQ95" s="247"/>
      <c r="AR95" s="248"/>
    </row>
    <row r="96" spans="20:44" ht="51.75" customHeight="1" x14ac:dyDescent="0.25">
      <c r="T96" s="58"/>
      <c r="X96" s="57"/>
      <c r="Y96" s="1"/>
      <c r="Z96" s="58"/>
      <c r="AA96" s="1"/>
      <c r="AP96" s="295"/>
      <c r="AQ96" s="247"/>
      <c r="AR96" s="248"/>
    </row>
    <row r="97" spans="18:44" ht="51.75" customHeight="1" x14ac:dyDescent="0.25">
      <c r="T97" s="58"/>
      <c r="X97" s="57"/>
      <c r="Y97" s="1"/>
      <c r="Z97" s="58"/>
      <c r="AA97" s="1"/>
      <c r="AP97" s="295"/>
      <c r="AQ97" s="247"/>
      <c r="AR97" s="248"/>
    </row>
    <row r="98" spans="18:44" ht="51.75" customHeight="1" x14ac:dyDescent="0.25">
      <c r="T98" s="58"/>
      <c r="X98" s="57"/>
      <c r="Y98" s="1"/>
      <c r="Z98" s="58"/>
      <c r="AA98" s="1"/>
      <c r="AP98" s="295"/>
      <c r="AQ98" s="247"/>
      <c r="AR98" s="248"/>
    </row>
    <row r="99" spans="18:44" ht="51.75" customHeight="1" x14ac:dyDescent="0.25">
      <c r="T99" s="58"/>
      <c r="X99" s="57"/>
      <c r="Y99" s="1"/>
      <c r="Z99" s="58"/>
      <c r="AA99" s="1"/>
      <c r="AP99" s="295"/>
      <c r="AQ99" s="247"/>
      <c r="AR99" s="248"/>
    </row>
    <row r="100" spans="18:44" ht="51.75" customHeight="1" x14ac:dyDescent="0.25">
      <c r="T100" s="58"/>
      <c r="X100" s="57"/>
      <c r="Y100" s="1"/>
      <c r="Z100" s="58"/>
      <c r="AA100" s="1"/>
      <c r="AP100" s="295"/>
      <c r="AQ100" s="247"/>
      <c r="AR100" s="248"/>
    </row>
    <row r="101" spans="18:44" ht="51.75" customHeight="1" x14ac:dyDescent="0.25">
      <c r="T101" s="58"/>
      <c r="X101" s="57"/>
      <c r="Y101" s="1"/>
      <c r="Z101" s="58"/>
      <c r="AA101" s="1"/>
      <c r="AP101" s="295"/>
      <c r="AQ101" s="247"/>
      <c r="AR101" s="248"/>
    </row>
    <row r="102" spans="18:44" ht="51.75" customHeight="1" x14ac:dyDescent="0.25">
      <c r="T102" s="58"/>
      <c r="X102" s="57"/>
      <c r="Y102" s="1"/>
      <c r="Z102" s="58"/>
      <c r="AA102" s="1"/>
      <c r="AP102" s="295"/>
      <c r="AQ102" s="247"/>
      <c r="AR102" s="248"/>
    </row>
    <row r="103" spans="18:44" ht="51.75" customHeight="1" x14ac:dyDescent="0.25">
      <c r="T103" s="58"/>
      <c r="X103" s="57"/>
      <c r="Y103" s="1"/>
      <c r="Z103" s="58"/>
      <c r="AA103" s="1"/>
      <c r="AP103" s="295"/>
      <c r="AQ103" s="247"/>
      <c r="AR103" s="248"/>
    </row>
    <row r="104" spans="18:44" ht="51.75" customHeight="1" x14ac:dyDescent="0.25">
      <c r="T104" s="58"/>
      <c r="X104" s="57"/>
      <c r="Y104" s="1"/>
      <c r="Z104" s="58"/>
      <c r="AA104" s="1"/>
      <c r="AP104" s="295"/>
      <c r="AQ104" s="247"/>
      <c r="AR104" s="248"/>
    </row>
    <row r="105" spans="18:44" ht="51.75" customHeight="1" x14ac:dyDescent="0.25">
      <c r="T105" s="58"/>
      <c r="X105" s="57"/>
      <c r="Y105" s="1"/>
      <c r="Z105" s="58"/>
      <c r="AA105" s="1"/>
      <c r="AP105" s="295"/>
      <c r="AQ105" s="247"/>
      <c r="AR105" s="248"/>
    </row>
    <row r="106" spans="18:44" ht="51.75" customHeight="1" thickBot="1" x14ac:dyDescent="0.3">
      <c r="R106" s="252"/>
      <c r="S106" s="253"/>
      <c r="T106" s="254"/>
      <c r="U106" s="252"/>
      <c r="V106" s="253"/>
      <c r="W106" s="254"/>
      <c r="X106" s="252"/>
      <c r="Y106" s="253"/>
      <c r="Z106" s="254"/>
      <c r="AA106" s="1"/>
    </row>
  </sheetData>
  <mergeCells count="18">
    <mergeCell ref="A3:AI3"/>
    <mergeCell ref="B5:B6"/>
    <mergeCell ref="A5:A6"/>
    <mergeCell ref="U5:W5"/>
    <mergeCell ref="R5:T5"/>
    <mergeCell ref="L5:N5"/>
    <mergeCell ref="F5:H5"/>
    <mergeCell ref="I5:K5"/>
    <mergeCell ref="AA5:AC5"/>
    <mergeCell ref="X5:Z5"/>
    <mergeCell ref="E5:E6"/>
    <mergeCell ref="D5:D6"/>
    <mergeCell ref="AG5:AI5"/>
    <mergeCell ref="AD5:AF5"/>
    <mergeCell ref="O5:Q5"/>
    <mergeCell ref="AP5:AR5"/>
    <mergeCell ref="AM5:AO5"/>
    <mergeCell ref="AJ5:AL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F86"/>
  <sheetViews>
    <sheetView showZeros="0" zoomScale="80" zoomScaleNormal="80" workbookViewId="0">
      <pane ySplit="2" topLeftCell="A37" activePane="bottomLeft" state="frozen"/>
      <selection activeCell="L12" sqref="L12"/>
      <selection pane="bottomLeft" activeCell="H63" sqref="H63"/>
    </sheetView>
  </sheetViews>
  <sheetFormatPr defaultRowHeight="15" x14ac:dyDescent="0.25"/>
  <cols>
    <col min="1" max="1" width="13.28515625" customWidth="1"/>
    <col min="2" max="2" width="19.85546875" customWidth="1"/>
    <col min="3" max="3" width="16" customWidth="1"/>
    <col min="4" max="4" width="17.85546875" customWidth="1"/>
    <col min="5" max="5" width="14.42578125" customWidth="1"/>
    <col min="6" max="8" width="10.42578125" customWidth="1"/>
    <col min="9" max="11" width="13.42578125" customWidth="1"/>
    <col min="12" max="14" width="13.42578125" style="789" customWidth="1"/>
    <col min="15" max="15" width="16" customWidth="1"/>
    <col min="16" max="16" width="16" style="5" customWidth="1"/>
    <col min="17" max="17" width="3.42578125" customWidth="1"/>
    <col min="18" max="18" width="11.85546875" customWidth="1"/>
    <col min="19" max="26" width="10.5703125" customWidth="1"/>
    <col min="27" max="27" width="16" customWidth="1"/>
    <col min="28" max="28" width="13.28515625" customWidth="1"/>
    <col min="29" max="29" width="18.28515625" customWidth="1"/>
    <col min="30" max="30" width="14" customWidth="1"/>
    <col min="31" max="31" width="14.85546875" customWidth="1"/>
  </cols>
  <sheetData>
    <row r="1" spans="1:32" s="1" customFormat="1" ht="36" customHeight="1" x14ac:dyDescent="0.25">
      <c r="A1" s="186"/>
      <c r="B1" s="187"/>
      <c r="C1" s="187"/>
      <c r="D1" s="187"/>
      <c r="E1" s="187"/>
      <c r="F1" s="187"/>
      <c r="G1" s="187"/>
      <c r="H1" s="187"/>
      <c r="I1" s="187"/>
      <c r="J1" s="187"/>
      <c r="K1" s="187"/>
      <c r="L1" s="67"/>
      <c r="M1" s="67"/>
      <c r="N1" s="67"/>
      <c r="P1" s="19"/>
    </row>
    <row r="2" spans="1:32" s="1" customFormat="1" ht="32.25" customHeight="1" x14ac:dyDescent="0.35">
      <c r="A2" s="1011" t="s">
        <v>1097</v>
      </c>
      <c r="B2" s="1012"/>
      <c r="C2" s="1012"/>
      <c r="D2" s="1012"/>
      <c r="E2" s="1012"/>
      <c r="F2" s="1012"/>
      <c r="G2" s="1012"/>
      <c r="H2" s="1012"/>
      <c r="I2" s="91"/>
      <c r="J2" s="91"/>
      <c r="K2" s="911"/>
      <c r="L2" s="926"/>
      <c r="M2" s="926"/>
      <c r="N2" s="926"/>
      <c r="P2" s="19"/>
      <c r="Q2" s="90"/>
      <c r="R2" s="90"/>
      <c r="S2" s="90"/>
      <c r="T2" s="90"/>
      <c r="U2" s="90"/>
      <c r="V2" s="90"/>
      <c r="W2" s="90"/>
      <c r="X2" s="90"/>
      <c r="Y2" s="90"/>
      <c r="Z2" s="90"/>
      <c r="AA2" s="90"/>
      <c r="AB2" s="90"/>
      <c r="AC2" s="90"/>
      <c r="AD2" s="90"/>
      <c r="AE2" s="90"/>
      <c r="AF2" s="90"/>
    </row>
    <row r="3" spans="1:32" s="19" customFormat="1" ht="25.5" hidden="1" customHeight="1" x14ac:dyDescent="0.25">
      <c r="A3" s="1013">
        <f>Report_Date</f>
        <v>42856</v>
      </c>
      <c r="B3" s="1014"/>
      <c r="C3" s="1014"/>
      <c r="D3" s="1014"/>
      <c r="E3" s="1014"/>
      <c r="F3" s="1014"/>
      <c r="G3" s="1014"/>
      <c r="H3" s="1014"/>
      <c r="I3" s="214"/>
      <c r="J3" s="214"/>
      <c r="K3" s="215"/>
      <c r="L3" s="91"/>
      <c r="M3" s="91"/>
      <c r="N3" s="91"/>
      <c r="O3" s="1"/>
      <c r="Q3" s="90"/>
      <c r="R3" s="90"/>
      <c r="S3" s="90"/>
      <c r="T3" s="90"/>
      <c r="U3" s="90"/>
      <c r="V3" s="90"/>
      <c r="W3" s="90"/>
      <c r="X3" s="90"/>
      <c r="Y3" s="90"/>
      <c r="Z3" s="90"/>
      <c r="AA3" s="90"/>
      <c r="AB3" s="90"/>
      <c r="AC3" s="90"/>
      <c r="AD3" s="90"/>
      <c r="AE3" s="90"/>
      <c r="AF3" s="90"/>
    </row>
    <row r="4" spans="1:32" s="19" customFormat="1" ht="25.5" customHeight="1" x14ac:dyDescent="0.25">
      <c r="A4" s="815"/>
      <c r="B4" s="815"/>
      <c r="C4" s="815"/>
      <c r="D4" s="815"/>
      <c r="E4" s="815"/>
      <c r="F4" s="815"/>
      <c r="G4" s="815"/>
      <c r="H4" s="815"/>
      <c r="I4" s="816"/>
      <c r="J4" s="816"/>
      <c r="K4" s="816"/>
      <c r="L4" s="816"/>
      <c r="M4" s="816"/>
      <c r="N4" s="816"/>
      <c r="O4" s="1"/>
      <c r="Q4" s="789"/>
      <c r="R4" s="789"/>
      <c r="S4" s="789"/>
      <c r="T4" s="789"/>
      <c r="U4" s="789"/>
      <c r="V4" s="789"/>
      <c r="W4" s="789"/>
      <c r="X4" s="789"/>
      <c r="Y4" s="789"/>
      <c r="Z4" s="789"/>
      <c r="AA4" s="789"/>
      <c r="AB4" s="789"/>
      <c r="AC4" s="789"/>
      <c r="AD4" s="789"/>
      <c r="AE4" s="789"/>
      <c r="AF4" s="789"/>
    </row>
    <row r="5" spans="1:32" s="789" customFormat="1" ht="25.5" customHeight="1" x14ac:dyDescent="0.25">
      <c r="A5" s="1129" t="s">
        <v>1</v>
      </c>
      <c r="B5" s="1129" t="s">
        <v>1088</v>
      </c>
      <c r="C5" s="1130" t="s">
        <v>224</v>
      </c>
      <c r="D5" s="1135" t="s">
        <v>1089</v>
      </c>
      <c r="E5" s="1136"/>
      <c r="F5" s="1136"/>
      <c r="G5" s="1136"/>
      <c r="H5" s="1136"/>
      <c r="I5" s="1136"/>
      <c r="J5" s="1136"/>
      <c r="K5" s="1136"/>
      <c r="L5" s="1136"/>
      <c r="M5" s="1136"/>
      <c r="N5" s="1136"/>
      <c r="O5" s="1137"/>
      <c r="P5" s="990"/>
    </row>
    <row r="6" spans="1:32" ht="25.5" customHeight="1" x14ac:dyDescent="0.25">
      <c r="A6" s="1129"/>
      <c r="B6" s="1129"/>
      <c r="C6" s="1129"/>
      <c r="D6" s="917" t="s">
        <v>326</v>
      </c>
      <c r="E6" s="917" t="s">
        <v>303</v>
      </c>
      <c r="F6" s="917" t="s">
        <v>228</v>
      </c>
      <c r="G6" s="917" t="s">
        <v>229</v>
      </c>
      <c r="H6" s="917" t="s">
        <v>331</v>
      </c>
      <c r="I6" s="917" t="s">
        <v>579</v>
      </c>
      <c r="J6" s="917" t="s">
        <v>928</v>
      </c>
      <c r="K6" s="917" t="s">
        <v>580</v>
      </c>
      <c r="L6" s="917" t="s">
        <v>1114</v>
      </c>
      <c r="M6" s="917" t="s">
        <v>1115</v>
      </c>
      <c r="N6" s="94" t="s">
        <v>1116</v>
      </c>
      <c r="O6" s="979" t="s">
        <v>1151</v>
      </c>
      <c r="P6" s="990"/>
    </row>
    <row r="7" spans="1:32" ht="36.75" customHeight="1" x14ac:dyDescent="0.25">
      <c r="A7" s="1129"/>
      <c r="B7" s="1129"/>
      <c r="C7" s="1129"/>
      <c r="D7" s="94" t="s">
        <v>1086</v>
      </c>
      <c r="E7" s="94" t="s">
        <v>1086</v>
      </c>
      <c r="F7" s="94" t="s">
        <v>1086</v>
      </c>
      <c r="G7" s="94" t="s">
        <v>1086</v>
      </c>
      <c r="H7" s="94" t="s">
        <v>1086</v>
      </c>
      <c r="I7" s="94" t="s">
        <v>1086</v>
      </c>
      <c r="J7" s="94" t="s">
        <v>1087</v>
      </c>
      <c r="K7" s="94" t="s">
        <v>1086</v>
      </c>
      <c r="L7" s="94" t="s">
        <v>1086</v>
      </c>
      <c r="M7" s="94" t="s">
        <v>1086</v>
      </c>
      <c r="N7" s="94" t="s">
        <v>1086</v>
      </c>
      <c r="O7" s="979" t="s">
        <v>1086</v>
      </c>
      <c r="P7" s="990"/>
    </row>
    <row r="8" spans="1:32" x14ac:dyDescent="0.25">
      <c r="A8" s="156" t="s">
        <v>607</v>
      </c>
      <c r="B8" s="834">
        <f>SUMIFS(Camplist_HH,Camplist_Township,'NFI Distribution (by Tship)'!$A8,CampList_Status,"Open")</f>
        <v>492</v>
      </c>
      <c r="C8" s="834">
        <f>SUMIFS(Camplist_Popl,Camplist_Township,'NFI Distribution (by Tship)'!$A8,CampList_Status,"Open")</f>
        <v>1601</v>
      </c>
      <c r="D8" s="835">
        <f ca="1">SUMIFS(NFI_Mosquito_Track,NFI_Township,$A8,NFI_CampStatus,"Open")/2</f>
        <v>0</v>
      </c>
      <c r="E8" s="835">
        <f ca="1">SUMIFS(NFI_Tarpaulin_Track,NFI_Township,$A8,NFI_CampStatus,"Open")</f>
        <v>0</v>
      </c>
      <c r="F8" s="835">
        <f t="shared" ref="F8:F17" ca="1" si="0">SUMIFS(NFI_Blanket_Track,NFI_Township,$A8,NFI_CampStatus,"Open")/2</f>
        <v>459.5</v>
      </c>
      <c r="G8" s="835">
        <f t="shared" ref="G8:G17" ca="1" si="1">SUMIFS(NFI_Kitchen_Track,NFI_Township,$A8,NFI_CampStatus,"Open")</f>
        <v>0</v>
      </c>
      <c r="H8" s="835">
        <f ca="1">SUMIFS(NFI_Complementary_Track,NFI_Township,$A8,NFI_CampStatus,"Open")</f>
        <v>0</v>
      </c>
      <c r="I8" s="835">
        <f t="shared" ref="I8:I17" ca="1" si="2">SUMIFS(NFI_Plastic_Bucket_Track,NFI_Township,$A8,NFI_CampStatus,"Open")</f>
        <v>0</v>
      </c>
      <c r="J8" s="835">
        <f t="shared" ref="J8:J17" ca="1" si="3">SUMIFS(NFI_JerryCan_Track,NFI_Township,$A8,NFI_CampStatus,"Open")</f>
        <v>0</v>
      </c>
      <c r="K8" s="835">
        <f ca="1">SUMIFS(NFI_Plastic_Mat_Track,NFI_Township,$A8,NFI_CampStatus,"Open")/5</f>
        <v>0</v>
      </c>
      <c r="L8" s="835">
        <f t="shared" ref="L8:L17" ca="1" si="4">SUMIFS(NFI_Adult_Clothes_Track,NFI_Township,$A8,NFI_CampStatus,"Open")</f>
        <v>0</v>
      </c>
      <c r="M8" s="835">
        <f ca="1">SUMIFS(NFI_Children_Clothes_Track,NFI_Township,$A8,NFI_CampStatus,"Open")</f>
        <v>0</v>
      </c>
      <c r="N8" s="835">
        <f t="shared" ref="N8:N17" ca="1" si="5">SUMIFS(NFI_Sewing_Kit_Track,NFI_Township,$A8,NFI_CampStatus,"Open")</f>
        <v>0</v>
      </c>
      <c r="O8" s="835">
        <f t="shared" ref="O8:O17" ca="1" si="6">SUMIFS(NFI_Solar_Lantern_Track,NFI_Township,$A8,NFI_CampStatus,"Open")</f>
        <v>0</v>
      </c>
      <c r="P8" s="991"/>
    </row>
    <row r="9" spans="1:32" x14ac:dyDescent="0.25">
      <c r="A9" s="156" t="s">
        <v>15</v>
      </c>
      <c r="B9" s="834">
        <f>SUMIFS(Camplist_HH,Camplist_Township,'NFI Distribution (by Tship)'!$A9,CampList_Status,"Open")</f>
        <v>85</v>
      </c>
      <c r="C9" s="834">
        <f>SUMIFS(Camplist_Popl,Camplist_Township,'NFI Distribution (by Tship)'!$A9,CampList_Status,"Open")</f>
        <v>546</v>
      </c>
      <c r="D9" s="835">
        <f t="shared" ref="D9:D17" ca="1" si="7">SUMIFS(NFI_Mosquito_Track,NFI_Township,$A9,NFI_CampStatus,"Open")/2</f>
        <v>91</v>
      </c>
      <c r="E9" s="835">
        <f t="shared" ref="E9:E17" ca="1" si="8">SUMIFS(NFI_Tarpaulin_Track,NFI_Township,$A9,NFI_CampStatus,"Open")</f>
        <v>182</v>
      </c>
      <c r="F9" s="835">
        <f t="shared" ca="1" si="0"/>
        <v>91</v>
      </c>
      <c r="G9" s="835">
        <f t="shared" ca="1" si="1"/>
        <v>91</v>
      </c>
      <c r="H9" s="835">
        <f t="shared" ref="H9:H17" ca="1" si="9">SUMIFS(NFI_Complementary_Track,NFI_Township,$A9,NFI_CampStatus,"Open")</f>
        <v>0</v>
      </c>
      <c r="I9" s="835">
        <f t="shared" ca="1" si="2"/>
        <v>0</v>
      </c>
      <c r="J9" s="835">
        <f t="shared" ca="1" si="3"/>
        <v>91</v>
      </c>
      <c r="K9" s="835">
        <f t="shared" ref="K9:K17" ca="1" si="10">SUMIFS(NFI_Plastic_Mat_Track,NFI_Township,$A9,NFI_CampStatus,"Open")/5</f>
        <v>91</v>
      </c>
      <c r="L9" s="835">
        <f t="shared" ca="1" si="4"/>
        <v>0</v>
      </c>
      <c r="M9" s="835">
        <f t="shared" ref="M9:M17" ca="1" si="11">SUMIFS(NFI_Children_Clothes_Track,NFI_Township,$A9,NFI_CampStatus,"Open")</f>
        <v>0</v>
      </c>
      <c r="N9" s="835">
        <f t="shared" ca="1" si="5"/>
        <v>0</v>
      </c>
      <c r="O9" s="835">
        <f t="shared" ca="1" si="6"/>
        <v>0</v>
      </c>
      <c r="P9" s="991"/>
    </row>
    <row r="10" spans="1:32" x14ac:dyDescent="0.25">
      <c r="A10" s="156" t="s">
        <v>20</v>
      </c>
      <c r="B10" s="834">
        <f>SUMIFS(Camplist_HH,Camplist_Township,'NFI Distribution (by Tship)'!$A10,CampList_Status,"Open")</f>
        <v>184</v>
      </c>
      <c r="C10" s="834">
        <f>SUMIFS(Camplist_Popl,Camplist_Township,'NFI Distribution (by Tship)'!$A10,CampList_Status,"Open")</f>
        <v>1148</v>
      </c>
      <c r="D10" s="835">
        <f t="shared" ca="1" si="7"/>
        <v>0</v>
      </c>
      <c r="E10" s="835">
        <f ca="1">SUMIFS(NFI_Tarpaulin_Track,NFI_Township,$A10,NFI_CampStatus,"Open")</f>
        <v>0</v>
      </c>
      <c r="F10" s="835">
        <f t="shared" ca="1" si="0"/>
        <v>0</v>
      </c>
      <c r="G10" s="835">
        <f t="shared" ca="1" si="1"/>
        <v>0</v>
      </c>
      <c r="H10" s="835">
        <f t="shared" ca="1" si="9"/>
        <v>0</v>
      </c>
      <c r="I10" s="835">
        <f t="shared" ca="1" si="2"/>
        <v>0</v>
      </c>
      <c r="J10" s="835">
        <f t="shared" ca="1" si="3"/>
        <v>0</v>
      </c>
      <c r="K10" s="835">
        <f t="shared" ca="1" si="10"/>
        <v>0</v>
      </c>
      <c r="L10" s="835">
        <f t="shared" ca="1" si="4"/>
        <v>0</v>
      </c>
      <c r="M10" s="835">
        <f t="shared" ca="1" si="11"/>
        <v>0</v>
      </c>
      <c r="N10" s="835">
        <f t="shared" ca="1" si="5"/>
        <v>0</v>
      </c>
      <c r="O10" s="835">
        <f t="shared" ca="1" si="6"/>
        <v>0</v>
      </c>
      <c r="P10" s="991"/>
    </row>
    <row r="11" spans="1:32" ht="15.75" thickBot="1" x14ac:dyDescent="0.3">
      <c r="A11" s="836" t="s">
        <v>866</v>
      </c>
      <c r="B11" s="834">
        <f>SUMIFS(Camplist_HH,Camplist_Township,'NFI Distribution (by Tship)'!$A11,CampList_Status,"Open")</f>
        <v>698</v>
      </c>
      <c r="C11" s="834">
        <f>SUMIFS(Camplist_Popl,Camplist_Township,'NFI Distribution (by Tship)'!$A11,CampList_Status,"Open")</f>
        <v>2656</v>
      </c>
      <c r="D11" s="835">
        <f t="shared" ca="1" si="7"/>
        <v>345</v>
      </c>
      <c r="E11" s="835">
        <f ca="1">SUMIFS(NFI_Tarpaulin_Track,NFI_Township,$A11,NFI_CampStatus,"Open")</f>
        <v>0</v>
      </c>
      <c r="F11" s="835">
        <f t="shared" ca="1" si="0"/>
        <v>351.5</v>
      </c>
      <c r="G11" s="835">
        <f t="shared" ca="1" si="1"/>
        <v>0</v>
      </c>
      <c r="H11" s="835">
        <f ca="1">SUMIFS(NFI_Complementary_Track,NFI_Township,$A11,NFI_CampStatus,"Open")</f>
        <v>195</v>
      </c>
      <c r="I11" s="920">
        <f t="shared" ca="1" si="2"/>
        <v>0</v>
      </c>
      <c r="J11" s="835">
        <f t="shared" ca="1" si="3"/>
        <v>0</v>
      </c>
      <c r="K11" s="835">
        <f t="shared" ca="1" si="10"/>
        <v>0</v>
      </c>
      <c r="L11" s="835">
        <f t="shared" ca="1" si="4"/>
        <v>628</v>
      </c>
      <c r="M11" s="835">
        <f t="shared" ca="1" si="11"/>
        <v>0</v>
      </c>
      <c r="N11" s="835">
        <f t="shared" ca="1" si="5"/>
        <v>628</v>
      </c>
      <c r="O11" s="835">
        <f t="shared" ca="1" si="6"/>
        <v>0</v>
      </c>
      <c r="P11" s="991"/>
    </row>
    <row r="12" spans="1:32" ht="16.5" thickTop="1" thickBot="1" x14ac:dyDescent="0.3">
      <c r="A12" s="156" t="s">
        <v>11</v>
      </c>
      <c r="B12" s="834">
        <f>SUMIFS(Camplist_HH,Camplist_Township,'NFI Distribution (by Tship)'!$A12,CampList_Status,"Open")</f>
        <v>0</v>
      </c>
      <c r="C12" s="834">
        <f>SUMIFS(Camplist_Popl,Camplist_Township,'NFI Distribution (by Tship)'!$A12,CampList_Status,"Open")</f>
        <v>0</v>
      </c>
      <c r="D12" s="835">
        <f t="shared" ca="1" si="7"/>
        <v>0</v>
      </c>
      <c r="E12" s="835">
        <f t="shared" ca="1" si="8"/>
        <v>0</v>
      </c>
      <c r="F12" s="835">
        <f t="shared" ca="1" si="0"/>
        <v>0</v>
      </c>
      <c r="G12" s="835">
        <f t="shared" ca="1" si="1"/>
        <v>0</v>
      </c>
      <c r="H12" s="918">
        <f t="shared" ca="1" si="9"/>
        <v>0</v>
      </c>
      <c r="I12" s="922">
        <f t="shared" ca="1" si="2"/>
        <v>0</v>
      </c>
      <c r="J12" s="919">
        <f t="shared" ca="1" si="3"/>
        <v>0</v>
      </c>
      <c r="K12" s="835">
        <f t="shared" ca="1" si="10"/>
        <v>0</v>
      </c>
      <c r="L12" s="835">
        <f t="shared" ca="1" si="4"/>
        <v>0</v>
      </c>
      <c r="M12" s="835">
        <f t="shared" ca="1" si="11"/>
        <v>0</v>
      </c>
      <c r="N12" s="835">
        <f t="shared" ca="1" si="5"/>
        <v>0</v>
      </c>
      <c r="O12" s="835">
        <f t="shared" ca="1" si="6"/>
        <v>0</v>
      </c>
      <c r="P12" s="991"/>
    </row>
    <row r="13" spans="1:32" ht="15.75" thickTop="1" x14ac:dyDescent="0.25">
      <c r="A13" s="156" t="s">
        <v>1002</v>
      </c>
      <c r="B13" s="834">
        <f>SUMIFS(Camplist_HH,Camplist_Township,'NFI Distribution (by Tship)'!$A13,CampList_Status,"Open")</f>
        <v>0</v>
      </c>
      <c r="C13" s="834">
        <f>SUMIFS(Camplist_Popl,Camplist_Township,'NFI Distribution (by Tship)'!$A13,CampList_Status,"Open")</f>
        <v>0</v>
      </c>
      <c r="D13" s="835">
        <f t="shared" ca="1" si="7"/>
        <v>0</v>
      </c>
      <c r="E13" s="835">
        <f t="shared" ca="1" si="8"/>
        <v>0</v>
      </c>
      <c r="F13" s="835">
        <f t="shared" ca="1" si="0"/>
        <v>0</v>
      </c>
      <c r="G13" s="835">
        <f t="shared" ca="1" si="1"/>
        <v>0</v>
      </c>
      <c r="H13" s="835">
        <f t="shared" ca="1" si="9"/>
        <v>0</v>
      </c>
      <c r="I13" s="921">
        <f t="shared" ca="1" si="2"/>
        <v>0</v>
      </c>
      <c r="J13" s="835">
        <f t="shared" ca="1" si="3"/>
        <v>0</v>
      </c>
      <c r="K13" s="835">
        <f t="shared" ca="1" si="10"/>
        <v>0</v>
      </c>
      <c r="L13" s="835">
        <f t="shared" ca="1" si="4"/>
        <v>0</v>
      </c>
      <c r="M13" s="835">
        <f t="shared" ca="1" si="11"/>
        <v>0</v>
      </c>
      <c r="N13" s="835">
        <f t="shared" ca="1" si="5"/>
        <v>0</v>
      </c>
      <c r="O13" s="835">
        <f t="shared" ca="1" si="6"/>
        <v>0</v>
      </c>
      <c r="P13" s="991"/>
    </row>
    <row r="14" spans="1:32" x14ac:dyDescent="0.25">
      <c r="A14" s="836" t="s">
        <v>14</v>
      </c>
      <c r="B14" s="834">
        <f>SUMIFS(Camplist_HH,Camplist_Township,'NFI Distribution (by Tship)'!$A14,CampList_Status,"Open")</f>
        <v>3640</v>
      </c>
      <c r="C14" s="834">
        <f>SUMIFS(Camplist_Popl,Camplist_Township,'NFI Distribution (by Tship)'!$A14,CampList_Status,"Open")</f>
        <v>16034</v>
      </c>
      <c r="D14" s="835">
        <f t="shared" ca="1" si="7"/>
        <v>1047</v>
      </c>
      <c r="E14" s="835">
        <f t="shared" ca="1" si="8"/>
        <v>60</v>
      </c>
      <c r="F14" s="835">
        <f t="shared" ca="1" si="0"/>
        <v>0</v>
      </c>
      <c r="G14" s="835">
        <f t="shared" ca="1" si="1"/>
        <v>2084</v>
      </c>
      <c r="H14" s="835">
        <f t="shared" ca="1" si="9"/>
        <v>0</v>
      </c>
      <c r="I14" s="835">
        <f t="shared" ca="1" si="2"/>
        <v>0</v>
      </c>
      <c r="J14" s="835">
        <f t="shared" ca="1" si="3"/>
        <v>0</v>
      </c>
      <c r="K14" s="835">
        <f t="shared" ca="1" si="10"/>
        <v>0</v>
      </c>
      <c r="L14" s="835">
        <f t="shared" ca="1" si="4"/>
        <v>2020</v>
      </c>
      <c r="M14" s="835">
        <f t="shared" ca="1" si="11"/>
        <v>0</v>
      </c>
      <c r="N14" s="835">
        <f t="shared" ca="1" si="5"/>
        <v>0</v>
      </c>
      <c r="O14" s="835">
        <f t="shared" ca="1" si="6"/>
        <v>389</v>
      </c>
      <c r="P14" s="991"/>
    </row>
    <row r="15" spans="1:32" x14ac:dyDescent="0.25">
      <c r="A15" s="156" t="s">
        <v>18</v>
      </c>
      <c r="B15" s="834">
        <f>SUMIFS(Camplist_HH,Camplist_Township,'NFI Distribution (by Tship)'!$A15,CampList_Status,"Open")</f>
        <v>75</v>
      </c>
      <c r="C15" s="834">
        <f>SUMIFS(Camplist_Popl,Camplist_Township,'NFI Distribution (by Tship)'!$A15,CampList_Status,"Open")</f>
        <v>264</v>
      </c>
      <c r="D15" s="835">
        <f t="shared" ca="1" si="7"/>
        <v>0</v>
      </c>
      <c r="E15" s="835">
        <f t="shared" ca="1" si="8"/>
        <v>0</v>
      </c>
      <c r="F15" s="835">
        <f t="shared" ca="1" si="0"/>
        <v>0</v>
      </c>
      <c r="G15" s="835">
        <f t="shared" ca="1" si="1"/>
        <v>0</v>
      </c>
      <c r="H15" s="835">
        <f t="shared" ca="1" si="9"/>
        <v>0</v>
      </c>
      <c r="I15" s="835">
        <f t="shared" ca="1" si="2"/>
        <v>0</v>
      </c>
      <c r="J15" s="835">
        <f t="shared" ca="1" si="3"/>
        <v>0</v>
      </c>
      <c r="K15" s="835">
        <f t="shared" ca="1" si="10"/>
        <v>0</v>
      </c>
      <c r="L15" s="835">
        <f t="shared" ca="1" si="4"/>
        <v>0</v>
      </c>
      <c r="M15" s="835">
        <f t="shared" ca="1" si="11"/>
        <v>0</v>
      </c>
      <c r="N15" s="835">
        <f t="shared" ca="1" si="5"/>
        <v>0</v>
      </c>
      <c r="O15" s="835">
        <f t="shared" ca="1" si="6"/>
        <v>0</v>
      </c>
      <c r="P15" s="991"/>
    </row>
    <row r="16" spans="1:32" x14ac:dyDescent="0.25">
      <c r="A16" s="156" t="s">
        <v>16</v>
      </c>
      <c r="B16" s="834">
        <f>SUMIFS(Camplist_HH,Camplist_Township,'NFI Distribution (by Tship)'!$A16,CampList_Status,"Open")</f>
        <v>661</v>
      </c>
      <c r="C16" s="834">
        <f>SUMIFS(Camplist_Popl,Camplist_Township,'NFI Distribution (by Tship)'!$A16,CampList_Status,"Open")</f>
        <v>3566</v>
      </c>
      <c r="D16" s="835">
        <f t="shared" ca="1" si="7"/>
        <v>0</v>
      </c>
      <c r="E16" s="835">
        <f t="shared" ca="1" si="8"/>
        <v>0</v>
      </c>
      <c r="F16" s="835">
        <f t="shared" ca="1" si="0"/>
        <v>135</v>
      </c>
      <c r="G16" s="835">
        <f t="shared" ca="1" si="1"/>
        <v>0</v>
      </c>
      <c r="H16" s="835">
        <f t="shared" ca="1" si="9"/>
        <v>0</v>
      </c>
      <c r="I16" s="835">
        <f t="shared" ca="1" si="2"/>
        <v>0</v>
      </c>
      <c r="J16" s="835">
        <f t="shared" ca="1" si="3"/>
        <v>0</v>
      </c>
      <c r="K16" s="835">
        <f t="shared" ca="1" si="10"/>
        <v>0</v>
      </c>
      <c r="L16" s="835">
        <f t="shared" ca="1" si="4"/>
        <v>0</v>
      </c>
      <c r="M16" s="835">
        <f t="shared" ca="1" si="11"/>
        <v>0</v>
      </c>
      <c r="N16" s="835">
        <f t="shared" ca="1" si="5"/>
        <v>0</v>
      </c>
      <c r="O16" s="835">
        <f t="shared" ca="1" si="6"/>
        <v>0</v>
      </c>
      <c r="P16" s="991"/>
    </row>
    <row r="17" spans="1:16" x14ac:dyDescent="0.25">
      <c r="A17" s="156" t="s">
        <v>19</v>
      </c>
      <c r="B17" s="834">
        <f>SUMIFS(Camplist_HH,Camplist_Township,'NFI Distribution (by Tship)'!$A17,CampList_Status,"Open")</f>
        <v>17820</v>
      </c>
      <c r="C17" s="834">
        <f>SUMIFS(Camplist_Popl,Camplist_Township,'NFI Distribution (by Tship)'!$A17,CampList_Status,"Open")</f>
        <v>94884</v>
      </c>
      <c r="D17" s="835">
        <f t="shared" ca="1" si="7"/>
        <v>3639.5</v>
      </c>
      <c r="E17" s="835">
        <f t="shared" ca="1" si="8"/>
        <v>112</v>
      </c>
      <c r="F17" s="835">
        <f t="shared" ca="1" si="0"/>
        <v>4332.5</v>
      </c>
      <c r="G17" s="835">
        <f t="shared" ca="1" si="1"/>
        <v>1196</v>
      </c>
      <c r="H17" s="835">
        <f t="shared" ca="1" si="9"/>
        <v>6</v>
      </c>
      <c r="I17" s="835">
        <f t="shared" ca="1" si="2"/>
        <v>5465</v>
      </c>
      <c r="J17" s="835">
        <f t="shared" ca="1" si="3"/>
        <v>7286</v>
      </c>
      <c r="K17" s="835">
        <f t="shared" ca="1" si="10"/>
        <v>3407</v>
      </c>
      <c r="L17" s="835">
        <f t="shared" ca="1" si="4"/>
        <v>7205</v>
      </c>
      <c r="M17" s="835">
        <f t="shared" ca="1" si="11"/>
        <v>6363</v>
      </c>
      <c r="N17" s="835">
        <f t="shared" ca="1" si="5"/>
        <v>0</v>
      </c>
      <c r="O17" s="835">
        <f t="shared" ca="1" si="6"/>
        <v>0</v>
      </c>
      <c r="P17" s="991"/>
    </row>
    <row r="18" spans="1:16" x14ac:dyDescent="0.25">
      <c r="A18" s="837" t="s">
        <v>5</v>
      </c>
      <c r="B18" s="838">
        <f t="shared" ref="B18:I18" si="12">SUM(B8:B17)</f>
        <v>23655</v>
      </c>
      <c r="C18" s="838">
        <f t="shared" si="12"/>
        <v>120699</v>
      </c>
      <c r="D18" s="839">
        <f ca="1">SUM(D8:D17)</f>
        <v>5122.5</v>
      </c>
      <c r="E18" s="839">
        <f ca="1">SUM(E8:E17)</f>
        <v>354</v>
      </c>
      <c r="F18" s="839">
        <f ca="1">SUM(F8:F17)</f>
        <v>5369.5</v>
      </c>
      <c r="G18" s="839">
        <f t="shared" ca="1" si="12"/>
        <v>3371</v>
      </c>
      <c r="H18" s="839">
        <f t="shared" ca="1" si="12"/>
        <v>201</v>
      </c>
      <c r="I18" s="839">
        <f t="shared" ca="1" si="12"/>
        <v>5465</v>
      </c>
      <c r="J18" s="839">
        <f t="shared" ref="J18:O18" ca="1" si="13">SUM(J8:J17)</f>
        <v>7377</v>
      </c>
      <c r="K18" s="839">
        <f t="shared" ca="1" si="13"/>
        <v>3498</v>
      </c>
      <c r="L18" s="839">
        <f t="shared" ca="1" si="13"/>
        <v>9853</v>
      </c>
      <c r="M18" s="839">
        <f t="shared" ca="1" si="13"/>
        <v>6363</v>
      </c>
      <c r="N18" s="839">
        <f t="shared" ca="1" si="13"/>
        <v>628</v>
      </c>
      <c r="O18" s="839">
        <f t="shared" ca="1" si="13"/>
        <v>389</v>
      </c>
      <c r="P18" s="992"/>
    </row>
    <row r="19" spans="1:16" ht="15" hidden="1" customHeight="1" x14ac:dyDescent="0.25">
      <c r="A19" s="102"/>
      <c r="B19" s="102"/>
      <c r="C19" s="102"/>
      <c r="D19" s="102"/>
      <c r="E19" s="102"/>
      <c r="F19" s="102"/>
      <c r="G19" s="102"/>
      <c r="H19" s="102"/>
      <c r="I19" s="102"/>
      <c r="J19" s="102"/>
      <c r="K19" s="90"/>
    </row>
    <row r="20" spans="1:16" s="90" customFormat="1" ht="31.5" hidden="1" customHeight="1" x14ac:dyDescent="0.5">
      <c r="A20" s="103" t="s">
        <v>7</v>
      </c>
      <c r="B20" s="104"/>
      <c r="C20" s="104"/>
      <c r="D20" s="104"/>
      <c r="E20" s="104"/>
      <c r="F20" s="104"/>
      <c r="G20" s="104"/>
      <c r="H20" s="104"/>
      <c r="I20" s="104"/>
      <c r="J20" s="104"/>
      <c r="L20" s="789"/>
      <c r="M20" s="789"/>
      <c r="N20" s="789"/>
      <c r="O20" s="66"/>
      <c r="P20" s="993"/>
    </row>
    <row r="21" spans="1:16" s="90" customFormat="1" ht="24" hidden="1" customHeight="1" x14ac:dyDescent="0.25">
      <c r="A21" s="1131" t="s">
        <v>1</v>
      </c>
      <c r="B21" s="1131" t="s">
        <v>223</v>
      </c>
      <c r="C21" s="1131" t="s">
        <v>224</v>
      </c>
      <c r="D21" s="1132" t="s">
        <v>301</v>
      </c>
      <c r="E21" s="1133"/>
      <c r="F21" s="1133"/>
      <c r="G21" s="1134"/>
      <c r="H21" s="105" t="s">
        <v>202</v>
      </c>
      <c r="I21" s="106"/>
      <c r="J21" s="106"/>
      <c r="L21" s="789"/>
      <c r="M21" s="789"/>
      <c r="N21" s="789"/>
      <c r="O21" s="811" t="s">
        <v>302</v>
      </c>
      <c r="P21" s="990"/>
    </row>
    <row r="22" spans="1:16" s="90" customFormat="1" ht="15" hidden="1" customHeight="1" x14ac:dyDescent="0.25">
      <c r="A22" s="1131"/>
      <c r="B22" s="1131"/>
      <c r="C22" s="1131"/>
      <c r="D22" s="96" t="s">
        <v>230</v>
      </c>
      <c r="E22" s="96" t="s">
        <v>233</v>
      </c>
      <c r="F22" s="96" t="s">
        <v>208</v>
      </c>
      <c r="G22" s="107" t="s">
        <v>231</v>
      </c>
      <c r="H22" s="96" t="s">
        <v>230</v>
      </c>
      <c r="I22" s="96" t="s">
        <v>233</v>
      </c>
      <c r="J22" s="96" t="s">
        <v>208</v>
      </c>
      <c r="L22" s="789"/>
      <c r="M22" s="789"/>
      <c r="N22" s="789"/>
      <c r="O22" s="94" t="s">
        <v>230</v>
      </c>
      <c r="P22" s="990"/>
    </row>
    <row r="23" spans="1:16" s="90" customFormat="1" ht="15" hidden="1" customHeight="1" x14ac:dyDescent="0.25">
      <c r="A23" s="97" t="s">
        <v>17</v>
      </c>
      <c r="B23" s="108">
        <f>SUMIF(Camplist_Township,'NFI Distribution (by Tship)'!$A23,Camplist_HH)</f>
        <v>0</v>
      </c>
      <c r="C23" s="108">
        <f>SUMIF(Camplist_Township,'NFI Distribution (by Tship)'!$A23,Camplist_Popl)</f>
        <v>0</v>
      </c>
      <c r="D23" s="108">
        <f t="shared" ref="D23:D32" si="14">SUMIF(NFI_Township,$A23,NFI_Hygiene_Track)</f>
        <v>0</v>
      </c>
      <c r="E23" s="108">
        <f t="shared" ref="E23:E32" si="15">SUMIF(NFI_Pipeline_Township,$A23,NFI_Hygiene_Stock)</f>
        <v>0</v>
      </c>
      <c r="F23" s="108">
        <f>SUMIF(NFI_Pipeline_Township,$A21,NFI_Hygiene_Pipeline)</f>
        <v>0</v>
      </c>
      <c r="G23" s="109">
        <f t="shared" ref="G23:G32" si="16">IF(B23-(D23+E23+F23)&lt;0,0,B23-(D23+E23+F23))</f>
        <v>0</v>
      </c>
      <c r="H23" s="97">
        <f t="shared" ref="H23:H32" si="17">SUMIF(NFI_Township,$A23,NFI_Core_Track)</f>
        <v>0</v>
      </c>
      <c r="I23" s="97">
        <f t="shared" ref="I23:I32" si="18">SUMIF(NFI_Pipeline_Township,$A23,NFI_Core_Stock)</f>
        <v>0</v>
      </c>
      <c r="J23" s="97">
        <f>SUMIF(NFI_Pipeline_Township,$A21,NFI_Core_Pipeline)</f>
        <v>0</v>
      </c>
      <c r="L23" s="789"/>
      <c r="M23" s="789"/>
      <c r="N23" s="789"/>
      <c r="O23" s="12">
        <f t="shared" ref="O23:O32" si="19">SUMIF(NFI_Township,$A23,NFI_Sanitary_Track)</f>
        <v>0</v>
      </c>
      <c r="P23" s="19"/>
    </row>
    <row r="24" spans="1:16" s="90" customFormat="1" ht="15" hidden="1" customHeight="1" x14ac:dyDescent="0.25">
      <c r="A24" s="98" t="s">
        <v>15</v>
      </c>
      <c r="B24" s="108">
        <f>SUMIF(Camplist_Township,'NFI Distribution (by Tship)'!$A24,Camplist_HH)</f>
        <v>1001</v>
      </c>
      <c r="C24" s="108">
        <f>SUMIF(Camplist_Township,'NFI Distribution (by Tship)'!$A24,Camplist_Popl)</f>
        <v>6527</v>
      </c>
      <c r="D24" s="108">
        <f t="shared" si="14"/>
        <v>0</v>
      </c>
      <c r="E24" s="108">
        <f t="shared" si="15"/>
        <v>0</v>
      </c>
      <c r="F24" s="108">
        <f>SUMIF(NFI_Pipeline_Township,$A23,NFI_Hygiene_Pipeline)</f>
        <v>0</v>
      </c>
      <c r="G24" s="109">
        <f t="shared" si="16"/>
        <v>1001</v>
      </c>
      <c r="H24" s="97">
        <f t="shared" si="17"/>
        <v>0</v>
      </c>
      <c r="I24" s="97">
        <f t="shared" si="18"/>
        <v>0</v>
      </c>
      <c r="J24" s="97">
        <f>SUMIF(NFI_Pipeline_Township,$A23,NFI_Core_Pipeline)</f>
        <v>0</v>
      </c>
      <c r="L24" s="789"/>
      <c r="M24" s="789"/>
      <c r="N24" s="789"/>
      <c r="O24" s="12">
        <f t="shared" si="19"/>
        <v>0</v>
      </c>
      <c r="P24" s="19"/>
    </row>
    <row r="25" spans="1:16" s="90" customFormat="1" ht="15" hidden="1" customHeight="1" x14ac:dyDescent="0.25">
      <c r="A25" s="98" t="s">
        <v>20</v>
      </c>
      <c r="B25" s="108">
        <f>SUMIF(Camplist_Township,'NFI Distribution (by Tship)'!$A25,Camplist_HH)</f>
        <v>201</v>
      </c>
      <c r="C25" s="108">
        <f>SUMIF(Camplist_Township,'NFI Distribution (by Tship)'!$A25,Camplist_Popl)</f>
        <v>1257</v>
      </c>
      <c r="D25" s="108">
        <f t="shared" si="14"/>
        <v>0</v>
      </c>
      <c r="E25" s="108">
        <f t="shared" si="15"/>
        <v>0</v>
      </c>
      <c r="F25" s="108">
        <f>SUMIF(NFI_Pipeline_Township,#REF!,NFI_Hygiene_Pipeline)</f>
        <v>0</v>
      </c>
      <c r="G25" s="109">
        <f t="shared" si="16"/>
        <v>201</v>
      </c>
      <c r="H25" s="97">
        <f t="shared" si="17"/>
        <v>0</v>
      </c>
      <c r="I25" s="97">
        <f t="shared" si="18"/>
        <v>494</v>
      </c>
      <c r="J25" s="97">
        <f>SUMIF(NFI_Pipeline_Township,#REF!,NFI_Core_Pipeline)</f>
        <v>0</v>
      </c>
      <c r="L25" s="789"/>
      <c r="M25" s="789"/>
      <c r="N25" s="789"/>
      <c r="O25" s="12">
        <f t="shared" si="19"/>
        <v>0</v>
      </c>
      <c r="P25" s="19"/>
    </row>
    <row r="26" spans="1:16" s="90" customFormat="1" ht="15" hidden="1" customHeight="1" x14ac:dyDescent="0.25">
      <c r="A26" s="99" t="s">
        <v>13</v>
      </c>
      <c r="B26" s="108">
        <f>SUMIF(Camplist_Township,'NFI Distribution (by Tship)'!$A26,Camplist_HH)</f>
        <v>0</v>
      </c>
      <c r="C26" s="108">
        <f>SUMIF(Camplist_Township,'NFI Distribution (by Tship)'!$A26,Camplist_Popl)</f>
        <v>0</v>
      </c>
      <c r="D26" s="108">
        <f t="shared" si="14"/>
        <v>0</v>
      </c>
      <c r="E26" s="108">
        <f t="shared" si="15"/>
        <v>0</v>
      </c>
      <c r="F26" s="108">
        <f>SUMIF(NFI_Pipeline_Township,$A25,NFI_Hygiene_Pipeline)</f>
        <v>0</v>
      </c>
      <c r="G26" s="109">
        <f t="shared" si="16"/>
        <v>0</v>
      </c>
      <c r="H26" s="97">
        <f t="shared" si="17"/>
        <v>0</v>
      </c>
      <c r="I26" s="97">
        <f t="shared" si="18"/>
        <v>0</v>
      </c>
      <c r="J26" s="97">
        <f>SUMIF(NFI_Pipeline_Township,$A25,NFI_Core_Pipeline)</f>
        <v>0</v>
      </c>
      <c r="L26" s="789"/>
      <c r="M26" s="789"/>
      <c r="N26" s="789"/>
      <c r="O26" s="12">
        <f t="shared" si="19"/>
        <v>0</v>
      </c>
      <c r="P26" s="19"/>
    </row>
    <row r="27" spans="1:16" s="90" customFormat="1" ht="15" hidden="1" customHeight="1" x14ac:dyDescent="0.25">
      <c r="A27" s="98" t="s">
        <v>11</v>
      </c>
      <c r="B27" s="108">
        <f>SUMIF(Camplist_Township,'NFI Distribution (by Tship)'!$A27,Camplist_HH)</f>
        <v>911</v>
      </c>
      <c r="C27" s="108">
        <f>SUMIF(Camplist_Township,'NFI Distribution (by Tship)'!$A27,Camplist_Popl)</f>
        <v>5638</v>
      </c>
      <c r="D27" s="108">
        <f t="shared" si="14"/>
        <v>0</v>
      </c>
      <c r="E27" s="108">
        <f t="shared" si="15"/>
        <v>0</v>
      </c>
      <c r="F27" s="108">
        <f>SUMIF(NFI_Pipeline_Township,#REF!,NFI_Hygiene_Pipeline)</f>
        <v>0</v>
      </c>
      <c r="G27" s="109">
        <f t="shared" si="16"/>
        <v>911</v>
      </c>
      <c r="H27" s="97">
        <f t="shared" si="17"/>
        <v>0</v>
      </c>
      <c r="I27" s="97">
        <f t="shared" si="18"/>
        <v>0</v>
      </c>
      <c r="J27" s="97">
        <f>SUMIF(NFI_Pipeline_Township,#REF!,NFI_Core_Pipeline)</f>
        <v>0</v>
      </c>
      <c r="L27" s="789"/>
      <c r="M27" s="789"/>
      <c r="N27" s="789"/>
      <c r="O27" s="12">
        <f t="shared" si="19"/>
        <v>0</v>
      </c>
      <c r="P27" s="19"/>
    </row>
    <row r="28" spans="1:16" s="90" customFormat="1" ht="15" hidden="1" customHeight="1" x14ac:dyDescent="0.25">
      <c r="A28" s="98" t="s">
        <v>12</v>
      </c>
      <c r="B28" s="108">
        <f>SUMIF(Camplist_Township,'NFI Distribution (by Tship)'!$A28,Camplist_HH)</f>
        <v>0</v>
      </c>
      <c r="C28" s="108">
        <f>SUMIF(Camplist_Township,'NFI Distribution (by Tship)'!$A28,Camplist_Popl)</f>
        <v>0</v>
      </c>
      <c r="D28" s="108">
        <f t="shared" si="14"/>
        <v>0</v>
      </c>
      <c r="E28" s="108">
        <f t="shared" si="15"/>
        <v>0</v>
      </c>
      <c r="F28" s="108">
        <f>SUMIF(NFI_Pipeline_Township,$A26,NFI_Hygiene_Pipeline)</f>
        <v>0</v>
      </c>
      <c r="G28" s="109">
        <f t="shared" si="16"/>
        <v>0</v>
      </c>
      <c r="H28" s="97">
        <f t="shared" si="17"/>
        <v>0</v>
      </c>
      <c r="I28" s="97">
        <f t="shared" si="18"/>
        <v>0</v>
      </c>
      <c r="J28" s="97">
        <f>SUMIF(NFI_Pipeline_Township,$A26,NFI_Core_Pipeline)</f>
        <v>0</v>
      </c>
      <c r="L28" s="789"/>
      <c r="M28" s="789"/>
      <c r="N28" s="789"/>
      <c r="O28" s="12">
        <f t="shared" si="19"/>
        <v>0</v>
      </c>
      <c r="P28" s="19"/>
    </row>
    <row r="29" spans="1:16" s="90" customFormat="1" ht="15" hidden="1" customHeight="1" x14ac:dyDescent="0.25">
      <c r="A29" s="99" t="s">
        <v>14</v>
      </c>
      <c r="B29" s="108">
        <f>SUMIF(Camplist_Township,'NFI Distribution (by Tship)'!$A29,Camplist_HH)</f>
        <v>4552</v>
      </c>
      <c r="C29" s="108">
        <f>SUMIF(Camplist_Township,'NFI Distribution (by Tship)'!$A29,Camplist_Popl)</f>
        <v>20395</v>
      </c>
      <c r="D29" s="108">
        <f t="shared" si="14"/>
        <v>0</v>
      </c>
      <c r="E29" s="108">
        <f t="shared" si="15"/>
        <v>0</v>
      </c>
      <c r="F29" s="108">
        <f>SUMIF(NFI_Pipeline_Township,$A27,NFI_Hygiene_Pipeline)</f>
        <v>0</v>
      </c>
      <c r="G29" s="109">
        <f t="shared" si="16"/>
        <v>4552</v>
      </c>
      <c r="H29" s="97">
        <f t="shared" si="17"/>
        <v>0</v>
      </c>
      <c r="I29" s="97">
        <f t="shared" si="18"/>
        <v>0</v>
      </c>
      <c r="J29" s="97">
        <f>SUMIF(NFI_Pipeline_Township,$A27,NFI_Core_Pipeline)</f>
        <v>0</v>
      </c>
      <c r="L29" s="789"/>
      <c r="M29" s="789"/>
      <c r="N29" s="789"/>
      <c r="O29" s="12">
        <f t="shared" si="19"/>
        <v>0</v>
      </c>
      <c r="P29" s="19"/>
    </row>
    <row r="30" spans="1:16" s="90" customFormat="1" ht="15" hidden="1" customHeight="1" x14ac:dyDescent="0.25">
      <c r="A30" s="98" t="s">
        <v>18</v>
      </c>
      <c r="B30" s="108">
        <f>SUMIF(Camplist_Township,'NFI Distribution (by Tship)'!$A30,Camplist_HH)</f>
        <v>75</v>
      </c>
      <c r="C30" s="108">
        <f>SUMIF(Camplist_Township,'NFI Distribution (by Tship)'!$A30,Camplist_Popl)</f>
        <v>264</v>
      </c>
      <c r="D30" s="108">
        <f t="shared" si="14"/>
        <v>0</v>
      </c>
      <c r="E30" s="108">
        <f t="shared" si="15"/>
        <v>0</v>
      </c>
      <c r="F30" s="108">
        <f>SUMIF(NFI_Pipeline_Township,$A28,NFI_Hygiene_Pipeline)</f>
        <v>0</v>
      </c>
      <c r="G30" s="109">
        <f t="shared" si="16"/>
        <v>75</v>
      </c>
      <c r="H30" s="97">
        <f t="shared" si="17"/>
        <v>0</v>
      </c>
      <c r="I30" s="97">
        <f t="shared" si="18"/>
        <v>0</v>
      </c>
      <c r="J30" s="97">
        <f>SUMIF(NFI_Pipeline_Township,$A28,NFI_Core_Pipeline)</f>
        <v>0</v>
      </c>
      <c r="L30" s="789"/>
      <c r="M30" s="789"/>
      <c r="N30" s="789"/>
      <c r="O30" s="12">
        <f t="shared" si="19"/>
        <v>0</v>
      </c>
      <c r="P30" s="19"/>
    </row>
    <row r="31" spans="1:16" s="90" customFormat="1" ht="15" hidden="1" customHeight="1" x14ac:dyDescent="0.25">
      <c r="A31" s="98" t="s">
        <v>16</v>
      </c>
      <c r="B31" s="108">
        <f>SUMIF(Camplist_Township,'NFI Distribution (by Tship)'!$A31,Camplist_HH)</f>
        <v>747</v>
      </c>
      <c r="C31" s="108">
        <f>SUMIF(Camplist_Township,'NFI Distribution (by Tship)'!$A31,Camplist_Popl)</f>
        <v>4055</v>
      </c>
      <c r="D31" s="108">
        <f t="shared" si="14"/>
        <v>0</v>
      </c>
      <c r="E31" s="108">
        <f t="shared" si="15"/>
        <v>0</v>
      </c>
      <c r="F31" s="108">
        <f>SUMIF(NFI_Pipeline_Township,$A29,NFI_Hygiene_Pipeline)</f>
        <v>0</v>
      </c>
      <c r="G31" s="109">
        <f t="shared" si="16"/>
        <v>747</v>
      </c>
      <c r="H31" s="97">
        <f t="shared" si="17"/>
        <v>270</v>
      </c>
      <c r="I31" s="97">
        <f t="shared" si="18"/>
        <v>0</v>
      </c>
      <c r="J31" s="97">
        <f>SUMIF(NFI_Pipeline_Township,$A29,NFI_Core_Pipeline)</f>
        <v>0</v>
      </c>
      <c r="L31" s="789"/>
      <c r="M31" s="789"/>
      <c r="N31" s="789"/>
      <c r="O31" s="12">
        <f t="shared" si="19"/>
        <v>0</v>
      </c>
      <c r="P31" s="19"/>
    </row>
    <row r="32" spans="1:16" s="90" customFormat="1" ht="15" hidden="1" customHeight="1" x14ac:dyDescent="0.25">
      <c r="A32" s="100" t="s">
        <v>19</v>
      </c>
      <c r="B32" s="108">
        <f>SUMIF(Camplist_Township,'NFI Distribution (by Tship)'!$A32,Camplist_HH)</f>
        <v>18710</v>
      </c>
      <c r="C32" s="108">
        <f>SUMIF(Camplist_Township,'NFI Distribution (by Tship)'!$A32,Camplist_Popl)</f>
        <v>99482</v>
      </c>
      <c r="D32" s="108">
        <f t="shared" si="14"/>
        <v>1000</v>
      </c>
      <c r="E32" s="108">
        <f t="shared" si="15"/>
        <v>68</v>
      </c>
      <c r="F32" s="108">
        <f>SUMIF(NFI_Pipeline_Township,$A30,NFI_Hygiene_Pipeline)</f>
        <v>0</v>
      </c>
      <c r="G32" s="109">
        <f t="shared" si="16"/>
        <v>17642</v>
      </c>
      <c r="H32" s="97">
        <f t="shared" si="17"/>
        <v>2009</v>
      </c>
      <c r="I32" s="97">
        <f t="shared" si="18"/>
        <v>0</v>
      </c>
      <c r="J32" s="97">
        <f>SUMIF(NFI_Pipeline_Township,$A30,NFI_Core_Pipeline)</f>
        <v>0</v>
      </c>
      <c r="L32" s="789"/>
      <c r="M32" s="789"/>
      <c r="N32" s="789"/>
      <c r="O32" s="12">
        <f t="shared" si="19"/>
        <v>10210</v>
      </c>
      <c r="P32" s="19"/>
    </row>
    <row r="33" spans="1:31" s="90" customFormat="1" ht="15" hidden="1" customHeight="1" x14ac:dyDescent="0.25">
      <c r="A33" s="101" t="s">
        <v>5</v>
      </c>
      <c r="B33" s="101">
        <f t="shared" ref="B33:J33" si="20">SUM(B23:B32)</f>
        <v>26197</v>
      </c>
      <c r="C33" s="101">
        <f t="shared" si="20"/>
        <v>137618</v>
      </c>
      <c r="D33" s="101">
        <f t="shared" si="20"/>
        <v>1000</v>
      </c>
      <c r="E33" s="101">
        <f t="shared" si="20"/>
        <v>68</v>
      </c>
      <c r="F33" s="101">
        <f t="shared" si="20"/>
        <v>0</v>
      </c>
      <c r="G33" s="110">
        <f t="shared" si="20"/>
        <v>25129</v>
      </c>
      <c r="H33" s="101">
        <f t="shared" si="20"/>
        <v>2279</v>
      </c>
      <c r="I33" s="101">
        <f t="shared" si="20"/>
        <v>494</v>
      </c>
      <c r="J33" s="101">
        <f t="shared" si="20"/>
        <v>0</v>
      </c>
      <c r="L33" s="789"/>
      <c r="M33" s="789"/>
      <c r="N33" s="789"/>
      <c r="O33" s="13">
        <f>SUM(O23:O32)</f>
        <v>10210</v>
      </c>
      <c r="P33" s="20"/>
    </row>
    <row r="34" spans="1:31" x14ac:dyDescent="0.25">
      <c r="A34" s="102"/>
      <c r="B34" s="102"/>
      <c r="C34" s="102"/>
      <c r="D34" s="102"/>
      <c r="E34" s="102"/>
      <c r="F34" s="102"/>
      <c r="G34" s="102"/>
      <c r="H34" s="102"/>
      <c r="I34" s="102"/>
      <c r="J34" s="102"/>
      <c r="K34" s="90"/>
    </row>
    <row r="35" spans="1:31" s="789" customFormat="1" x14ac:dyDescent="0.25">
      <c r="A35" s="102"/>
      <c r="B35" s="102"/>
      <c r="C35" s="102"/>
      <c r="D35" s="102"/>
      <c r="E35" s="102"/>
      <c r="F35" s="102"/>
      <c r="G35" s="102"/>
      <c r="H35" s="102"/>
      <c r="I35" s="102"/>
      <c r="J35" s="102"/>
      <c r="P35" s="5"/>
    </row>
    <row r="36" spans="1:31" s="789" customFormat="1" x14ac:dyDescent="0.25">
      <c r="A36" s="102"/>
      <c r="B36" s="102"/>
      <c r="C36" s="102"/>
      <c r="D36" s="102"/>
      <c r="E36" s="102"/>
      <c r="F36" s="102"/>
      <c r="G36" s="102"/>
      <c r="H36" s="102"/>
      <c r="I36" s="102"/>
      <c r="J36" s="102"/>
      <c r="P36" s="5"/>
    </row>
    <row r="37" spans="1:31" s="789" customFormat="1" x14ac:dyDescent="0.25">
      <c r="A37" s="102"/>
      <c r="B37" s="102"/>
      <c r="C37" s="102"/>
      <c r="D37" s="102"/>
      <c r="E37" s="102"/>
      <c r="F37" s="102"/>
      <c r="G37" s="102"/>
      <c r="H37" s="102"/>
      <c r="I37" s="102"/>
      <c r="J37" s="102"/>
      <c r="P37" s="5"/>
    </row>
    <row r="38" spans="1:31" s="789" customFormat="1" x14ac:dyDescent="0.25">
      <c r="A38" s="102"/>
      <c r="B38" s="102"/>
      <c r="C38" s="102"/>
      <c r="D38" s="102"/>
      <c r="E38" s="102"/>
      <c r="F38" s="102"/>
      <c r="G38" s="102"/>
      <c r="H38" s="102"/>
      <c r="I38" s="102"/>
      <c r="J38" s="102"/>
      <c r="P38" s="5"/>
    </row>
    <row r="39" spans="1:31" s="789" customFormat="1" ht="15.75" thickBot="1" x14ac:dyDescent="0.3">
      <c r="A39" s="102"/>
      <c r="B39" s="102"/>
      <c r="C39" s="102"/>
      <c r="D39" s="102"/>
      <c r="E39" s="102"/>
      <c r="F39" s="102"/>
      <c r="G39" s="102"/>
      <c r="H39" s="102"/>
      <c r="I39" s="102"/>
      <c r="J39" s="102"/>
      <c r="P39" s="5"/>
      <c r="R39" s="840" t="s">
        <v>10</v>
      </c>
      <c r="S39" s="156" t="s">
        <v>652</v>
      </c>
    </row>
    <row r="40" spans="1:31" ht="15" customHeight="1" x14ac:dyDescent="0.25">
      <c r="A40" s="1116" t="s">
        <v>1090</v>
      </c>
      <c r="B40" s="1117"/>
      <c r="C40" s="1117"/>
      <c r="D40" s="1117"/>
      <c r="E40" s="1117"/>
      <c r="F40" s="1117"/>
      <c r="G40" s="1117"/>
      <c r="H40" s="1117"/>
      <c r="I40" s="1117"/>
      <c r="J40" s="1117"/>
      <c r="K40" s="1117"/>
      <c r="L40" s="1117"/>
      <c r="M40" s="1117"/>
      <c r="N40" s="1118"/>
      <c r="R40" s="840" t="s">
        <v>232</v>
      </c>
      <c r="S40" s="156" t="s">
        <v>767</v>
      </c>
      <c r="T40" s="1114" t="s">
        <v>1091</v>
      </c>
      <c r="U40" s="1115"/>
      <c r="V40" s="1115"/>
      <c r="W40" s="1115"/>
      <c r="X40" s="1115"/>
      <c r="Y40" s="1115"/>
      <c r="Z40" s="1115"/>
      <c r="AA40" s="1115"/>
      <c r="AB40" s="1115"/>
      <c r="AC40" s="1115"/>
      <c r="AD40" s="1115"/>
      <c r="AE40" s="1115"/>
    </row>
    <row r="41" spans="1:31" s="90" customFormat="1" ht="15.75" customHeight="1" thickBot="1" x14ac:dyDescent="0.3">
      <c r="A41" s="1119"/>
      <c r="B41" s="1120"/>
      <c r="C41" s="1120"/>
      <c r="D41" s="1120"/>
      <c r="E41" s="1120"/>
      <c r="F41" s="1120"/>
      <c r="G41" s="1120"/>
      <c r="H41" s="1120"/>
      <c r="I41" s="1120"/>
      <c r="J41" s="1120"/>
      <c r="K41" s="1120"/>
      <c r="L41" s="1120"/>
      <c r="M41" s="1120"/>
      <c r="N41" s="1121"/>
      <c r="P41" s="5"/>
      <c r="R41" s="840" t="s">
        <v>346</v>
      </c>
      <c r="S41" s="156" t="s">
        <v>348</v>
      </c>
      <c r="T41" s="1114"/>
      <c r="U41" s="1115"/>
      <c r="V41" s="1115"/>
      <c r="W41" s="1115"/>
      <c r="X41" s="1115"/>
      <c r="Y41" s="1115"/>
      <c r="Z41" s="1115"/>
      <c r="AA41" s="1115"/>
      <c r="AB41" s="1115"/>
      <c r="AC41" s="1115"/>
      <c r="AD41" s="1115"/>
      <c r="AE41" s="1115"/>
    </row>
    <row r="42" spans="1:31" x14ac:dyDescent="0.25">
      <c r="J42" s="102"/>
      <c r="K42" s="4"/>
      <c r="L42" s="4"/>
      <c r="M42" s="4"/>
      <c r="N42" s="4"/>
      <c r="O42" s="4"/>
      <c r="P42" s="994"/>
      <c r="R42" s="102"/>
      <c r="S42" s="102"/>
      <c r="T42" s="102"/>
      <c r="U42" s="102"/>
      <c r="V42" s="102"/>
      <c r="W42" s="102"/>
      <c r="X42" s="102"/>
      <c r="Y42" s="102"/>
      <c r="Z42" s="102"/>
    </row>
    <row r="43" spans="1:31" x14ac:dyDescent="0.25">
      <c r="A43" s="812" t="s">
        <v>1</v>
      </c>
      <c r="B43" s="115" t="s">
        <v>302</v>
      </c>
      <c r="C43" s="115" t="s">
        <v>908</v>
      </c>
      <c r="D43" s="115" t="s">
        <v>909</v>
      </c>
      <c r="E43" s="115" t="s">
        <v>910</v>
      </c>
      <c r="F43" s="115" t="s">
        <v>911</v>
      </c>
      <c r="G43" s="115" t="s">
        <v>912</v>
      </c>
      <c r="H43" s="115" t="s">
        <v>913</v>
      </c>
      <c r="I43" s="184" t="s">
        <v>936</v>
      </c>
      <c r="J43" s="115" t="s">
        <v>914</v>
      </c>
      <c r="K43" s="115" t="s">
        <v>1114</v>
      </c>
      <c r="L43" s="115" t="s">
        <v>1115</v>
      </c>
      <c r="M43" s="115" t="s">
        <v>1116</v>
      </c>
      <c r="N43" s="115" t="s">
        <v>1151</v>
      </c>
      <c r="O43" s="4"/>
      <c r="P43" s="994"/>
      <c r="R43" s="840" t="s">
        <v>212</v>
      </c>
      <c r="S43" s="156" t="s">
        <v>1139</v>
      </c>
      <c r="T43" s="156" t="s">
        <v>908</v>
      </c>
      <c r="U43" s="156" t="s">
        <v>909</v>
      </c>
      <c r="V43" s="156" t="s">
        <v>910</v>
      </c>
      <c r="W43" s="156" t="s">
        <v>911</v>
      </c>
      <c r="X43" s="156" t="s">
        <v>912</v>
      </c>
      <c r="Y43" s="156" t="s">
        <v>913</v>
      </c>
      <c r="Z43" s="156" t="s">
        <v>936</v>
      </c>
      <c r="AA43" s="156" t="s">
        <v>914</v>
      </c>
      <c r="AB43" s="156" t="s">
        <v>1127</v>
      </c>
      <c r="AC43" s="156" t="s">
        <v>1126</v>
      </c>
      <c r="AD43" s="156" t="s">
        <v>1125</v>
      </c>
      <c r="AE43" s="156" t="s">
        <v>1153</v>
      </c>
    </row>
    <row r="44" spans="1:31" x14ac:dyDescent="0.25">
      <c r="A44" s="196" t="str">
        <f>R44</f>
        <v>Kyauktaw</v>
      </c>
      <c r="B44" s="242">
        <f>GETPIVOTDATA("Sanitary Kit ",$R$43,"Township",Table24[[#This Row],[Township]])</f>
        <v>0</v>
      </c>
      <c r="C44" s="242">
        <f>GETPIVOTDATA(" Mosquito net",$R$43,"Township",A44)/2</f>
        <v>91</v>
      </c>
      <c r="D44" s="242">
        <f>GETPIVOTDATA(" Tarpaulin",$R$43,"Township",A44)</f>
        <v>182</v>
      </c>
      <c r="E44" s="242">
        <f>GETPIVOTDATA(" Blanket",$R$43,"Township",A44)/2</f>
        <v>91</v>
      </c>
      <c r="F44" s="242">
        <f>GETPIVOTDATA(" Kitchen Set",$R$43,"Township",A44)</f>
        <v>91</v>
      </c>
      <c r="G44" s="242">
        <f>GETPIVOTDATA(" Complementary Kit",$R$43,"Township",A44)</f>
        <v>0</v>
      </c>
      <c r="H44" s="242">
        <f>GETPIVOTDATA(" Plastic Bucket",$R$43,"Township",A44)</f>
        <v>0</v>
      </c>
      <c r="I44" s="817">
        <f>GETPIVOTDATA(" Jerry Can",$R$43,"Township",A44)</f>
        <v>91</v>
      </c>
      <c r="J44" s="915">
        <f>GETPIVOTDATA(" Plastic  Mat",$R$43,"Township",A44)/5</f>
        <v>91</v>
      </c>
      <c r="K44" s="916">
        <f>GETPIVOTDATA("Adult Clothes ",$R$43,"Township",A44)</f>
        <v>0</v>
      </c>
      <c r="L44" s="916">
        <f>GETPIVOTDATA("Children Clothes ",$R$43,"Township",A44)</f>
        <v>0</v>
      </c>
      <c r="M44" s="916">
        <f>GETPIVOTDATA("Sewing Kit ",$R$43,"Township",A44)</f>
        <v>0</v>
      </c>
      <c r="N44" s="916">
        <f>GETPIVOTDATA("Solar Lantern ",$R$43,"Township",A44)</f>
        <v>0</v>
      </c>
      <c r="O44" s="4"/>
      <c r="P44" s="994"/>
      <c r="R44" s="836" t="s">
        <v>15</v>
      </c>
      <c r="S44" s="841">
        <v>0</v>
      </c>
      <c r="T44" s="841">
        <v>182</v>
      </c>
      <c r="U44" s="841">
        <v>182</v>
      </c>
      <c r="V44" s="841">
        <v>182</v>
      </c>
      <c r="W44" s="841">
        <v>91</v>
      </c>
      <c r="X44" s="841">
        <v>0</v>
      </c>
      <c r="Y44" s="841">
        <v>0</v>
      </c>
      <c r="Z44" s="841">
        <v>91</v>
      </c>
      <c r="AA44" s="841">
        <v>455</v>
      </c>
      <c r="AB44" s="841">
        <v>0</v>
      </c>
      <c r="AC44" s="841">
        <v>0</v>
      </c>
      <c r="AD44" s="841">
        <v>0</v>
      </c>
      <c r="AE44" s="841">
        <v>0</v>
      </c>
    </row>
    <row r="45" spans="1:31" x14ac:dyDescent="0.25">
      <c r="A45" s="196" t="str">
        <f t="shared" ref="A45:A51" si="21">R45</f>
        <v>Pauktaw</v>
      </c>
      <c r="B45" s="242">
        <f>GETPIVOTDATA("Sanitary Kit ",$R$43,"Township",Table24[[#This Row],[Township]])</f>
        <v>0</v>
      </c>
      <c r="C45" s="242">
        <f>GETPIVOTDATA(" Mosquito net",$R$43,"Township",A45)/2</f>
        <v>1047</v>
      </c>
      <c r="D45" s="242">
        <f t="shared" ref="D45:D48" si="22">GETPIVOTDATA(" Tarpaulin",$R$43,"Township",A45)</f>
        <v>60</v>
      </c>
      <c r="E45" s="242">
        <f>GETPIVOTDATA(" Blanket",$R$43,"Township",A45)/2</f>
        <v>0</v>
      </c>
      <c r="F45" s="242">
        <f t="shared" ref="F45:F48" si="23">GETPIVOTDATA(" Kitchen Set",$R$43,"Township",A45)</f>
        <v>2084</v>
      </c>
      <c r="G45" s="242">
        <f t="shared" ref="G45:G48" si="24">GETPIVOTDATA(" Complementary Kit",$R$43,"Township",A45)</f>
        <v>0</v>
      </c>
      <c r="H45" s="242">
        <f t="shared" ref="H45:H48" si="25">GETPIVOTDATA(" Plastic Bucket",$R$43,"Township",A45)</f>
        <v>0</v>
      </c>
      <c r="I45" s="817">
        <f t="shared" ref="I45:I48" si="26">GETPIVOTDATA(" Jerry Can",$R$43,"Township",A45)</f>
        <v>0</v>
      </c>
      <c r="J45" s="915">
        <f t="shared" ref="J45:J48" si="27">GETPIVOTDATA(" Plastic  Mat",$R$43,"Township",A45)</f>
        <v>0</v>
      </c>
      <c r="K45" s="916">
        <f t="shared" ref="K45:K48" si="28">GETPIVOTDATA("Adult Clothes ",$R$43,"Township",A45)</f>
        <v>2020</v>
      </c>
      <c r="L45" s="916">
        <f t="shared" ref="L45:L48" si="29">GETPIVOTDATA("Children Clothes ",$R$43,"Township",A45)</f>
        <v>0</v>
      </c>
      <c r="M45" s="916">
        <f t="shared" ref="M45:M48" si="30">GETPIVOTDATA("Sewing Kit ",$R$43,"Township",A45)</f>
        <v>0</v>
      </c>
      <c r="N45" s="916">
        <f>GETPIVOTDATA("Solar Lantern ",$R$43,"Township",A45)</f>
        <v>389</v>
      </c>
      <c r="O45" s="4"/>
      <c r="P45" s="994"/>
      <c r="R45" s="836" t="s">
        <v>14</v>
      </c>
      <c r="S45" s="841">
        <v>0</v>
      </c>
      <c r="T45" s="841">
        <v>2094</v>
      </c>
      <c r="U45" s="841">
        <v>60</v>
      </c>
      <c r="V45" s="841">
        <v>0</v>
      </c>
      <c r="W45" s="841">
        <v>2084</v>
      </c>
      <c r="X45" s="841">
        <v>0</v>
      </c>
      <c r="Y45" s="841">
        <v>0</v>
      </c>
      <c r="Z45" s="841">
        <v>0</v>
      </c>
      <c r="AA45" s="841">
        <v>0</v>
      </c>
      <c r="AB45" s="841">
        <v>2020</v>
      </c>
      <c r="AC45" s="841">
        <v>0</v>
      </c>
      <c r="AD45" s="841">
        <v>0</v>
      </c>
      <c r="AE45" s="841">
        <v>389</v>
      </c>
    </row>
    <row r="46" spans="1:31" x14ac:dyDescent="0.25">
      <c r="A46" s="196" t="str">
        <f t="shared" si="21"/>
        <v>Rathedaung</v>
      </c>
      <c r="B46" s="242">
        <f>GETPIVOTDATA("Sanitary Kit ",$R$43,"Township",Table24[[#This Row],[Township]])</f>
        <v>0</v>
      </c>
      <c r="C46" s="242">
        <f>GETPIVOTDATA(" Mosquito net",$R$43,"Township",A46)/2</f>
        <v>0</v>
      </c>
      <c r="D46" s="242">
        <f t="shared" si="22"/>
        <v>0</v>
      </c>
      <c r="E46" s="242">
        <f>GETPIVOTDATA(" Blanket",$R$43,"Township",A46)/2</f>
        <v>135</v>
      </c>
      <c r="F46" s="242">
        <f t="shared" si="23"/>
        <v>0</v>
      </c>
      <c r="G46" s="242">
        <f t="shared" si="24"/>
        <v>0</v>
      </c>
      <c r="H46" s="242">
        <f t="shared" si="25"/>
        <v>0</v>
      </c>
      <c r="I46" s="817">
        <f t="shared" si="26"/>
        <v>0</v>
      </c>
      <c r="J46" s="915">
        <f>GETPIVOTDATA(" Plastic  Mat",$R$43,"Township",A46)/5</f>
        <v>0</v>
      </c>
      <c r="K46" s="916">
        <f t="shared" si="28"/>
        <v>0</v>
      </c>
      <c r="L46" s="916">
        <f t="shared" si="29"/>
        <v>0</v>
      </c>
      <c r="M46" s="916">
        <f t="shared" si="30"/>
        <v>0</v>
      </c>
      <c r="N46" s="916">
        <f>GETPIVOTDATA("Solar Lantern ",$R$43,"Township",A46)</f>
        <v>0</v>
      </c>
      <c r="O46" s="4"/>
      <c r="P46" s="994"/>
      <c r="R46" s="836" t="s">
        <v>16</v>
      </c>
      <c r="S46" s="841">
        <v>0</v>
      </c>
      <c r="T46" s="841">
        <v>0</v>
      </c>
      <c r="U46" s="841">
        <v>0</v>
      </c>
      <c r="V46" s="841">
        <v>270</v>
      </c>
      <c r="W46" s="841">
        <v>0</v>
      </c>
      <c r="X46" s="841">
        <v>0</v>
      </c>
      <c r="Y46" s="841">
        <v>0</v>
      </c>
      <c r="Z46" s="841">
        <v>0</v>
      </c>
      <c r="AA46" s="841">
        <v>0</v>
      </c>
      <c r="AB46" s="841">
        <v>0</v>
      </c>
      <c r="AC46" s="841">
        <v>0</v>
      </c>
      <c r="AD46" s="841">
        <v>0</v>
      </c>
      <c r="AE46" s="841">
        <v>0</v>
      </c>
    </row>
    <row r="47" spans="1:31" x14ac:dyDescent="0.25">
      <c r="A47" s="196" t="str">
        <f t="shared" si="21"/>
        <v>Sittwe</v>
      </c>
      <c r="B47" s="242">
        <f>GETPIVOTDATA("Sanitary Kit ",$R$43,"Township",Table24[[#This Row],[Township]])</f>
        <v>10210</v>
      </c>
      <c r="C47" s="242">
        <f>GETPIVOTDATA(" Mosquito net",$R$43,"Township",A47)/2</f>
        <v>3639.5</v>
      </c>
      <c r="D47" s="242">
        <f t="shared" si="22"/>
        <v>112</v>
      </c>
      <c r="E47" s="242">
        <f>GETPIVOTDATA(" Blanket",$R$43,"Township",A47)/2</f>
        <v>4332.5</v>
      </c>
      <c r="F47" s="242">
        <f t="shared" si="23"/>
        <v>1196</v>
      </c>
      <c r="G47" s="242">
        <f t="shared" si="24"/>
        <v>6</v>
      </c>
      <c r="H47" s="242">
        <f t="shared" si="25"/>
        <v>5465</v>
      </c>
      <c r="I47" s="817">
        <f t="shared" si="26"/>
        <v>7286</v>
      </c>
      <c r="J47" s="915">
        <f>GETPIVOTDATA(" Plastic  Mat",$R$43,"Township",A47)/5</f>
        <v>3407</v>
      </c>
      <c r="K47" s="916">
        <f t="shared" si="28"/>
        <v>7205</v>
      </c>
      <c r="L47" s="916">
        <f t="shared" si="29"/>
        <v>6363</v>
      </c>
      <c r="M47" s="916">
        <f t="shared" si="30"/>
        <v>0</v>
      </c>
      <c r="N47" s="916">
        <f>GETPIVOTDATA("Solar Lantern ",$R$43,"Township",A47)</f>
        <v>0</v>
      </c>
      <c r="O47" s="4"/>
      <c r="P47" s="994"/>
      <c r="R47" s="836" t="s">
        <v>19</v>
      </c>
      <c r="S47" s="841">
        <v>10210</v>
      </c>
      <c r="T47" s="841">
        <v>7279</v>
      </c>
      <c r="U47" s="841">
        <v>112</v>
      </c>
      <c r="V47" s="841">
        <v>8665</v>
      </c>
      <c r="W47" s="841">
        <v>1196</v>
      </c>
      <c r="X47" s="841">
        <v>6</v>
      </c>
      <c r="Y47" s="841">
        <v>5465</v>
      </c>
      <c r="Z47" s="841">
        <v>7286</v>
      </c>
      <c r="AA47" s="841">
        <v>17035</v>
      </c>
      <c r="AB47" s="841">
        <v>7205</v>
      </c>
      <c r="AC47" s="841">
        <v>6363</v>
      </c>
      <c r="AD47" s="841">
        <v>0</v>
      </c>
      <c r="AE47" s="841">
        <v>0</v>
      </c>
    </row>
    <row r="48" spans="1:31" x14ac:dyDescent="0.25">
      <c r="A48" s="196" t="str">
        <f t="shared" si="21"/>
        <v>Myebon</v>
      </c>
      <c r="B48" s="242">
        <f>GETPIVOTDATA("Sanitary Kit ",$R$43,"Township",Table24[[#This Row],[Township]])</f>
        <v>1325</v>
      </c>
      <c r="C48" s="242">
        <f>GETPIVOTDATA(" Mosquito net",$R$43,"Township",A48)/2</f>
        <v>345</v>
      </c>
      <c r="D48" s="242">
        <f t="shared" si="22"/>
        <v>0</v>
      </c>
      <c r="E48" s="242">
        <f>GETPIVOTDATA(" Blanket",$R$43,"Township",A48)/2</f>
        <v>351.5</v>
      </c>
      <c r="F48" s="242">
        <f t="shared" si="23"/>
        <v>0</v>
      </c>
      <c r="G48" s="242">
        <f t="shared" si="24"/>
        <v>195</v>
      </c>
      <c r="H48" s="242">
        <f t="shared" si="25"/>
        <v>0</v>
      </c>
      <c r="I48" s="817">
        <f t="shared" si="26"/>
        <v>0</v>
      </c>
      <c r="J48" s="915">
        <f t="shared" si="27"/>
        <v>0</v>
      </c>
      <c r="K48" s="916">
        <f t="shared" si="28"/>
        <v>628</v>
      </c>
      <c r="L48" s="916">
        <f t="shared" si="29"/>
        <v>0</v>
      </c>
      <c r="M48" s="916">
        <f t="shared" si="30"/>
        <v>628</v>
      </c>
      <c r="N48" s="916">
        <f>GETPIVOTDATA("Solar Lantern ",$R$43,"Township",A48)</f>
        <v>0</v>
      </c>
      <c r="O48" s="4"/>
      <c r="P48" s="994"/>
      <c r="R48" s="836" t="s">
        <v>866</v>
      </c>
      <c r="S48" s="841">
        <v>1325</v>
      </c>
      <c r="T48" s="841">
        <v>690</v>
      </c>
      <c r="U48" s="841">
        <v>0</v>
      </c>
      <c r="V48" s="841">
        <v>703</v>
      </c>
      <c r="W48" s="841">
        <v>0</v>
      </c>
      <c r="X48" s="841">
        <v>195</v>
      </c>
      <c r="Y48" s="841">
        <v>0</v>
      </c>
      <c r="Z48" s="841">
        <v>0</v>
      </c>
      <c r="AA48" s="841">
        <v>0</v>
      </c>
      <c r="AB48" s="841">
        <v>628</v>
      </c>
      <c r="AC48" s="841">
        <v>0</v>
      </c>
      <c r="AD48" s="841">
        <v>628</v>
      </c>
      <c r="AE48" s="841">
        <v>0</v>
      </c>
    </row>
    <row r="49" spans="1:31" x14ac:dyDescent="0.25">
      <c r="A49" s="196" t="str">
        <f t="shared" si="21"/>
        <v xml:space="preserve">Kyaukpyu </v>
      </c>
      <c r="B49" s="242">
        <f>GETPIVOTDATA("Sanitary Kit ",$R$43,"Township","Kyaukpyu ")</f>
        <v>0</v>
      </c>
      <c r="C49" s="242">
        <f>GETPIVOTDATA(" Mosquito net",$R$43,"Township","Kyaukpyu ")</f>
        <v>0</v>
      </c>
      <c r="D49" s="242">
        <f>GETPIVOTDATA(" Tarpaulin",$R$43,"Township","Kyaukpyu ")</f>
        <v>0</v>
      </c>
      <c r="E49" s="242">
        <f>GETPIVOTDATA(" Blanket",$R$43,"Township","Kyaukpyu ")/2</f>
        <v>459.5</v>
      </c>
      <c r="F49" s="242"/>
      <c r="G49" s="242"/>
      <c r="H49" s="242"/>
      <c r="I49" s="817"/>
      <c r="J49" s="915"/>
      <c r="K49" s="916"/>
      <c r="L49" s="916"/>
      <c r="M49" s="916"/>
      <c r="N49" s="916"/>
      <c r="O49" s="4"/>
      <c r="P49" s="994"/>
      <c r="R49" s="836" t="s">
        <v>1142</v>
      </c>
      <c r="S49" s="841">
        <v>0</v>
      </c>
      <c r="T49" s="841">
        <v>0</v>
      </c>
      <c r="U49" s="841">
        <v>0</v>
      </c>
      <c r="V49" s="841">
        <v>919</v>
      </c>
      <c r="W49" s="841">
        <v>0</v>
      </c>
      <c r="X49" s="841">
        <v>0</v>
      </c>
      <c r="Y49" s="841">
        <v>0</v>
      </c>
      <c r="Z49" s="841">
        <v>0</v>
      </c>
      <c r="AA49" s="841">
        <v>0</v>
      </c>
      <c r="AB49" s="841">
        <v>0</v>
      </c>
      <c r="AC49" s="841">
        <v>0</v>
      </c>
      <c r="AD49" s="841">
        <v>0</v>
      </c>
      <c r="AE49" s="841">
        <v>0</v>
      </c>
    </row>
    <row r="50" spans="1:31" x14ac:dyDescent="0.25">
      <c r="A50" s="196"/>
      <c r="B50" s="242"/>
      <c r="C50" s="242"/>
      <c r="D50" s="242"/>
      <c r="E50" s="242"/>
      <c r="F50" s="242"/>
      <c r="G50" s="242"/>
      <c r="H50" s="242"/>
      <c r="I50" s="817"/>
      <c r="J50" s="915"/>
      <c r="K50" s="916"/>
      <c r="L50" s="916"/>
      <c r="M50" s="916"/>
      <c r="N50" s="916"/>
      <c r="O50" s="4"/>
      <c r="P50" s="994"/>
      <c r="R50" s="836" t="s">
        <v>213</v>
      </c>
      <c r="S50" s="841">
        <v>11535</v>
      </c>
      <c r="T50" s="841">
        <v>10245</v>
      </c>
      <c r="U50" s="841">
        <v>354</v>
      </c>
      <c r="V50" s="841">
        <v>10739</v>
      </c>
      <c r="W50" s="841">
        <v>3371</v>
      </c>
      <c r="X50" s="841">
        <v>201</v>
      </c>
      <c r="Y50" s="841">
        <v>5465</v>
      </c>
      <c r="Z50" s="841">
        <v>7377</v>
      </c>
      <c r="AA50" s="841">
        <v>17490</v>
      </c>
      <c r="AB50" s="841">
        <v>9853</v>
      </c>
      <c r="AC50" s="841">
        <v>6363</v>
      </c>
      <c r="AD50" s="841">
        <v>628</v>
      </c>
      <c r="AE50" s="841">
        <v>389</v>
      </c>
    </row>
    <row r="51" spans="1:31" x14ac:dyDescent="0.25">
      <c r="A51" s="196">
        <f t="shared" si="21"/>
        <v>0</v>
      </c>
      <c r="B51" s="242"/>
      <c r="C51" s="242"/>
      <c r="D51" s="242"/>
      <c r="E51" s="242"/>
      <c r="F51" s="242"/>
      <c r="G51" s="242"/>
      <c r="H51" s="242"/>
      <c r="I51" s="817"/>
      <c r="J51" s="915"/>
      <c r="K51" s="916"/>
      <c r="L51" s="916"/>
      <c r="M51" s="916"/>
      <c r="N51" s="916"/>
      <c r="O51" s="4"/>
      <c r="P51" s="994"/>
    </row>
    <row r="52" spans="1:31" s="789" customFormat="1" x14ac:dyDescent="0.25">
      <c r="A52" s="978" t="s">
        <v>213</v>
      </c>
      <c r="B52" s="964">
        <f>SUBTOTAL(109,B44:B51)</f>
        <v>11535</v>
      </c>
      <c r="C52" s="964">
        <f>SUM(C44:C51)</f>
        <v>5122.5</v>
      </c>
      <c r="D52" s="964">
        <f>SUM(D44:D51)</f>
        <v>354</v>
      </c>
      <c r="E52" s="964">
        <f>SUM(E44:E51)</f>
        <v>5369.5</v>
      </c>
      <c r="F52" s="964">
        <f>SUM(F44:F51)</f>
        <v>3371</v>
      </c>
      <c r="G52" s="964">
        <f t="shared" ref="G52:N52" si="31">SUBTOTAL(109,G44:G51)</f>
        <v>201</v>
      </c>
      <c r="H52" s="964">
        <f t="shared" si="31"/>
        <v>5465</v>
      </c>
      <c r="I52" s="965">
        <f t="shared" si="31"/>
        <v>7377</v>
      </c>
      <c r="J52" s="964">
        <f t="shared" si="31"/>
        <v>3498</v>
      </c>
      <c r="K52" s="964">
        <f t="shared" si="31"/>
        <v>9853</v>
      </c>
      <c r="L52" s="964">
        <f t="shared" si="31"/>
        <v>6363</v>
      </c>
      <c r="M52" s="964">
        <f t="shared" si="31"/>
        <v>628</v>
      </c>
      <c r="N52" s="964">
        <f t="shared" si="31"/>
        <v>389</v>
      </c>
      <c r="O52" s="4"/>
      <c r="P52" s="994"/>
      <c r="R52"/>
      <c r="S52"/>
      <c r="T52"/>
      <c r="U52"/>
      <c r="V52"/>
      <c r="W52"/>
      <c r="X52"/>
      <c r="Y52"/>
      <c r="Z52"/>
      <c r="AA52"/>
      <c r="AB52"/>
      <c r="AC52"/>
      <c r="AD52"/>
      <c r="AE52"/>
    </row>
    <row r="53" spans="1:31" s="789" customFormat="1" x14ac:dyDescent="0.25">
      <c r="J53" s="4"/>
      <c r="K53" s="4"/>
      <c r="L53" s="4"/>
      <c r="M53" s="4"/>
      <c r="N53" s="4"/>
      <c r="O53" s="4"/>
      <c r="P53" s="994"/>
      <c r="R53" s="676"/>
      <c r="S53" s="675"/>
      <c r="T53" s="675"/>
      <c r="U53" s="675"/>
      <c r="V53" s="675"/>
      <c r="W53" s="675"/>
      <c r="X53" s="675"/>
      <c r="Y53" s="675"/>
      <c r="Z53" s="675"/>
      <c r="AA53" s="675"/>
      <c r="AB53" s="675"/>
      <c r="AC53" s="675"/>
      <c r="AD53" s="675"/>
    </row>
    <row r="54" spans="1:31" s="789" customFormat="1" x14ac:dyDescent="0.25">
      <c r="J54" s="4"/>
      <c r="K54" s="4"/>
      <c r="L54" s="4"/>
      <c r="M54" s="4"/>
      <c r="N54" s="4"/>
      <c r="O54" s="4"/>
      <c r="P54" s="994"/>
      <c r="R54" s="676"/>
      <c r="S54" s="675"/>
      <c r="T54" s="675"/>
      <c r="U54" s="675"/>
      <c r="V54" s="675"/>
      <c r="W54" s="675"/>
      <c r="X54" s="675"/>
      <c r="Y54" s="675"/>
      <c r="Z54" s="675"/>
      <c r="AA54" s="675"/>
      <c r="AB54" s="675"/>
      <c r="AC54" s="675"/>
      <c r="AD54" s="675"/>
    </row>
    <row r="55" spans="1:31" s="90" customFormat="1" ht="15.75" thickBot="1" x14ac:dyDescent="0.3">
      <c r="D55" s="48"/>
      <c r="E55" s="4"/>
      <c r="F55" s="4"/>
      <c r="G55" s="4"/>
      <c r="H55" s="4"/>
      <c r="I55" s="4"/>
      <c r="J55" s="4"/>
      <c r="K55" s="4"/>
      <c r="L55" s="4"/>
      <c r="M55" s="4"/>
      <c r="N55" s="4"/>
      <c r="O55" s="4"/>
      <c r="P55" s="994"/>
      <c r="R55" s="840" t="s">
        <v>232</v>
      </c>
      <c r="S55" s="156" t="s">
        <v>767</v>
      </c>
    </row>
    <row r="56" spans="1:31" ht="15" customHeight="1" x14ac:dyDescent="0.25">
      <c r="A56" s="1122" t="s">
        <v>1141</v>
      </c>
      <c r="B56" s="1123"/>
      <c r="C56" s="1123"/>
      <c r="D56" s="1123"/>
      <c r="E56" s="1123"/>
      <c r="F56" s="1123"/>
      <c r="G56" s="1123"/>
      <c r="H56" s="1123"/>
      <c r="I56" s="1123"/>
      <c r="J56" s="1123"/>
      <c r="K56" s="1123"/>
      <c r="L56" s="1123"/>
      <c r="M56" s="1123"/>
      <c r="N56" s="1124"/>
      <c r="O56" s="4"/>
      <c r="P56" s="994"/>
      <c r="R56" s="840" t="s">
        <v>10</v>
      </c>
      <c r="S56" s="156" t="s">
        <v>652</v>
      </c>
      <c r="T56" s="1128" t="s">
        <v>1092</v>
      </c>
      <c r="U56" s="1115"/>
      <c r="V56" s="1115"/>
      <c r="W56" s="1115"/>
      <c r="X56" s="1115"/>
      <c r="Y56" s="1115"/>
      <c r="Z56" s="1115"/>
      <c r="AA56" s="1115"/>
      <c r="AB56" s="1115"/>
      <c r="AC56" s="1115"/>
      <c r="AD56" s="1115"/>
      <c r="AE56" s="1115"/>
    </row>
    <row r="57" spans="1:31" ht="15.75" customHeight="1" thickBot="1" x14ac:dyDescent="0.3">
      <c r="A57" s="1125"/>
      <c r="B57" s="1126"/>
      <c r="C57" s="1126"/>
      <c r="D57" s="1126"/>
      <c r="E57" s="1126"/>
      <c r="F57" s="1126"/>
      <c r="G57" s="1126"/>
      <c r="H57" s="1126"/>
      <c r="I57" s="1126"/>
      <c r="J57" s="1126"/>
      <c r="K57" s="1126"/>
      <c r="L57" s="1126"/>
      <c r="M57" s="1126"/>
      <c r="N57" s="1127"/>
      <c r="O57" s="4"/>
      <c r="P57" s="994"/>
      <c r="R57" s="840" t="s">
        <v>346</v>
      </c>
      <c r="S57" s="156" t="s">
        <v>348</v>
      </c>
      <c r="T57" s="1128"/>
      <c r="U57" s="1115"/>
      <c r="V57" s="1115"/>
      <c r="W57" s="1115"/>
      <c r="X57" s="1115"/>
      <c r="Y57" s="1115"/>
      <c r="Z57" s="1115"/>
      <c r="AA57" s="1115"/>
      <c r="AB57" s="1115"/>
      <c r="AC57" s="1115"/>
      <c r="AD57" s="1115"/>
      <c r="AE57" s="1115"/>
    </row>
    <row r="58" spans="1:31" x14ac:dyDescent="0.25">
      <c r="J58" s="4"/>
      <c r="K58" s="4"/>
      <c r="L58" s="4"/>
      <c r="M58" s="4"/>
      <c r="N58" s="4"/>
      <c r="O58" s="4"/>
      <c r="P58" s="994"/>
      <c r="R58" s="102"/>
      <c r="S58" s="102"/>
      <c r="T58" s="923"/>
      <c r="U58" s="923"/>
      <c r="V58" s="923"/>
      <c r="W58" s="102"/>
      <c r="X58" s="102"/>
      <c r="Y58" s="102"/>
      <c r="Z58" s="102"/>
    </row>
    <row r="59" spans="1:31" x14ac:dyDescent="0.25">
      <c r="A59" s="812" t="s">
        <v>200</v>
      </c>
      <c r="B59" s="115" t="s">
        <v>302</v>
      </c>
      <c r="C59" s="115" t="s">
        <v>908</v>
      </c>
      <c r="D59" s="115" t="s">
        <v>909</v>
      </c>
      <c r="E59" s="115" t="s">
        <v>910</v>
      </c>
      <c r="F59" s="115" t="s">
        <v>911</v>
      </c>
      <c r="G59" s="115" t="s">
        <v>912</v>
      </c>
      <c r="H59" s="115" t="s">
        <v>913</v>
      </c>
      <c r="I59" s="184" t="s">
        <v>936</v>
      </c>
      <c r="J59" s="115" t="s">
        <v>914</v>
      </c>
      <c r="K59" s="115" t="s">
        <v>1114</v>
      </c>
      <c r="L59" s="115" t="s">
        <v>1115</v>
      </c>
      <c r="M59" s="897" t="s">
        <v>1116</v>
      </c>
      <c r="N59" s="115" t="s">
        <v>1151</v>
      </c>
      <c r="O59" s="4"/>
      <c r="P59" s="994"/>
      <c r="R59" s="840" t="s">
        <v>212</v>
      </c>
      <c r="S59" s="156" t="s">
        <v>1139</v>
      </c>
      <c r="T59" s="156" t="s">
        <v>908</v>
      </c>
      <c r="U59" s="156" t="s">
        <v>909</v>
      </c>
      <c r="V59" s="156" t="s">
        <v>910</v>
      </c>
      <c r="W59" s="156" t="s">
        <v>911</v>
      </c>
      <c r="X59" s="156" t="s">
        <v>912</v>
      </c>
      <c r="Y59" s="156" t="s">
        <v>913</v>
      </c>
      <c r="Z59" s="156" t="s">
        <v>936</v>
      </c>
      <c r="AA59" s="156" t="s">
        <v>914</v>
      </c>
      <c r="AB59" s="156" t="s">
        <v>1127</v>
      </c>
      <c r="AC59" s="156" t="s">
        <v>1126</v>
      </c>
      <c r="AD59" s="156" t="s">
        <v>1125</v>
      </c>
      <c r="AE59" s="156" t="s">
        <v>1153</v>
      </c>
    </row>
    <row r="60" spans="1:31" x14ac:dyDescent="0.25">
      <c r="A60" s="196" t="str">
        <f>R60</f>
        <v>CDN</v>
      </c>
      <c r="B60" s="242">
        <f>GETPIVOTDATA("Sanitary Kit ",$R$59,"Organization","CDN")</f>
        <v>799</v>
      </c>
      <c r="C60" s="242">
        <f>GETPIVOTDATA(" Mosquito net",$R$59,"Organization",A60)</f>
        <v>0</v>
      </c>
      <c r="D60" s="242">
        <f>GETPIVOTDATA(" Tarpaulin",$R$59,"Organization",A60)</f>
        <v>0</v>
      </c>
      <c r="E60" s="242">
        <f t="shared" ref="E60:E65" si="32">GETPIVOTDATA(" Blanket",$R$59,"Organization",A60)/2</f>
        <v>0</v>
      </c>
      <c r="F60" s="242">
        <f>GETPIVOTDATA(" Kitchen Set",$R$59,"Organization",A60)</f>
        <v>0</v>
      </c>
      <c r="G60" s="242">
        <f>GETPIVOTDATA(" Complementary Kit",$R$59,"Organization",A60)</f>
        <v>0</v>
      </c>
      <c r="H60" s="242">
        <f>GETPIVOTDATA(" Plastic Bucket",$R$59,"Organization",A60)</f>
        <v>635</v>
      </c>
      <c r="I60" s="817">
        <f>GETPIVOTDATA(" Jerry Can",$R$59,"Organization",A60)</f>
        <v>0</v>
      </c>
      <c r="J60" s="916">
        <f t="shared" ref="J60:J70" si="33">GETPIVOTDATA(" Plastic  Mat",$R$59,"Organization",A60)/5</f>
        <v>0</v>
      </c>
      <c r="K60" s="916">
        <f>GETPIVOTDATA("Adult Clothes ",$R$59,"Organization",A60)</f>
        <v>0</v>
      </c>
      <c r="L60" s="916">
        <f>GETPIVOTDATA("Children Clothes ",$R$59,"Organization",A60)</f>
        <v>0</v>
      </c>
      <c r="M60" s="790">
        <f>GETPIVOTDATA("Sewing Kit ",$R$59,"Organization",A60)</f>
        <v>0</v>
      </c>
      <c r="N60" s="790">
        <f>GETPIVOTDATA("Solar Lantern ",$R$59,"Organization",A60)</f>
        <v>0</v>
      </c>
      <c r="R60" s="836" t="s">
        <v>518</v>
      </c>
      <c r="S60" s="841">
        <v>799</v>
      </c>
      <c r="T60" s="841">
        <v>0</v>
      </c>
      <c r="U60" s="841">
        <v>0</v>
      </c>
      <c r="V60" s="841">
        <v>0</v>
      </c>
      <c r="W60" s="841">
        <v>0</v>
      </c>
      <c r="X60" s="841">
        <v>0</v>
      </c>
      <c r="Y60" s="841">
        <v>635</v>
      </c>
      <c r="Z60" s="841">
        <v>0</v>
      </c>
      <c r="AA60" s="841">
        <v>0</v>
      </c>
      <c r="AB60" s="841">
        <v>0</v>
      </c>
      <c r="AC60" s="841">
        <v>0</v>
      </c>
      <c r="AD60" s="841">
        <v>0</v>
      </c>
      <c r="AE60" s="841"/>
    </row>
    <row r="61" spans="1:31" x14ac:dyDescent="0.25">
      <c r="A61" s="196" t="str">
        <f t="shared" ref="A61:A65" si="34">R61</f>
        <v>NRC</v>
      </c>
      <c r="B61" s="242">
        <f>GETPIVOTDATA("Sanitary Kit ",$R$59,"Organization","NRC")</f>
        <v>656</v>
      </c>
      <c r="C61" s="242">
        <f>GETPIVOTDATA(" Mosquito net",$R$59,"Organization",A61)/2</f>
        <v>1126.5</v>
      </c>
      <c r="D61" s="242">
        <f t="shared" ref="D61:D70" si="35">GETPIVOTDATA(" Tarpaulin",$R$59,"Organization",A61)</f>
        <v>0</v>
      </c>
      <c r="E61" s="242">
        <f t="shared" si="32"/>
        <v>965.5</v>
      </c>
      <c r="F61" s="242">
        <f t="shared" ref="F61:F70" si="36">GETPIVOTDATA(" Kitchen Set",$R$59,"Organization",A61)</f>
        <v>0</v>
      </c>
      <c r="G61" s="242">
        <f t="shared" ref="G61:G70" si="37">GETPIVOTDATA(" Complementary Kit",$R$59,"Organization",A61)</f>
        <v>0</v>
      </c>
      <c r="H61" s="242">
        <f t="shared" ref="H61:H70" si="38">GETPIVOTDATA(" Plastic Bucket",$R$59,"Organization",A61)</f>
        <v>3276</v>
      </c>
      <c r="I61" s="817">
        <f t="shared" ref="I61:I70" si="39">GETPIVOTDATA(" Jerry Can",$R$59,"Organization",A61)</f>
        <v>3276</v>
      </c>
      <c r="J61" s="916">
        <f t="shared" si="33"/>
        <v>655.20000000000005</v>
      </c>
      <c r="K61" s="916">
        <f t="shared" ref="K61:K70" si="40">GETPIVOTDATA("Adult Clothes ",$R$59,"Organization",A61)</f>
        <v>0</v>
      </c>
      <c r="L61" s="916">
        <f t="shared" ref="L61:L70" si="41">GETPIVOTDATA("Children Clothes ",$R$59,"Organization",A61)</f>
        <v>0</v>
      </c>
      <c r="M61" s="790">
        <f t="shared" ref="M61:M70" si="42">GETPIVOTDATA("Sewing Kit ",$R$59,"Organization",A61)</f>
        <v>0</v>
      </c>
      <c r="N61" s="790">
        <f t="shared" ref="N61:N70" si="43">GETPIVOTDATA("Solar Lantern ",$R$59,"Organization",A61)</f>
        <v>0</v>
      </c>
      <c r="R61" s="836" t="s">
        <v>970</v>
      </c>
      <c r="S61" s="841">
        <v>656</v>
      </c>
      <c r="T61" s="841">
        <v>2253</v>
      </c>
      <c r="U61" s="841">
        <v>0</v>
      </c>
      <c r="V61" s="841">
        <v>1931</v>
      </c>
      <c r="W61" s="841">
        <v>0</v>
      </c>
      <c r="X61" s="841">
        <v>0</v>
      </c>
      <c r="Y61" s="841">
        <v>3276</v>
      </c>
      <c r="Z61" s="841">
        <v>3276</v>
      </c>
      <c r="AA61" s="841">
        <v>3276</v>
      </c>
      <c r="AB61" s="841">
        <v>0</v>
      </c>
      <c r="AC61" s="841">
        <v>0</v>
      </c>
      <c r="AD61" s="841">
        <v>0</v>
      </c>
      <c r="AE61" s="841"/>
    </row>
    <row r="62" spans="1:31" x14ac:dyDescent="0.25">
      <c r="A62" s="196" t="str">
        <f t="shared" si="34"/>
        <v>RI</v>
      </c>
      <c r="B62" s="242">
        <f>GETPIVOTDATA("Sanitary Kit ",$R$59,"Organization","RI")</f>
        <v>1325</v>
      </c>
      <c r="C62" s="242">
        <f>GETPIVOTDATA(" Mosquito net",$R$59,"Organization",A62)</f>
        <v>0</v>
      </c>
      <c r="D62" s="242">
        <f t="shared" si="35"/>
        <v>0</v>
      </c>
      <c r="E62" s="242">
        <f t="shared" si="32"/>
        <v>351.5</v>
      </c>
      <c r="F62" s="242">
        <f t="shared" si="36"/>
        <v>0</v>
      </c>
      <c r="G62" s="242">
        <f t="shared" si="37"/>
        <v>195</v>
      </c>
      <c r="H62" s="242">
        <f t="shared" si="38"/>
        <v>0</v>
      </c>
      <c r="I62" s="817">
        <f t="shared" si="39"/>
        <v>0</v>
      </c>
      <c r="J62" s="916">
        <f t="shared" si="33"/>
        <v>0</v>
      </c>
      <c r="K62" s="916">
        <f t="shared" si="40"/>
        <v>628</v>
      </c>
      <c r="L62" s="916">
        <f t="shared" si="41"/>
        <v>0</v>
      </c>
      <c r="M62" s="790">
        <f t="shared" si="42"/>
        <v>628</v>
      </c>
      <c r="N62" s="790">
        <f t="shared" si="43"/>
        <v>0</v>
      </c>
      <c r="R62" s="836" t="s">
        <v>706</v>
      </c>
      <c r="S62" s="841">
        <v>1325</v>
      </c>
      <c r="T62" s="841">
        <v>0</v>
      </c>
      <c r="U62" s="841">
        <v>0</v>
      </c>
      <c r="V62" s="841">
        <v>703</v>
      </c>
      <c r="W62" s="841">
        <v>0</v>
      </c>
      <c r="X62" s="841">
        <v>195</v>
      </c>
      <c r="Y62" s="841">
        <v>0</v>
      </c>
      <c r="Z62" s="841">
        <v>0</v>
      </c>
      <c r="AA62" s="841">
        <v>0</v>
      </c>
      <c r="AB62" s="841">
        <v>628</v>
      </c>
      <c r="AC62" s="841">
        <v>0</v>
      </c>
      <c r="AD62" s="841">
        <v>628</v>
      </c>
      <c r="AE62" s="841"/>
    </row>
    <row r="63" spans="1:31" x14ac:dyDescent="0.25">
      <c r="A63" s="196" t="str">
        <f t="shared" si="34"/>
        <v>SCI</v>
      </c>
      <c r="B63" s="242">
        <f>GETPIVOTDATA("Sanitary Kit ",$R$59,"Organization","SCI")</f>
        <v>2448</v>
      </c>
      <c r="C63" s="242">
        <f>GETPIVOTDATA(" Mosquito net",$R$59,"Organization",A63)</f>
        <v>0</v>
      </c>
      <c r="D63" s="242">
        <f t="shared" si="35"/>
        <v>0</v>
      </c>
      <c r="E63" s="242">
        <f t="shared" si="32"/>
        <v>0</v>
      </c>
      <c r="F63" s="242">
        <f t="shared" si="36"/>
        <v>0</v>
      </c>
      <c r="G63" s="242">
        <f t="shared" si="37"/>
        <v>6</v>
      </c>
      <c r="H63" s="242">
        <f t="shared" si="38"/>
        <v>104</v>
      </c>
      <c r="I63" s="817">
        <f t="shared" si="39"/>
        <v>125</v>
      </c>
      <c r="J63" s="916">
        <f t="shared" si="33"/>
        <v>0</v>
      </c>
      <c r="K63" s="916">
        <f t="shared" si="40"/>
        <v>0</v>
      </c>
      <c r="L63" s="916">
        <f t="shared" si="41"/>
        <v>0</v>
      </c>
      <c r="M63" s="790">
        <f t="shared" si="42"/>
        <v>0</v>
      </c>
      <c r="N63" s="790">
        <f t="shared" si="43"/>
        <v>0</v>
      </c>
      <c r="R63" s="836" t="s">
        <v>1137</v>
      </c>
      <c r="S63" s="841">
        <v>2448</v>
      </c>
      <c r="T63" s="841">
        <v>0</v>
      </c>
      <c r="U63" s="841">
        <v>0</v>
      </c>
      <c r="V63" s="841">
        <v>0</v>
      </c>
      <c r="W63" s="841">
        <v>0</v>
      </c>
      <c r="X63" s="841">
        <v>6</v>
      </c>
      <c r="Y63" s="841">
        <v>104</v>
      </c>
      <c r="Z63" s="841">
        <v>125</v>
      </c>
      <c r="AA63" s="841">
        <v>0</v>
      </c>
      <c r="AB63" s="841">
        <v>0</v>
      </c>
      <c r="AC63" s="841">
        <v>0</v>
      </c>
      <c r="AD63" s="841">
        <v>0</v>
      </c>
      <c r="AE63" s="841"/>
    </row>
    <row r="64" spans="1:31" x14ac:dyDescent="0.25">
      <c r="A64" s="196" t="str">
        <f t="shared" si="34"/>
        <v>UNHCR</v>
      </c>
      <c r="B64" s="242">
        <f>GETPIVOTDATA("Sanitary Kit ",$R$59,"Organization",A64)</f>
        <v>0</v>
      </c>
      <c r="C64" s="242">
        <f>GETPIVOTDATA(" Mosquito net",$R$59,"Organization",A64)/2</f>
        <v>2926</v>
      </c>
      <c r="D64" s="242">
        <f t="shared" si="35"/>
        <v>354</v>
      </c>
      <c r="E64" s="242">
        <f t="shared" si="32"/>
        <v>3327.5</v>
      </c>
      <c r="F64" s="242">
        <f t="shared" si="36"/>
        <v>1287</v>
      </c>
      <c r="G64" s="242">
        <f t="shared" si="37"/>
        <v>0</v>
      </c>
      <c r="H64" s="242">
        <f t="shared" si="38"/>
        <v>0</v>
      </c>
      <c r="I64" s="817">
        <f t="shared" si="39"/>
        <v>91</v>
      </c>
      <c r="J64" s="916">
        <f t="shared" si="33"/>
        <v>2842.8</v>
      </c>
      <c r="K64" s="916">
        <f t="shared" si="40"/>
        <v>0</v>
      </c>
      <c r="L64" s="916">
        <f t="shared" si="41"/>
        <v>0</v>
      </c>
      <c r="M64" s="790">
        <f t="shared" si="42"/>
        <v>0</v>
      </c>
      <c r="N64" s="790">
        <f t="shared" si="43"/>
        <v>389</v>
      </c>
      <c r="R64" s="836" t="s">
        <v>285</v>
      </c>
      <c r="S64" s="841">
        <v>0</v>
      </c>
      <c r="T64" s="841">
        <v>5852</v>
      </c>
      <c r="U64" s="841">
        <v>354</v>
      </c>
      <c r="V64" s="841">
        <v>6655</v>
      </c>
      <c r="W64" s="841">
        <v>1287</v>
      </c>
      <c r="X64" s="841">
        <v>0</v>
      </c>
      <c r="Y64" s="841">
        <v>0</v>
      </c>
      <c r="Z64" s="841">
        <v>91</v>
      </c>
      <c r="AA64" s="841">
        <v>14214</v>
      </c>
      <c r="AB64" s="841">
        <v>0</v>
      </c>
      <c r="AC64" s="841">
        <v>0</v>
      </c>
      <c r="AD64" s="841">
        <v>0</v>
      </c>
      <c r="AE64" s="841">
        <v>389</v>
      </c>
    </row>
    <row r="65" spans="1:31" x14ac:dyDescent="0.25">
      <c r="A65" s="196" t="str">
        <f t="shared" si="34"/>
        <v>SI</v>
      </c>
      <c r="B65" s="242">
        <f>GETPIVOTDATA("Sanitary Kit ",$R$59,"Organization",A65)</f>
        <v>6307</v>
      </c>
      <c r="C65" s="242">
        <f>GETPIVOTDATA(" Mosquito net",$R$59,"Organization",A65)</f>
        <v>0</v>
      </c>
      <c r="D65" s="242">
        <f t="shared" si="35"/>
        <v>0</v>
      </c>
      <c r="E65" s="242">
        <f t="shared" si="32"/>
        <v>0</v>
      </c>
      <c r="F65" s="242">
        <f t="shared" si="36"/>
        <v>2084</v>
      </c>
      <c r="G65" s="242">
        <f t="shared" si="37"/>
        <v>0</v>
      </c>
      <c r="H65" s="242">
        <f t="shared" si="38"/>
        <v>0</v>
      </c>
      <c r="I65" s="817">
        <f t="shared" si="39"/>
        <v>985</v>
      </c>
      <c r="J65" s="916">
        <f t="shared" si="33"/>
        <v>0</v>
      </c>
      <c r="K65" s="916">
        <f t="shared" si="40"/>
        <v>0</v>
      </c>
      <c r="L65" s="916">
        <f t="shared" si="41"/>
        <v>0</v>
      </c>
      <c r="M65" s="790">
        <f t="shared" si="42"/>
        <v>0</v>
      </c>
      <c r="N65" s="790">
        <f t="shared" si="43"/>
        <v>0</v>
      </c>
      <c r="R65" s="836" t="s">
        <v>1117</v>
      </c>
      <c r="S65" s="841">
        <v>6307</v>
      </c>
      <c r="T65" s="841">
        <v>0</v>
      </c>
      <c r="U65" s="841">
        <v>0</v>
      </c>
      <c r="V65" s="841">
        <v>0</v>
      </c>
      <c r="W65" s="841">
        <v>2084</v>
      </c>
      <c r="X65" s="841">
        <v>0</v>
      </c>
      <c r="Y65" s="841">
        <v>0</v>
      </c>
      <c r="Z65" s="841">
        <v>985</v>
      </c>
      <c r="AA65" s="841">
        <v>0</v>
      </c>
      <c r="AB65" s="841">
        <v>0</v>
      </c>
      <c r="AC65" s="841">
        <v>0</v>
      </c>
      <c r="AD65" s="841">
        <v>0</v>
      </c>
      <c r="AE65" s="841"/>
    </row>
    <row r="66" spans="1:31" x14ac:dyDescent="0.25">
      <c r="A66" s="196" t="str">
        <f t="shared" ref="A66:A70" si="44">R66</f>
        <v>Gov</v>
      </c>
      <c r="B66" s="242">
        <f t="shared" ref="B66:B70" si="45">GETPIVOTDATA("Sanitary Kit ",$R$59,"Organization",A66)</f>
        <v>0</v>
      </c>
      <c r="C66" s="242">
        <f>GETPIVOTDATA(" Mosquito net",$R$59,"Organization",A66)</f>
        <v>0</v>
      </c>
      <c r="D66" s="242">
        <f t="shared" si="35"/>
        <v>0</v>
      </c>
      <c r="E66" s="242">
        <f>GETPIVOTDATA(" Blanket",$R$59,"Organization",A66)</f>
        <v>0</v>
      </c>
      <c r="F66" s="242">
        <f t="shared" si="36"/>
        <v>0</v>
      </c>
      <c r="G66" s="242">
        <f t="shared" si="37"/>
        <v>0</v>
      </c>
      <c r="H66" s="242">
        <f t="shared" si="38"/>
        <v>0</v>
      </c>
      <c r="I66" s="817">
        <f t="shared" si="39"/>
        <v>0</v>
      </c>
      <c r="J66" s="916">
        <f t="shared" si="33"/>
        <v>0</v>
      </c>
      <c r="K66" s="916">
        <f t="shared" si="40"/>
        <v>0</v>
      </c>
      <c r="L66" s="916">
        <f t="shared" si="41"/>
        <v>0</v>
      </c>
      <c r="M66" s="790">
        <f t="shared" si="42"/>
        <v>0</v>
      </c>
      <c r="N66" s="790">
        <f t="shared" si="43"/>
        <v>0</v>
      </c>
      <c r="R66" s="836" t="s">
        <v>1130</v>
      </c>
      <c r="S66" s="841">
        <v>0</v>
      </c>
      <c r="T66" s="841">
        <v>0</v>
      </c>
      <c r="U66" s="841">
        <v>0</v>
      </c>
      <c r="V66" s="841">
        <v>0</v>
      </c>
      <c r="W66" s="841">
        <v>0</v>
      </c>
      <c r="X66" s="841">
        <v>0</v>
      </c>
      <c r="Y66" s="841">
        <v>0</v>
      </c>
      <c r="Z66" s="841">
        <v>0</v>
      </c>
      <c r="AA66" s="841">
        <v>0</v>
      </c>
      <c r="AB66" s="841">
        <v>0</v>
      </c>
      <c r="AC66" s="841">
        <v>0</v>
      </c>
      <c r="AD66" s="841">
        <v>0</v>
      </c>
      <c r="AE66" s="841"/>
    </row>
    <row r="67" spans="1:31" x14ac:dyDescent="0.25">
      <c r="A67" s="196" t="str">
        <f t="shared" si="44"/>
        <v>MHAA</v>
      </c>
      <c r="B67" s="242">
        <f t="shared" si="45"/>
        <v>0</v>
      </c>
      <c r="C67" s="242">
        <f>GETPIVOTDATA(" Mosquito net",$R$59,"Organization",A67)/2</f>
        <v>345</v>
      </c>
      <c r="D67" s="242">
        <f t="shared" si="35"/>
        <v>0</v>
      </c>
      <c r="E67" s="242">
        <f>GETPIVOTDATA(" Blanket",$R$59,"Organization",A67)/2</f>
        <v>0</v>
      </c>
      <c r="F67" s="242">
        <f t="shared" si="36"/>
        <v>0</v>
      </c>
      <c r="G67" s="242">
        <f t="shared" si="37"/>
        <v>0</v>
      </c>
      <c r="H67" s="242">
        <f t="shared" si="38"/>
        <v>0</v>
      </c>
      <c r="I67" s="817">
        <f t="shared" si="39"/>
        <v>0</v>
      </c>
      <c r="J67" s="916">
        <f t="shared" si="33"/>
        <v>0</v>
      </c>
      <c r="K67" s="916">
        <f t="shared" si="40"/>
        <v>0</v>
      </c>
      <c r="L67" s="916">
        <f t="shared" si="41"/>
        <v>0</v>
      </c>
      <c r="M67" s="790">
        <f t="shared" si="42"/>
        <v>0</v>
      </c>
      <c r="N67" s="790">
        <f t="shared" si="43"/>
        <v>0</v>
      </c>
      <c r="R67" s="836" t="s">
        <v>1129</v>
      </c>
      <c r="S67" s="841">
        <v>0</v>
      </c>
      <c r="T67" s="841">
        <v>690</v>
      </c>
      <c r="U67" s="841">
        <v>0</v>
      </c>
      <c r="V67" s="841">
        <v>0</v>
      </c>
      <c r="W67" s="841">
        <v>0</v>
      </c>
      <c r="X67" s="841">
        <v>0</v>
      </c>
      <c r="Y67" s="841">
        <v>0</v>
      </c>
      <c r="Z67" s="841">
        <v>0</v>
      </c>
      <c r="AA67" s="841">
        <v>0</v>
      </c>
      <c r="AB67" s="841">
        <v>0</v>
      </c>
      <c r="AC67" s="841">
        <v>0</v>
      </c>
      <c r="AD67" s="841">
        <v>0</v>
      </c>
      <c r="AE67" s="841"/>
    </row>
    <row r="68" spans="1:31" x14ac:dyDescent="0.25">
      <c r="A68" s="196" t="str">
        <f t="shared" si="44"/>
        <v>MAUK</v>
      </c>
      <c r="B68" s="242">
        <f t="shared" si="45"/>
        <v>0</v>
      </c>
      <c r="C68" s="242">
        <f>GETPIVOTDATA(" Mosquito net",$R$59,"Organization",A68)</f>
        <v>0</v>
      </c>
      <c r="D68" s="242">
        <f t="shared" si="35"/>
        <v>0</v>
      </c>
      <c r="E68" s="242">
        <f>GETPIVOTDATA(" Blanket",$R$59,"Organization",A68)/2</f>
        <v>0</v>
      </c>
      <c r="F68" s="242">
        <f t="shared" si="36"/>
        <v>0</v>
      </c>
      <c r="G68" s="242">
        <f t="shared" si="37"/>
        <v>0</v>
      </c>
      <c r="H68" s="242">
        <f t="shared" si="38"/>
        <v>0</v>
      </c>
      <c r="I68" s="817">
        <f t="shared" si="39"/>
        <v>0</v>
      </c>
      <c r="J68" s="916">
        <f t="shared" si="33"/>
        <v>0</v>
      </c>
      <c r="K68" s="916">
        <f t="shared" si="40"/>
        <v>0</v>
      </c>
      <c r="L68" s="916">
        <f t="shared" si="41"/>
        <v>2009</v>
      </c>
      <c r="M68" s="790">
        <f t="shared" si="42"/>
        <v>0</v>
      </c>
      <c r="N68" s="790">
        <f t="shared" si="43"/>
        <v>0</v>
      </c>
      <c r="R68" s="836" t="s">
        <v>295</v>
      </c>
      <c r="S68" s="841">
        <v>0</v>
      </c>
      <c r="T68" s="841">
        <v>0</v>
      </c>
      <c r="U68" s="841">
        <v>0</v>
      </c>
      <c r="V68" s="841">
        <v>0</v>
      </c>
      <c r="W68" s="841">
        <v>0</v>
      </c>
      <c r="X68" s="841">
        <v>0</v>
      </c>
      <c r="Y68" s="841">
        <v>0</v>
      </c>
      <c r="Z68" s="841">
        <v>0</v>
      </c>
      <c r="AA68" s="841">
        <v>0</v>
      </c>
      <c r="AB68" s="841">
        <v>0</v>
      </c>
      <c r="AC68" s="841">
        <v>2009</v>
      </c>
      <c r="AD68" s="841">
        <v>0</v>
      </c>
      <c r="AE68" s="841"/>
    </row>
    <row r="69" spans="1:31" x14ac:dyDescent="0.25">
      <c r="A69" s="196" t="str">
        <f t="shared" si="44"/>
        <v>UNIQLO</v>
      </c>
      <c r="B69" s="242">
        <f t="shared" si="45"/>
        <v>0</v>
      </c>
      <c r="C69" s="242">
        <f>GETPIVOTDATA(" Mosquito net",$R$59,"Organization",A69)</f>
        <v>0</v>
      </c>
      <c r="D69" s="242">
        <f t="shared" si="35"/>
        <v>0</v>
      </c>
      <c r="E69" s="242">
        <f>GETPIVOTDATA(" Blanket",$R$59,"Organization",A69)/2</f>
        <v>0</v>
      </c>
      <c r="F69" s="242">
        <f t="shared" si="36"/>
        <v>0</v>
      </c>
      <c r="G69" s="242">
        <f t="shared" si="37"/>
        <v>0</v>
      </c>
      <c r="H69" s="242">
        <f t="shared" si="38"/>
        <v>0</v>
      </c>
      <c r="I69" s="817">
        <f t="shared" si="39"/>
        <v>0</v>
      </c>
      <c r="J69" s="916">
        <f t="shared" si="33"/>
        <v>0</v>
      </c>
      <c r="K69" s="916">
        <f t="shared" si="40"/>
        <v>7050</v>
      </c>
      <c r="L69" s="916">
        <f t="shared" si="41"/>
        <v>3629</v>
      </c>
      <c r="M69" s="790">
        <f t="shared" si="42"/>
        <v>0</v>
      </c>
      <c r="N69" s="790">
        <f t="shared" si="43"/>
        <v>0</v>
      </c>
      <c r="R69" s="836" t="s">
        <v>1140</v>
      </c>
      <c r="S69" s="841">
        <v>0</v>
      </c>
      <c r="T69" s="841">
        <v>0</v>
      </c>
      <c r="U69" s="841">
        <v>0</v>
      </c>
      <c r="V69" s="841">
        <v>0</v>
      </c>
      <c r="W69" s="841">
        <v>0</v>
      </c>
      <c r="X69" s="841">
        <v>0</v>
      </c>
      <c r="Y69" s="841">
        <v>0</v>
      </c>
      <c r="Z69" s="841">
        <v>0</v>
      </c>
      <c r="AA69" s="841">
        <v>0</v>
      </c>
      <c r="AB69" s="841">
        <v>7050</v>
      </c>
      <c r="AC69" s="841">
        <v>3629</v>
      </c>
      <c r="AD69" s="841">
        <v>0</v>
      </c>
      <c r="AE69" s="841"/>
    </row>
    <row r="70" spans="1:31" x14ac:dyDescent="0.25">
      <c r="A70" s="196" t="str">
        <f t="shared" si="44"/>
        <v>MRF</v>
      </c>
      <c r="B70" s="242">
        <f t="shared" si="45"/>
        <v>0</v>
      </c>
      <c r="C70" s="242">
        <f>GETPIVOTDATA(" Mosquito net",$R$59,"Organization",A70)/2</f>
        <v>725</v>
      </c>
      <c r="D70" s="242">
        <f t="shared" si="35"/>
        <v>0</v>
      </c>
      <c r="E70" s="242">
        <f>GETPIVOTDATA(" Blanket",$R$59,"Organization",A70)/2</f>
        <v>725</v>
      </c>
      <c r="F70" s="242">
        <f t="shared" si="36"/>
        <v>0</v>
      </c>
      <c r="G70" s="242">
        <f t="shared" si="37"/>
        <v>0</v>
      </c>
      <c r="H70" s="242">
        <f t="shared" si="38"/>
        <v>1450</v>
      </c>
      <c r="I70" s="817">
        <f t="shared" si="39"/>
        <v>2900</v>
      </c>
      <c r="J70" s="916">
        <f t="shared" si="33"/>
        <v>0</v>
      </c>
      <c r="K70" s="916">
        <f t="shared" si="40"/>
        <v>2175</v>
      </c>
      <c r="L70" s="916">
        <f t="shared" si="41"/>
        <v>725</v>
      </c>
      <c r="M70" s="790">
        <f t="shared" si="42"/>
        <v>0</v>
      </c>
      <c r="N70" s="790">
        <f t="shared" si="43"/>
        <v>0</v>
      </c>
      <c r="R70" s="836" t="s">
        <v>622</v>
      </c>
      <c r="S70" s="841">
        <v>0</v>
      </c>
      <c r="T70" s="841">
        <v>1450</v>
      </c>
      <c r="U70" s="841">
        <v>0</v>
      </c>
      <c r="V70" s="841">
        <v>1450</v>
      </c>
      <c r="W70" s="841">
        <v>0</v>
      </c>
      <c r="X70" s="841">
        <v>0</v>
      </c>
      <c r="Y70" s="841">
        <v>1450</v>
      </c>
      <c r="Z70" s="841">
        <v>2900</v>
      </c>
      <c r="AA70" s="841">
        <v>0</v>
      </c>
      <c r="AB70" s="841">
        <v>2175</v>
      </c>
      <c r="AC70" s="841">
        <v>725</v>
      </c>
      <c r="AD70" s="841">
        <v>0</v>
      </c>
      <c r="AE70" s="841"/>
    </row>
    <row r="71" spans="1:31" x14ac:dyDescent="0.25">
      <c r="A71" s="196" t="str">
        <f t="shared" ref="A71" si="46">R71</f>
        <v>Grand Total</v>
      </c>
      <c r="B71" s="988">
        <f>SUBTOTAL(109,B60:B70)</f>
        <v>11535</v>
      </c>
      <c r="C71" s="988">
        <f>SUBTOTAL(109,C60:C70)</f>
        <v>5122.5</v>
      </c>
      <c r="D71" s="988">
        <f>SUBTOTAL(109,D60:D70)</f>
        <v>354</v>
      </c>
      <c r="E71" s="988">
        <f t="shared" ref="E71:N71" si="47">SUBTOTAL(109,E60:E70)</f>
        <v>5369.5</v>
      </c>
      <c r="F71" s="988">
        <f t="shared" si="47"/>
        <v>3371</v>
      </c>
      <c r="G71" s="988">
        <f t="shared" si="47"/>
        <v>201</v>
      </c>
      <c r="H71" s="988">
        <f t="shared" si="47"/>
        <v>5465</v>
      </c>
      <c r="I71" s="989">
        <f t="shared" si="47"/>
        <v>7377</v>
      </c>
      <c r="J71" s="988">
        <f t="shared" si="47"/>
        <v>3498</v>
      </c>
      <c r="K71" s="988">
        <f t="shared" si="47"/>
        <v>9853</v>
      </c>
      <c r="L71" s="988">
        <f t="shared" si="47"/>
        <v>6363</v>
      </c>
      <c r="M71" s="987">
        <f t="shared" si="47"/>
        <v>628</v>
      </c>
      <c r="N71" s="987">
        <f t="shared" si="47"/>
        <v>389</v>
      </c>
      <c r="R71" s="836" t="s">
        <v>213</v>
      </c>
      <c r="S71" s="841">
        <v>11535</v>
      </c>
      <c r="T71" s="841">
        <v>10245</v>
      </c>
      <c r="U71" s="841">
        <v>354</v>
      </c>
      <c r="V71" s="841">
        <v>10739</v>
      </c>
      <c r="W71" s="841">
        <v>3371</v>
      </c>
      <c r="X71" s="841">
        <v>201</v>
      </c>
      <c r="Y71" s="841">
        <v>5465</v>
      </c>
      <c r="Z71" s="841">
        <v>7377</v>
      </c>
      <c r="AA71" s="841">
        <v>17490</v>
      </c>
      <c r="AB71" s="841">
        <v>9853</v>
      </c>
      <c r="AC71" s="841">
        <v>6363</v>
      </c>
      <c r="AD71" s="841">
        <v>628</v>
      </c>
      <c r="AE71" s="841">
        <v>389</v>
      </c>
    </row>
    <row r="83" spans="1:29" s="789" customFormat="1" x14ac:dyDescent="0.25">
      <c r="A83"/>
      <c r="B83"/>
      <c r="C83"/>
      <c r="D83"/>
      <c r="E83"/>
      <c r="F83"/>
      <c r="G83"/>
      <c r="H83"/>
      <c r="I83"/>
      <c r="J83"/>
      <c r="K83"/>
      <c r="P83" s="5"/>
      <c r="R83"/>
      <c r="S83"/>
      <c r="T83"/>
      <c r="U83"/>
      <c r="V83"/>
      <c r="W83"/>
      <c r="X83"/>
      <c r="Y83"/>
      <c r="Z83"/>
      <c r="AA83"/>
      <c r="AB83"/>
      <c r="AC83"/>
    </row>
    <row r="85" spans="1:29" x14ac:dyDescent="0.25">
      <c r="B85" s="65"/>
      <c r="C85" s="65"/>
      <c r="D85" s="65"/>
      <c r="E85" s="65"/>
      <c r="F85" s="65"/>
      <c r="G85" s="65"/>
      <c r="H85" s="65"/>
      <c r="I85" s="65"/>
    </row>
    <row r="86" spans="1:29" x14ac:dyDescent="0.25">
      <c r="A86" s="789"/>
      <c r="B86" s="789"/>
      <c r="C86" s="789"/>
      <c r="D86" s="789"/>
      <c r="E86" s="789"/>
      <c r="F86" s="789"/>
      <c r="G86" s="789"/>
      <c r="H86" s="789"/>
      <c r="I86" s="789"/>
      <c r="J86" s="789"/>
      <c r="K86" s="789"/>
    </row>
  </sheetData>
  <mergeCells count="14">
    <mergeCell ref="A2:H2"/>
    <mergeCell ref="A5:A7"/>
    <mergeCell ref="B5:B7"/>
    <mergeCell ref="C5:C7"/>
    <mergeCell ref="A21:A22"/>
    <mergeCell ref="B21:B22"/>
    <mergeCell ref="C21:C22"/>
    <mergeCell ref="D21:G21"/>
    <mergeCell ref="D5:O5"/>
    <mergeCell ref="T40:AE41"/>
    <mergeCell ref="A40:N41"/>
    <mergeCell ref="A56:N57"/>
    <mergeCell ref="A3:H3"/>
    <mergeCell ref="T56:AE57"/>
  </mergeCells>
  <pageMargins left="0.23622047244094491" right="0.23622047244094491" top="0.15748031496062992" bottom="0.55118110236220474" header="0" footer="0"/>
  <pageSetup paperSize="9" orientation="portrait" r:id="rId3"/>
  <drawing r:id="rId4"/>
  <tableParts count="2">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10" activePane="bottomLeft" state="frozen"/>
      <selection activeCell="L12" sqref="L12"/>
      <selection pane="bottomLeft" activeCell="U50" sqref="U50"/>
    </sheetView>
  </sheetViews>
  <sheetFormatPr defaultColWidth="11.42578125" defaultRowHeight="15" x14ac:dyDescent="0.2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7" width="7.28515625" style="40" hidden="1" customWidth="1"/>
    <col min="18" max="19" width="6.4257812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x14ac:dyDescent="0.3">
      <c r="C1" s="40"/>
      <c r="Q1" s="40"/>
      <c r="R1" s="40"/>
      <c r="S1" s="40"/>
      <c r="T1" s="40"/>
      <c r="U1" s="40"/>
      <c r="V1" s="40"/>
      <c r="W1" s="40"/>
      <c r="X1" s="40"/>
      <c r="Y1" s="40"/>
      <c r="Z1" s="40"/>
      <c r="AA1" s="40"/>
      <c r="AB1" s="40"/>
    </row>
    <row r="2" spans="2:61" s="90" customFormat="1" ht="6.75" customHeight="1" x14ac:dyDescent="0.25">
      <c r="B2" s="442"/>
      <c r="C2" s="443"/>
      <c r="D2" s="443"/>
      <c r="E2" s="443"/>
      <c r="F2" s="443"/>
      <c r="G2" s="443"/>
      <c r="H2" s="443"/>
      <c r="I2" s="443"/>
      <c r="J2" s="443"/>
      <c r="K2" s="443"/>
      <c r="L2" s="443"/>
      <c r="M2" s="443"/>
      <c r="N2" s="443"/>
      <c r="O2" s="443"/>
      <c r="P2" s="443"/>
      <c r="Q2" s="443"/>
      <c r="R2" s="443"/>
      <c r="S2" s="443"/>
      <c r="T2" s="444"/>
      <c r="U2" s="40"/>
      <c r="V2" s="40"/>
      <c r="W2" s="40"/>
      <c r="X2" s="40"/>
      <c r="Y2" s="40"/>
      <c r="Z2" s="40"/>
      <c r="AA2" s="40"/>
      <c r="AB2" s="40"/>
    </row>
    <row r="3" spans="2:61" s="1" customFormat="1" ht="36" x14ac:dyDescent="0.35">
      <c r="B3" s="411"/>
      <c r="C3" s="407"/>
      <c r="D3" s="407"/>
      <c r="E3" s="407"/>
      <c r="F3" s="407"/>
      <c r="G3" s="407"/>
      <c r="H3" s="407"/>
      <c r="I3" s="407"/>
      <c r="J3" s="407"/>
      <c r="K3" s="407"/>
      <c r="L3" s="407"/>
      <c r="M3" s="407"/>
      <c r="N3" s="407"/>
      <c r="O3" s="407"/>
      <c r="P3" s="407"/>
      <c r="Q3" s="234"/>
      <c r="R3" s="445">
        <v>1</v>
      </c>
      <c r="S3" s="183"/>
      <c r="T3" s="412"/>
      <c r="U3" s="40"/>
      <c r="V3" s="40"/>
      <c r="W3" s="40"/>
      <c r="BH3" s="68"/>
      <c r="BI3" s="68"/>
    </row>
    <row r="4" spans="2:61" s="1" customFormat="1" ht="33" customHeight="1" x14ac:dyDescent="0.35">
      <c r="B4" s="411"/>
      <c r="C4" s="1138" t="s">
        <v>1096</v>
      </c>
      <c r="D4" s="1138"/>
      <c r="E4" s="1138"/>
      <c r="F4" s="1138"/>
      <c r="G4" s="1138"/>
      <c r="H4" s="1138"/>
      <c r="I4" s="1138"/>
      <c r="J4" s="1138"/>
      <c r="K4" s="446"/>
      <c r="L4" s="446"/>
      <c r="M4" s="446"/>
      <c r="N4" s="446"/>
      <c r="O4" s="446"/>
      <c r="P4" s="446"/>
      <c r="Q4" s="234"/>
      <c r="R4" s="183"/>
      <c r="S4" s="183"/>
      <c r="T4" s="412"/>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x14ac:dyDescent="0.35">
      <c r="B5" s="411"/>
      <c r="C5" s="1139">
        <f>Report_Date</f>
        <v>42856</v>
      </c>
      <c r="D5" s="1139"/>
      <c r="E5" s="1139"/>
      <c r="F5" s="1139"/>
      <c r="G5" s="1139"/>
      <c r="H5" s="1139"/>
      <c r="I5" s="1139"/>
      <c r="J5" s="1139"/>
      <c r="K5" s="447"/>
      <c r="L5" s="447"/>
      <c r="M5" s="447"/>
      <c r="N5" s="447"/>
      <c r="O5" s="447"/>
      <c r="P5" s="447"/>
      <c r="Q5" s="448"/>
      <c r="R5" s="193"/>
      <c r="S5" s="193"/>
      <c r="T5" s="449"/>
      <c r="Y5" s="90"/>
      <c r="Z5" s="90"/>
      <c r="AA5" s="90"/>
      <c r="AB5" s="90"/>
      <c r="AC5" s="90"/>
      <c r="AD5" s="90"/>
      <c r="AE5" s="90"/>
      <c r="AF5" s="90"/>
      <c r="AG5" s="90"/>
      <c r="AH5" s="90"/>
      <c r="AI5" s="90"/>
      <c r="AJ5" s="90"/>
      <c r="AK5" s="90"/>
      <c r="AL5" s="90"/>
      <c r="AM5" s="90"/>
      <c r="AN5" s="90"/>
      <c r="AO5" s="90"/>
      <c r="AP5" s="90"/>
      <c r="AQ5" s="90"/>
      <c r="AR5" s="90"/>
      <c r="BB5" s="69"/>
      <c r="BC5" s="69"/>
    </row>
    <row r="6" spans="2:61" ht="36.75" thickBot="1" x14ac:dyDescent="0.6">
      <c r="B6" s="57"/>
      <c r="C6" s="46"/>
      <c r="D6" s="436" t="s">
        <v>7</v>
      </c>
      <c r="E6" s="437">
        <f>'NFI Distribution (by Tship)'!B18</f>
        <v>23655</v>
      </c>
      <c r="F6" s="438"/>
      <c r="G6" s="46"/>
      <c r="H6" s="46"/>
      <c r="I6" s="46"/>
      <c r="J6" s="46"/>
      <c r="K6" s="46"/>
      <c r="L6" s="46"/>
      <c r="M6" s="46"/>
      <c r="N6" s="46"/>
      <c r="O6" s="46"/>
      <c r="P6" s="46"/>
      <c r="Q6" s="435"/>
      <c r="R6" s="46"/>
      <c r="S6" s="46"/>
      <c r="T6" s="429"/>
    </row>
    <row r="7" spans="2:61" s="90" customFormat="1" ht="33" customHeight="1" x14ac:dyDescent="0.35">
      <c r="B7" s="57"/>
      <c r="C7" s="46"/>
      <c r="D7" s="818" t="s">
        <v>523</v>
      </c>
      <c r="E7" s="819" t="s">
        <v>299</v>
      </c>
      <c r="F7" s="820" t="s">
        <v>1083</v>
      </c>
      <c r="G7" s="821" t="s">
        <v>1082</v>
      </c>
      <c r="H7" s="821" t="s">
        <v>1076</v>
      </c>
      <c r="I7" s="822" t="s">
        <v>1084</v>
      </c>
      <c r="J7" s="822" t="s">
        <v>1079</v>
      </c>
      <c r="K7" s="820" t="s">
        <v>1077</v>
      </c>
      <c r="L7" s="820" t="s">
        <v>1077</v>
      </c>
      <c r="M7" s="823" t="s">
        <v>208</v>
      </c>
      <c r="N7" s="823" t="s">
        <v>208</v>
      </c>
      <c r="O7" s="824" t="s">
        <v>1085</v>
      </c>
      <c r="P7" s="825" t="s">
        <v>1085</v>
      </c>
      <c r="Q7" s="435"/>
      <c r="R7" s="439">
        <v>1</v>
      </c>
      <c r="S7" s="46"/>
      <c r="T7" s="429"/>
      <c r="U7" s="40"/>
      <c r="V7" s="40"/>
      <c r="W7" s="40"/>
      <c r="X7" s="40"/>
      <c r="Y7" s="40"/>
      <c r="Z7" s="40"/>
      <c r="AA7" s="40"/>
      <c r="AB7" s="40"/>
    </row>
    <row r="8" spans="2:61" s="90" customFormat="1" ht="21" x14ac:dyDescent="0.35">
      <c r="B8" s="57"/>
      <c r="C8" s="46"/>
      <c r="D8" s="375" t="s">
        <v>202</v>
      </c>
      <c r="E8" s="376">
        <f>VLOOKUP($D8,NFI,6,0)</f>
        <v>1</v>
      </c>
      <c r="F8" s="41">
        <f>$E$6*E8</f>
        <v>23655</v>
      </c>
      <c r="G8" s="42">
        <f ca="1">SUMIFS(INDIRECT(VLOOKUP($D8,NFI,2,0)),NFI_State,"Rakhine",NFI_CampStatus,"Open")</f>
        <v>2771</v>
      </c>
      <c r="H8" s="805">
        <f ca="1">IF((G8/F8)&gt;100%,100%,(G8/F8))</f>
        <v>0.11714225322341999</v>
      </c>
      <c r="I8" s="42">
        <f ca="1">SUMIFS(INDIRECT(VLOOKUP($D8,NFI,3,0)),NFI_Pipeline_State,$D$6)</f>
        <v>995</v>
      </c>
      <c r="J8" s="43">
        <f ca="1">I8/F8</f>
        <v>4.2062988797294441E-2</v>
      </c>
      <c r="K8" s="42">
        <f ca="1">IF((F8-(G8+I8))&lt;0,0,(F8-(G8+I8)))</f>
        <v>19889</v>
      </c>
      <c r="L8" s="808">
        <f ca="1">K8/F8</f>
        <v>0.8407947579792856</v>
      </c>
      <c r="M8" s="42">
        <f ca="1">SUMIFS(INDIRECT(VLOOKUP($D8,NFI,4,0)),NFI_Pipeline_State,$D$6)</f>
        <v>0</v>
      </c>
      <c r="N8" s="44">
        <f ca="1">M8/F8</f>
        <v>0</v>
      </c>
      <c r="O8" s="45">
        <f ca="1">IF((F8-(G8+I8+M8))&lt;0,0,(F8-(G8+I8+M8)))</f>
        <v>19889</v>
      </c>
      <c r="P8" s="377">
        <f ca="1">O8/F8</f>
        <v>0.8407947579792856</v>
      </c>
      <c r="Q8" s="435"/>
      <c r="R8" s="439">
        <v>1</v>
      </c>
      <c r="S8" s="46"/>
      <c r="T8" s="429"/>
      <c r="U8" s="40"/>
      <c r="V8" s="40"/>
      <c r="W8" s="40"/>
      <c r="X8" s="40"/>
      <c r="Y8" s="40"/>
      <c r="Z8" s="40"/>
      <c r="AA8" s="40"/>
      <c r="AB8" s="40"/>
    </row>
    <row r="9" spans="2:61" s="90" customFormat="1" ht="14.25" customHeight="1" x14ac:dyDescent="0.35">
      <c r="B9" s="57"/>
      <c r="C9" s="46"/>
      <c r="D9" s="46"/>
      <c r="E9" s="46"/>
      <c r="F9" s="46"/>
      <c r="G9" s="46"/>
      <c r="H9" s="46"/>
      <c r="I9" s="46"/>
      <c r="J9" s="46"/>
      <c r="K9" s="46"/>
      <c r="L9" s="46"/>
      <c r="M9" s="46"/>
      <c r="N9" s="46"/>
      <c r="O9" s="46"/>
      <c r="P9" s="46"/>
      <c r="Q9" s="435"/>
      <c r="R9" s="439">
        <v>1</v>
      </c>
      <c r="S9" s="46"/>
      <c r="T9" s="429"/>
      <c r="U9" s="40"/>
      <c r="V9" s="40"/>
      <c r="W9" s="40"/>
      <c r="X9" s="40"/>
      <c r="Y9" s="40"/>
      <c r="Z9" s="40"/>
      <c r="AA9" s="40"/>
      <c r="AB9" s="40"/>
    </row>
    <row r="10" spans="2:61" s="90" customFormat="1" x14ac:dyDescent="0.25">
      <c r="B10" s="57"/>
      <c r="C10" s="46"/>
      <c r="D10" s="46"/>
      <c r="E10" s="46"/>
      <c r="F10" s="46"/>
      <c r="G10" s="46"/>
      <c r="H10" s="46"/>
      <c r="I10" s="46"/>
      <c r="J10" s="46"/>
      <c r="K10" s="46"/>
      <c r="L10" s="46"/>
      <c r="M10" s="46"/>
      <c r="N10" s="46"/>
      <c r="O10" s="46"/>
      <c r="P10" s="46"/>
      <c r="Q10" s="46"/>
      <c r="R10" s="439">
        <v>1</v>
      </c>
      <c r="S10" s="46"/>
      <c r="T10" s="429"/>
      <c r="U10" s="40"/>
      <c r="V10" s="40"/>
      <c r="W10" s="40"/>
      <c r="X10" s="40"/>
      <c r="Y10" s="40"/>
      <c r="Z10" s="40"/>
      <c r="AA10" s="40"/>
      <c r="AB10" s="40"/>
    </row>
    <row r="11" spans="2:61" x14ac:dyDescent="0.25">
      <c r="B11" s="57"/>
      <c r="C11" s="46"/>
      <c r="D11" s="46"/>
      <c r="E11" s="46"/>
      <c r="F11" s="46"/>
      <c r="G11" s="46"/>
      <c r="H11" s="46"/>
      <c r="I11" s="46"/>
      <c r="J11" s="46"/>
      <c r="K11" s="46"/>
      <c r="L11" s="46"/>
      <c r="M11" s="46"/>
      <c r="N11" s="46"/>
      <c r="O11" s="46"/>
      <c r="P11" s="46"/>
      <c r="Q11" s="46"/>
      <c r="R11" s="439">
        <v>1</v>
      </c>
      <c r="S11" s="46"/>
      <c r="T11" s="429"/>
    </row>
    <row r="12" spans="2:61" ht="27" customHeight="1" x14ac:dyDescent="0.25">
      <c r="B12" s="57"/>
      <c r="C12" s="46"/>
      <c r="D12" s="46"/>
      <c r="E12" s="46"/>
      <c r="F12" s="46"/>
      <c r="G12" s="46"/>
      <c r="H12" s="46"/>
      <c r="I12" s="46"/>
      <c r="J12" s="46"/>
      <c r="K12" s="46"/>
      <c r="L12" s="46"/>
      <c r="M12" s="46"/>
      <c r="N12" s="46"/>
      <c r="O12" s="46"/>
      <c r="P12" s="46"/>
      <c r="Q12" s="46"/>
      <c r="R12" s="439">
        <v>1</v>
      </c>
      <c r="S12" s="46"/>
      <c r="T12" s="429"/>
    </row>
    <row r="13" spans="2:61" s="90" customFormat="1" ht="9.75" customHeight="1" thickBot="1" x14ac:dyDescent="0.3">
      <c r="B13" s="57"/>
      <c r="C13" s="46"/>
      <c r="D13" s="46"/>
      <c r="E13" s="46"/>
      <c r="F13" s="46"/>
      <c r="G13" s="46"/>
      <c r="H13" s="46"/>
      <c r="I13" s="46"/>
      <c r="J13" s="46"/>
      <c r="K13" s="46"/>
      <c r="L13" s="46"/>
      <c r="M13" s="46"/>
      <c r="N13" s="46"/>
      <c r="O13" s="46"/>
      <c r="P13" s="46"/>
      <c r="Q13" s="46"/>
      <c r="R13" s="439"/>
      <c r="S13" s="46"/>
      <c r="T13" s="429"/>
      <c r="U13" s="40"/>
      <c r="V13" s="40"/>
      <c r="W13" s="40"/>
      <c r="X13" s="40"/>
      <c r="Y13" s="40"/>
      <c r="Z13" s="40"/>
      <c r="AA13" s="40"/>
      <c r="AB13" s="40"/>
    </row>
    <row r="14" spans="2:61" s="264" customFormat="1" ht="39.75" customHeight="1" thickBot="1" x14ac:dyDescent="0.3">
      <c r="B14" s="450"/>
      <c r="C14" s="440"/>
      <c r="D14" s="826" t="s">
        <v>587</v>
      </c>
      <c r="E14" s="827" t="s">
        <v>299</v>
      </c>
      <c r="F14" s="828" t="s">
        <v>1083</v>
      </c>
      <c r="G14" s="829" t="s">
        <v>1082</v>
      </c>
      <c r="H14" s="829" t="s">
        <v>1076</v>
      </c>
      <c r="I14" s="830" t="s">
        <v>1078</v>
      </c>
      <c r="J14" s="830" t="s">
        <v>1079</v>
      </c>
      <c r="K14" s="828" t="s">
        <v>1077</v>
      </c>
      <c r="L14" s="828" t="s">
        <v>1077</v>
      </c>
      <c r="M14" s="831" t="s">
        <v>208</v>
      </c>
      <c r="N14" s="831" t="s">
        <v>208</v>
      </c>
      <c r="O14" s="832" t="s">
        <v>300</v>
      </c>
      <c r="P14" s="833" t="s">
        <v>1085</v>
      </c>
      <c r="Q14" s="440"/>
      <c r="R14" s="439">
        <v>1</v>
      </c>
      <c r="S14" s="440"/>
      <c r="T14" s="441"/>
      <c r="U14" s="367"/>
      <c r="V14" s="367"/>
      <c r="W14" s="367"/>
      <c r="X14" s="367"/>
      <c r="Y14" s="367"/>
      <c r="Z14" s="367"/>
      <c r="AA14" s="367"/>
      <c r="AB14" s="367"/>
    </row>
    <row r="15" spans="2:61" s="264" customFormat="1" x14ac:dyDescent="0.25">
      <c r="B15" s="450"/>
      <c r="C15" s="440"/>
      <c r="D15" s="368" t="s">
        <v>596</v>
      </c>
      <c r="E15" s="369">
        <f t="shared" ref="E15:E22" si="0">VLOOKUP($D15,NFI,6,0)</f>
        <v>2</v>
      </c>
      <c r="F15" s="370">
        <f t="shared" ref="F15:F22" si="1">$E$6</f>
        <v>23655</v>
      </c>
      <c r="G15" s="173">
        <f t="shared" ref="G15:G22" ca="1" si="2">SUMIFS(INDIRECT(VLOOKUP($D15,NFI,2,0)),NFI_State,"Rakhine",NFI_CampStatus,"Open")/E15</f>
        <v>5122.5</v>
      </c>
      <c r="H15" s="804">
        <f ca="1">IF((G15/F15)&gt;100%,100%,(G15/F15))</f>
        <v>0.21655041217501586</v>
      </c>
      <c r="I15" s="173">
        <f ca="1">SUMIFS(INDIRECT(VLOOKUP($D15,NFI,3,0)),NFI_Pipeline_State,$D$6)/E15 + I$8</f>
        <v>3905.5</v>
      </c>
      <c r="J15" s="371">
        <f ca="1">I15/F15</f>
        <v>0.16510251532445572</v>
      </c>
      <c r="K15" s="173">
        <f ca="1">IF((F15-(SUM(G15:I15)))&lt;0,0,(F15-(SUM(G15:I15))))</f>
        <v>14626.783449587825</v>
      </c>
      <c r="L15" s="807">
        <f t="shared" ref="L15:L22" ca="1" si="3">K15/F15</f>
        <v>0.61833791797031601</v>
      </c>
      <c r="M15" s="173">
        <f ca="1">SUMIFS(INDIRECT(VLOOKUP($D15,NFI,4,0)),NFI_Pipeline_State,$D$6)+E15*M$8</f>
        <v>0</v>
      </c>
      <c r="N15" s="372">
        <f ca="1">M15/F15</f>
        <v>0</v>
      </c>
      <c r="O15" s="373">
        <f t="shared" ref="O15:O22" ca="1" si="4">IF((F15-(G15+I15+M15))&lt;0,0,(F15-(G15+I15+M15)))</f>
        <v>14627</v>
      </c>
      <c r="P15" s="374">
        <f t="shared" ref="P15:P22" ca="1" si="5">O15/F15</f>
        <v>0.61834707250052845</v>
      </c>
      <c r="Q15" s="440"/>
      <c r="R15" s="440"/>
      <c r="S15" s="440"/>
      <c r="T15" s="441"/>
      <c r="U15" s="367"/>
      <c r="V15" s="367"/>
      <c r="W15" s="367"/>
      <c r="X15" s="367"/>
      <c r="Y15" s="367"/>
      <c r="Z15" s="367"/>
      <c r="AA15" s="367"/>
      <c r="AB15" s="367"/>
    </row>
    <row r="16" spans="2:61" s="264" customFormat="1" x14ac:dyDescent="0.25">
      <c r="B16" s="450"/>
      <c r="C16" s="440"/>
      <c r="D16" s="375" t="s">
        <v>303</v>
      </c>
      <c r="E16" s="376">
        <f t="shared" si="0"/>
        <v>1</v>
      </c>
      <c r="F16" s="41">
        <f t="shared" si="1"/>
        <v>23655</v>
      </c>
      <c r="G16" s="42">
        <f t="shared" ca="1" si="2"/>
        <v>354</v>
      </c>
      <c r="H16" s="805">
        <f t="shared" ref="H16:H22" ca="1" si="6">IF((G16/F16)&gt;100%,100%,(G16/F16))</f>
        <v>1.4965123652504755E-2</v>
      </c>
      <c r="I16" s="42">
        <f ca="1">SUMIFS(INDIRECT(VLOOKUP($D16,NFI,3,0)),NFI_Pipeline_State,$D$6)/E16 +I$8</f>
        <v>4327</v>
      </c>
      <c r="J16" s="43">
        <f t="shared" ref="J16:J22" ca="1" si="7">I16/F16</f>
        <v>0.18292115831748046</v>
      </c>
      <c r="K16" s="42">
        <f t="shared" ref="K16:K22" ca="1" si="8">IF((F16-(SUM(G16:I16)))&lt;0,0,(F16-(SUM(G16:I16))))</f>
        <v>18973.985034876347</v>
      </c>
      <c r="L16" s="808">
        <f t="shared" ca="1" si="3"/>
        <v>0.80211308538898107</v>
      </c>
      <c r="M16" s="42">
        <f ca="1">SUMIFS(INDIRECT(VLOOKUP($D16,NFI,4,0)),NFI_Pipeline_State,$D$6)+E16*M$8</f>
        <v>0</v>
      </c>
      <c r="N16" s="44">
        <f t="shared" ref="N16:N22" ca="1" si="9">M16/F16</f>
        <v>0</v>
      </c>
      <c r="O16" s="45">
        <f t="shared" ca="1" si="4"/>
        <v>18974</v>
      </c>
      <c r="P16" s="377">
        <f t="shared" ca="1" si="5"/>
        <v>0.80211371803001474</v>
      </c>
      <c r="Q16" s="440"/>
      <c r="R16" s="440"/>
      <c r="S16" s="440"/>
      <c r="T16" s="441"/>
      <c r="U16" s="367"/>
      <c r="V16" s="367"/>
      <c r="W16" s="367"/>
      <c r="X16" s="367"/>
      <c r="Y16" s="367"/>
      <c r="Z16" s="367"/>
      <c r="AA16" s="367"/>
      <c r="AB16" s="367"/>
    </row>
    <row r="17" spans="2:28" s="264" customFormat="1" x14ac:dyDescent="0.25">
      <c r="B17" s="450"/>
      <c r="C17" s="440"/>
      <c r="D17" s="375" t="s">
        <v>228</v>
      </c>
      <c r="E17" s="376">
        <f t="shared" si="0"/>
        <v>2</v>
      </c>
      <c r="F17" s="41">
        <f t="shared" si="1"/>
        <v>23655</v>
      </c>
      <c r="G17" s="42">
        <f t="shared" ca="1" si="2"/>
        <v>5369.5</v>
      </c>
      <c r="H17" s="805">
        <f t="shared" ca="1" si="6"/>
        <v>0.22699217924328893</v>
      </c>
      <c r="I17" s="42">
        <f ca="1">SUMIFS(INDIRECT(VLOOKUP($D17,NFI,3,0)),NFI_Pipeline_State,$D$6)/E17 +I$8</f>
        <v>2002</v>
      </c>
      <c r="J17" s="43">
        <f t="shared" ca="1" si="7"/>
        <v>8.4633269921792431E-2</v>
      </c>
      <c r="K17" s="42">
        <f t="shared" ca="1" si="8"/>
        <v>16283.273007820757</v>
      </c>
      <c r="L17" s="808">
        <f t="shared" ca="1" si="3"/>
        <v>0.68836495488567984</v>
      </c>
      <c r="M17" s="42">
        <f t="shared" ref="M17:M22" ca="1" si="10">SUMIFS(INDIRECT(VLOOKUP($D17,NFI,4,0)),NFI_Pipeline_State,$D$6)+E17*M$8</f>
        <v>0</v>
      </c>
      <c r="N17" s="44">
        <f t="shared" ca="1" si="9"/>
        <v>0</v>
      </c>
      <c r="O17" s="45">
        <f t="shared" ca="1" si="4"/>
        <v>16283.5</v>
      </c>
      <c r="P17" s="377">
        <f t="shared" ca="1" si="5"/>
        <v>0.68837455083491861</v>
      </c>
      <c r="Q17" s="440"/>
      <c r="R17" s="440"/>
      <c r="S17" s="440"/>
      <c r="T17" s="441"/>
      <c r="U17" s="367"/>
      <c r="V17" s="367"/>
      <c r="W17" s="367"/>
      <c r="X17" s="810"/>
      <c r="Y17" s="367"/>
      <c r="Z17" s="367"/>
      <c r="AA17" s="367"/>
      <c r="AB17" s="367"/>
    </row>
    <row r="18" spans="2:28" s="264" customFormat="1" x14ac:dyDescent="0.25">
      <c r="B18" s="450"/>
      <c r="C18" s="440"/>
      <c r="D18" s="375" t="s">
        <v>229</v>
      </c>
      <c r="E18" s="376">
        <f t="shared" si="0"/>
        <v>1</v>
      </c>
      <c r="F18" s="41">
        <f t="shared" si="1"/>
        <v>23655</v>
      </c>
      <c r="G18" s="42">
        <f t="shared" ca="1" si="2"/>
        <v>3371</v>
      </c>
      <c r="H18" s="805">
        <f t="shared" ca="1" si="6"/>
        <v>0.14250686958359754</v>
      </c>
      <c r="I18" s="42">
        <f ca="1">SUMIFS(INDIRECT(VLOOKUP($D18,NFI,3,0)),NFI_Pipeline_State,$D$6)/E18+I$8</f>
        <v>4327</v>
      </c>
      <c r="J18" s="43">
        <f t="shared" ca="1" si="7"/>
        <v>0.18292115831748046</v>
      </c>
      <c r="K18" s="42">
        <f t="shared" ca="1" si="8"/>
        <v>15956.857493130417</v>
      </c>
      <c r="L18" s="808">
        <f t="shared" ca="1" si="3"/>
        <v>0.6745659477121293</v>
      </c>
      <c r="M18" s="42">
        <f ca="1">SUMIFS(INDIRECT(VLOOKUP($D18,NFI,4,0)),NFI_Pipeline_State,$D$6)+E18*M$8</f>
        <v>0</v>
      </c>
      <c r="N18" s="44">
        <f t="shared" ca="1" si="9"/>
        <v>0</v>
      </c>
      <c r="O18" s="45">
        <f t="shared" ca="1" si="4"/>
        <v>15957</v>
      </c>
      <c r="P18" s="377">
        <f t="shared" ca="1" si="5"/>
        <v>0.67457197209892206</v>
      </c>
      <c r="Q18" s="440"/>
      <c r="R18" s="440"/>
      <c r="S18" s="440"/>
      <c r="T18" s="441"/>
      <c r="U18" s="367"/>
      <c r="V18" s="367"/>
      <c r="W18" s="367"/>
      <c r="X18" s="367"/>
      <c r="Y18" s="367"/>
      <c r="Z18" s="367"/>
      <c r="AA18" s="367"/>
      <c r="AB18" s="367"/>
    </row>
    <row r="19" spans="2:28" s="264" customFormat="1" x14ac:dyDescent="0.25">
      <c r="B19" s="450"/>
      <c r="C19" s="440"/>
      <c r="D19" s="375" t="s">
        <v>327</v>
      </c>
      <c r="E19" s="376">
        <f t="shared" si="0"/>
        <v>1</v>
      </c>
      <c r="F19" s="41">
        <f t="shared" si="1"/>
        <v>23655</v>
      </c>
      <c r="G19" s="42">
        <f t="shared" ca="1" si="2"/>
        <v>201</v>
      </c>
      <c r="H19" s="805">
        <f t="shared" ca="1" si="6"/>
        <v>8.4971464806594798E-3</v>
      </c>
      <c r="I19" s="42">
        <f ca="1">SUMIFS(INDIRECT(VLOOKUP($D19,NFI,3,0)),NFI_Pipeline_State,$D$6)/E19+I$8</f>
        <v>1003</v>
      </c>
      <c r="J19" s="43">
        <f t="shared" ca="1" si="7"/>
        <v>4.2401183682096812E-2</v>
      </c>
      <c r="K19" s="42">
        <f t="shared" ca="1" si="8"/>
        <v>22450.991502853518</v>
      </c>
      <c r="L19" s="808">
        <f t="shared" ca="1" si="3"/>
        <v>0.94910131062580927</v>
      </c>
      <c r="M19" s="42">
        <f t="shared" ca="1" si="10"/>
        <v>0</v>
      </c>
      <c r="N19" s="44">
        <f t="shared" ca="1" si="9"/>
        <v>0</v>
      </c>
      <c r="O19" s="45">
        <f t="shared" ca="1" si="4"/>
        <v>22451</v>
      </c>
      <c r="P19" s="377">
        <f t="shared" ca="1" si="5"/>
        <v>0.94910166983724376</v>
      </c>
      <c r="Q19" s="440"/>
      <c r="R19" s="440"/>
      <c r="S19" s="440"/>
      <c r="T19" s="441"/>
      <c r="U19" s="367"/>
      <c r="V19" s="367"/>
      <c r="W19" s="367"/>
      <c r="X19" s="367"/>
      <c r="Y19" s="367"/>
      <c r="Z19" s="367"/>
      <c r="AA19" s="367"/>
      <c r="AB19" s="367"/>
    </row>
    <row r="20" spans="2:28" s="264" customFormat="1" x14ac:dyDescent="0.25">
      <c r="B20" s="450"/>
      <c r="C20" s="440"/>
      <c r="D20" s="375" t="s">
        <v>579</v>
      </c>
      <c r="E20" s="376">
        <f t="shared" si="0"/>
        <v>1</v>
      </c>
      <c r="F20" s="41">
        <f t="shared" si="1"/>
        <v>23655</v>
      </c>
      <c r="G20" s="42">
        <f t="shared" ca="1" si="2"/>
        <v>5465</v>
      </c>
      <c r="H20" s="805">
        <f ca="1">IF((G20/F20)&gt;100%,100%,(G20/F20))</f>
        <v>0.23102938068061721</v>
      </c>
      <c r="I20" s="42">
        <f ca="1">SUMIFS(INDIRECT(VLOOKUP($D20,NFI,3,0)),NFI_Pipeline_State,$D$6)/E20+I$8</f>
        <v>3987</v>
      </c>
      <c r="J20" s="43">
        <f t="shared" ca="1" si="7"/>
        <v>0.16854787571337984</v>
      </c>
      <c r="K20" s="42">
        <f t="shared" ca="1" si="8"/>
        <v>14202.76897061932</v>
      </c>
      <c r="L20" s="808">
        <f t="shared" ca="1" si="3"/>
        <v>0.60041297698665486</v>
      </c>
      <c r="M20" s="42">
        <f t="shared" ca="1" si="10"/>
        <v>0</v>
      </c>
      <c r="N20" s="44">
        <f t="shared" ca="1" si="9"/>
        <v>0</v>
      </c>
      <c r="O20" s="45">
        <f t="shared" ca="1" si="4"/>
        <v>14203</v>
      </c>
      <c r="P20" s="377">
        <f t="shared" ca="1" si="5"/>
        <v>0.60042274360600301</v>
      </c>
      <c r="Q20" s="440"/>
      <c r="R20" s="440"/>
      <c r="S20" s="440"/>
      <c r="T20" s="441"/>
      <c r="U20" s="367"/>
      <c r="V20" s="367"/>
      <c r="W20" s="367"/>
      <c r="X20" s="367"/>
      <c r="Y20" s="367"/>
      <c r="Z20" s="367"/>
      <c r="AA20" s="367"/>
      <c r="AB20" s="367"/>
    </row>
    <row r="21" spans="2:28" s="264" customFormat="1" x14ac:dyDescent="0.25">
      <c r="B21" s="450"/>
      <c r="C21" s="440"/>
      <c r="D21" s="518" t="s">
        <v>928</v>
      </c>
      <c r="E21" s="376">
        <f t="shared" si="0"/>
        <v>1</v>
      </c>
      <c r="F21" s="41">
        <f t="shared" si="1"/>
        <v>23655</v>
      </c>
      <c r="G21" s="42">
        <f t="shared" ca="1" si="2"/>
        <v>7377</v>
      </c>
      <c r="H21" s="805">
        <f ca="1">IF((G21/F21)&gt;100%,100%,(G21/F21))</f>
        <v>0.31185795814838302</v>
      </c>
      <c r="I21" s="42">
        <f ca="1">SUMIFS(INDIRECT(VLOOKUP($D21,NFI,3,0)),NFI_Pipeline_State,$D$6)/E21+I$8</f>
        <v>5067</v>
      </c>
      <c r="J21" s="43">
        <f t="shared" ca="1" si="7"/>
        <v>0.21420418516169942</v>
      </c>
      <c r="K21" s="42">
        <f t="shared" ca="1" si="8"/>
        <v>11210.68814204185</v>
      </c>
      <c r="L21" s="808">
        <f t="shared" ca="1" si="3"/>
        <v>0.47392467309413866</v>
      </c>
      <c r="M21" s="42">
        <f t="shared" ca="1" si="10"/>
        <v>0</v>
      </c>
      <c r="N21" s="44">
        <f t="shared" ca="1" si="9"/>
        <v>0</v>
      </c>
      <c r="O21" s="45">
        <f t="shared" ca="1" si="4"/>
        <v>11211</v>
      </c>
      <c r="P21" s="377">
        <f t="shared" ca="1" si="5"/>
        <v>0.47393785668991756</v>
      </c>
      <c r="Q21" s="440"/>
      <c r="R21" s="440"/>
      <c r="S21" s="440"/>
      <c r="T21" s="441"/>
      <c r="U21" s="367"/>
      <c r="V21" s="367"/>
      <c r="W21" s="367"/>
      <c r="X21" s="367"/>
      <c r="Y21" s="367"/>
      <c r="Z21" s="367"/>
      <c r="AA21" s="367"/>
      <c r="AB21" s="367"/>
    </row>
    <row r="22" spans="2:28" s="264" customFormat="1" ht="15.75" thickBot="1" x14ac:dyDescent="0.3">
      <c r="B22" s="450"/>
      <c r="C22" s="440"/>
      <c r="D22" s="378" t="s">
        <v>580</v>
      </c>
      <c r="E22" s="379">
        <f t="shared" si="0"/>
        <v>5</v>
      </c>
      <c r="F22" s="380">
        <f t="shared" si="1"/>
        <v>23655</v>
      </c>
      <c r="G22" s="174">
        <f t="shared" ca="1" si="2"/>
        <v>3498</v>
      </c>
      <c r="H22" s="806">
        <f t="shared" ca="1" si="6"/>
        <v>0.14787571337983513</v>
      </c>
      <c r="I22" s="174">
        <f ca="1">SUMIFS(INDIRECT(VLOOKUP($D22,NFI,3,0)),NFI_Pipeline_State,$D$6)/E22+I$8</f>
        <v>3903</v>
      </c>
      <c r="J22" s="381">
        <f t="shared" ca="1" si="7"/>
        <v>0.16499682942295499</v>
      </c>
      <c r="K22" s="174">
        <f t="shared" ca="1" si="8"/>
        <v>16253.852124286619</v>
      </c>
      <c r="L22" s="809">
        <f t="shared" ca="1" si="3"/>
        <v>0.68712120584597836</v>
      </c>
      <c r="M22" s="174">
        <f t="shared" ca="1" si="10"/>
        <v>0</v>
      </c>
      <c r="N22" s="382">
        <f t="shared" ca="1" si="9"/>
        <v>0</v>
      </c>
      <c r="O22" s="383">
        <f t="shared" ca="1" si="4"/>
        <v>16254</v>
      </c>
      <c r="P22" s="384">
        <f t="shared" ca="1" si="5"/>
        <v>0.68712745719720991</v>
      </c>
      <c r="Q22" s="440"/>
      <c r="R22" s="440"/>
      <c r="S22" s="440"/>
      <c r="T22" s="441"/>
      <c r="U22" s="367"/>
      <c r="V22" s="367"/>
      <c r="W22" s="367"/>
      <c r="X22" s="367"/>
      <c r="Y22" s="367"/>
      <c r="Z22" s="367"/>
      <c r="AA22" s="367"/>
      <c r="AB22" s="367"/>
    </row>
    <row r="23" spans="2:28" x14ac:dyDescent="0.25">
      <c r="B23" s="57"/>
      <c r="C23" s="46"/>
      <c r="D23" s="46"/>
      <c r="E23" s="46"/>
      <c r="F23" s="46"/>
      <c r="G23" s="46"/>
      <c r="H23" s="46"/>
      <c r="I23" s="46"/>
      <c r="J23" s="46"/>
      <c r="K23" s="46"/>
      <c r="L23" s="46"/>
      <c r="M23" s="46"/>
      <c r="N23" s="46"/>
      <c r="O23" s="46"/>
      <c r="P23" s="46"/>
      <c r="Q23" s="46"/>
      <c r="R23" s="46"/>
      <c r="S23" s="46"/>
      <c r="T23" s="429"/>
    </row>
    <row r="24" spans="2:28" x14ac:dyDescent="0.25">
      <c r="B24" s="57"/>
      <c r="C24" s="46"/>
      <c r="D24" s="46"/>
      <c r="E24" s="46"/>
      <c r="F24" s="46"/>
      <c r="G24" s="46"/>
      <c r="H24" s="46"/>
      <c r="I24" s="46"/>
      <c r="J24" s="46"/>
      <c r="K24" s="46"/>
      <c r="L24" s="46"/>
      <c r="M24" s="46"/>
      <c r="N24" s="46"/>
      <c r="O24" s="46"/>
      <c r="P24" s="46"/>
      <c r="Q24" s="46"/>
      <c r="R24" s="46"/>
      <c r="S24" s="46"/>
      <c r="T24" s="429"/>
    </row>
    <row r="25" spans="2:28" x14ac:dyDescent="0.25">
      <c r="B25" s="57"/>
      <c r="C25" s="46"/>
      <c r="D25" s="46"/>
      <c r="E25" s="46"/>
      <c r="F25" s="46"/>
      <c r="G25" s="46"/>
      <c r="H25" s="46"/>
      <c r="I25" s="46"/>
      <c r="J25" s="46"/>
      <c r="K25" s="46"/>
      <c r="L25" s="46"/>
      <c r="M25" s="46"/>
      <c r="N25" s="46"/>
      <c r="O25" s="46"/>
      <c r="P25" s="46"/>
      <c r="Q25" s="46"/>
      <c r="R25" s="46"/>
      <c r="S25" s="46"/>
      <c r="T25" s="429"/>
    </row>
    <row r="26" spans="2:28" x14ac:dyDescent="0.25">
      <c r="B26" s="57"/>
      <c r="C26" s="46"/>
      <c r="D26" s="46"/>
      <c r="E26" s="46"/>
      <c r="F26" s="46"/>
      <c r="G26" s="46"/>
      <c r="H26" s="46"/>
      <c r="I26" s="46"/>
      <c r="J26" s="46"/>
      <c r="K26" s="46"/>
      <c r="L26" s="46"/>
      <c r="M26" s="46"/>
      <c r="N26" s="46"/>
      <c r="O26" s="46"/>
      <c r="P26" s="46"/>
      <c r="Q26" s="46"/>
      <c r="R26" s="46"/>
      <c r="S26" s="46"/>
      <c r="T26" s="429"/>
    </row>
    <row r="27" spans="2:28" x14ac:dyDescent="0.25">
      <c r="B27" s="57"/>
      <c r="C27" s="46"/>
      <c r="D27" s="46"/>
      <c r="E27" s="46"/>
      <c r="F27" s="46"/>
      <c r="G27" s="46"/>
      <c r="H27" s="46"/>
      <c r="I27" s="46"/>
      <c r="J27" s="46"/>
      <c r="K27" s="46"/>
      <c r="L27" s="46"/>
      <c r="M27" s="46"/>
      <c r="N27" s="46"/>
      <c r="O27" s="46"/>
      <c r="P27" s="46"/>
      <c r="Q27" s="46"/>
      <c r="R27" s="46"/>
      <c r="S27" s="46"/>
      <c r="T27" s="429"/>
    </row>
    <row r="28" spans="2:28" x14ac:dyDescent="0.25">
      <c r="B28" s="57"/>
      <c r="C28" s="46"/>
      <c r="D28" s="46"/>
      <c r="E28" s="46"/>
      <c r="F28" s="46"/>
      <c r="G28" s="46"/>
      <c r="H28" s="46"/>
      <c r="I28" s="46"/>
      <c r="J28" s="46"/>
      <c r="K28" s="46"/>
      <c r="L28" s="46"/>
      <c r="M28" s="46"/>
      <c r="N28" s="46"/>
      <c r="O28" s="46"/>
      <c r="P28" s="46"/>
      <c r="Q28" s="46"/>
      <c r="R28" s="46"/>
      <c r="S28" s="46"/>
      <c r="T28" s="429"/>
    </row>
    <row r="29" spans="2:28" x14ac:dyDescent="0.25">
      <c r="B29" s="57"/>
      <c r="C29" s="46"/>
      <c r="D29" s="46"/>
      <c r="E29" s="46"/>
      <c r="F29" s="46"/>
      <c r="G29" s="46"/>
      <c r="H29" s="46"/>
      <c r="I29" s="46"/>
      <c r="J29" s="46"/>
      <c r="K29" s="46"/>
      <c r="L29" s="46"/>
      <c r="M29" s="46"/>
      <c r="N29" s="46"/>
      <c r="O29" s="46"/>
      <c r="P29" s="46"/>
      <c r="Q29" s="46"/>
      <c r="R29" s="46"/>
      <c r="S29" s="46"/>
      <c r="T29" s="429"/>
    </row>
    <row r="30" spans="2:28" x14ac:dyDescent="0.25">
      <c r="B30" s="57"/>
      <c r="C30" s="46"/>
      <c r="D30" s="46"/>
      <c r="E30" s="46"/>
      <c r="F30" s="46"/>
      <c r="G30" s="46"/>
      <c r="H30" s="46"/>
      <c r="I30" s="46"/>
      <c r="J30" s="46"/>
      <c r="K30" s="46"/>
      <c r="L30" s="46"/>
      <c r="M30" s="46"/>
      <c r="N30" s="46"/>
      <c r="O30" s="46"/>
      <c r="P30" s="46"/>
      <c r="Q30" s="46"/>
      <c r="R30" s="46"/>
      <c r="S30" s="46"/>
      <c r="T30" s="429"/>
    </row>
    <row r="31" spans="2:28" x14ac:dyDescent="0.25">
      <c r="B31" s="57"/>
      <c r="C31" s="46"/>
      <c r="D31" s="46"/>
      <c r="E31" s="46"/>
      <c r="F31" s="46"/>
      <c r="G31" s="46"/>
      <c r="H31" s="46"/>
      <c r="I31" s="46"/>
      <c r="J31" s="46"/>
      <c r="K31" s="46"/>
      <c r="L31" s="46"/>
      <c r="M31" s="46"/>
      <c r="N31" s="46"/>
      <c r="O31" s="46"/>
      <c r="P31" s="46"/>
      <c r="Q31" s="46"/>
      <c r="R31" s="46"/>
      <c r="S31" s="46"/>
      <c r="T31" s="429"/>
    </row>
    <row r="32" spans="2:28" x14ac:dyDescent="0.25">
      <c r="B32" s="57"/>
      <c r="C32" s="46"/>
      <c r="D32" s="46"/>
      <c r="E32" s="46"/>
      <c r="F32" s="46"/>
      <c r="G32" s="46"/>
      <c r="H32" s="46"/>
      <c r="I32" s="46"/>
      <c r="J32" s="46"/>
      <c r="K32" s="46"/>
      <c r="L32" s="46"/>
      <c r="M32" s="46"/>
      <c r="N32" s="46"/>
      <c r="O32" s="46"/>
      <c r="P32" s="46"/>
      <c r="Q32" s="46"/>
      <c r="R32" s="46"/>
      <c r="S32" s="46"/>
      <c r="T32" s="429"/>
    </row>
    <row r="33" spans="2:20" x14ac:dyDescent="0.25">
      <c r="B33" s="57"/>
      <c r="C33" s="46"/>
      <c r="D33" s="46"/>
      <c r="E33" s="46"/>
      <c r="F33" s="46"/>
      <c r="G33" s="46"/>
      <c r="H33" s="46"/>
      <c r="I33" s="46"/>
      <c r="J33" s="46"/>
      <c r="K33" s="46"/>
      <c r="L33" s="46"/>
      <c r="M33" s="46"/>
      <c r="N33" s="46"/>
      <c r="O33" s="46"/>
      <c r="P33" s="46"/>
      <c r="Q33" s="46"/>
      <c r="R33" s="46"/>
      <c r="S33" s="46"/>
      <c r="T33" s="429"/>
    </row>
    <row r="34" spans="2:20" x14ac:dyDescent="0.25">
      <c r="B34" s="57"/>
      <c r="C34" s="46"/>
      <c r="D34" s="46"/>
      <c r="E34" s="46"/>
      <c r="F34" s="46"/>
      <c r="G34" s="46"/>
      <c r="H34" s="46"/>
      <c r="I34" s="46"/>
      <c r="J34" s="46"/>
      <c r="K34" s="46"/>
      <c r="L34" s="46"/>
      <c r="M34" s="46"/>
      <c r="N34" s="46"/>
      <c r="O34" s="46"/>
      <c r="P34" s="46"/>
      <c r="Q34" s="46"/>
      <c r="R34" s="46"/>
      <c r="S34" s="46"/>
      <c r="T34" s="429"/>
    </row>
    <row r="35" spans="2:20" x14ac:dyDescent="0.25">
      <c r="B35" s="57"/>
      <c r="C35" s="46"/>
      <c r="D35" s="46"/>
      <c r="E35" s="46"/>
      <c r="F35" s="46"/>
      <c r="G35" s="46"/>
      <c r="H35" s="46"/>
      <c r="I35" s="46"/>
      <c r="J35" s="46"/>
      <c r="K35" s="46"/>
      <c r="L35" s="46"/>
      <c r="M35" s="46"/>
      <c r="N35" s="46"/>
      <c r="O35" s="46"/>
      <c r="P35" s="46"/>
      <c r="Q35" s="46"/>
      <c r="R35" s="46"/>
      <c r="S35" s="46"/>
      <c r="T35" s="429"/>
    </row>
    <row r="36" spans="2:20" x14ac:dyDescent="0.25">
      <c r="B36" s="57"/>
      <c r="C36" s="46"/>
      <c r="D36" s="46"/>
      <c r="E36" s="46"/>
      <c r="F36" s="46"/>
      <c r="G36" s="46"/>
      <c r="H36" s="46"/>
      <c r="I36" s="46"/>
      <c r="J36" s="46"/>
      <c r="K36" s="46"/>
      <c r="L36" s="46"/>
      <c r="M36" s="46"/>
      <c r="N36" s="46"/>
      <c r="O36" s="46"/>
      <c r="P36" s="46"/>
      <c r="Q36" s="46"/>
      <c r="R36" s="46"/>
      <c r="S36" s="46"/>
      <c r="T36" s="429"/>
    </row>
    <row r="37" spans="2:20" ht="68.25" customHeight="1" x14ac:dyDescent="0.25">
      <c r="B37" s="57"/>
      <c r="C37" s="46"/>
      <c r="D37" s="46"/>
      <c r="E37" s="46"/>
      <c r="F37" s="46"/>
      <c r="G37" s="46"/>
      <c r="H37" s="46"/>
      <c r="I37" s="46"/>
      <c r="J37" s="46"/>
      <c r="K37" s="46"/>
      <c r="L37" s="46"/>
      <c r="M37" s="46"/>
      <c r="N37" s="46"/>
      <c r="O37" s="46"/>
      <c r="P37" s="46"/>
      <c r="Q37" s="46"/>
      <c r="R37" s="46"/>
      <c r="S37" s="46"/>
      <c r="T37" s="429"/>
    </row>
    <row r="38" spans="2:20" x14ac:dyDescent="0.25">
      <c r="B38" s="57"/>
      <c r="C38" s="46"/>
      <c r="D38" s="46"/>
      <c r="E38" s="46"/>
      <c r="F38" s="46"/>
      <c r="G38" s="46"/>
      <c r="H38" s="46"/>
      <c r="I38" s="46"/>
      <c r="J38" s="46"/>
      <c r="K38" s="46"/>
      <c r="L38" s="46"/>
      <c r="M38" s="46"/>
      <c r="N38" s="46"/>
      <c r="O38" s="46"/>
      <c r="P38" s="46"/>
      <c r="Q38" s="46"/>
      <c r="R38" s="46"/>
      <c r="S38" s="46"/>
      <c r="T38" s="429"/>
    </row>
    <row r="39" spans="2:20" x14ac:dyDescent="0.25">
      <c r="B39" s="57"/>
      <c r="C39" s="46"/>
      <c r="D39" s="46"/>
      <c r="E39" s="46"/>
      <c r="F39" s="46"/>
      <c r="G39" s="46"/>
      <c r="H39" s="46"/>
      <c r="I39" s="46"/>
      <c r="J39" s="46"/>
      <c r="K39" s="46"/>
      <c r="L39" s="46"/>
      <c r="M39" s="46"/>
      <c r="N39" s="46"/>
      <c r="O39" s="46"/>
      <c r="P39" s="46"/>
      <c r="Q39" s="46"/>
      <c r="R39" s="46"/>
      <c r="S39" s="46"/>
      <c r="T39" s="429"/>
    </row>
    <row r="40" spans="2:20" ht="15.75" thickBot="1" x14ac:dyDescent="0.3">
      <c r="B40" s="252"/>
      <c r="C40" s="433"/>
      <c r="D40" s="433"/>
      <c r="E40" s="433"/>
      <c r="F40" s="433"/>
      <c r="G40" s="433"/>
      <c r="H40" s="433"/>
      <c r="I40" s="433"/>
      <c r="J40" s="433"/>
      <c r="K40" s="433"/>
      <c r="L40" s="433"/>
      <c r="M40" s="433"/>
      <c r="N40" s="433"/>
      <c r="O40" s="433"/>
      <c r="P40" s="433"/>
      <c r="Q40" s="433"/>
      <c r="R40" s="433"/>
      <c r="S40" s="433"/>
      <c r="T40" s="434"/>
    </row>
    <row r="41" spans="2:20" x14ac:dyDescent="0.25">
      <c r="K41" s="40"/>
    </row>
    <row r="46" spans="2:20" x14ac:dyDescent="0.25">
      <c r="D46"/>
      <c r="E46"/>
      <c r="F46"/>
      <c r="G46"/>
      <c r="H46"/>
      <c r="I46"/>
      <c r="J46"/>
      <c r="K46"/>
    </row>
    <row r="77" spans="4:11" x14ac:dyDescent="0.25">
      <c r="D77"/>
      <c r="E77"/>
      <c r="F77"/>
      <c r="G77"/>
      <c r="H77"/>
      <c r="I77"/>
      <c r="J77"/>
      <c r="K77"/>
    </row>
    <row r="78" spans="4:11" x14ac:dyDescent="0.25">
      <c r="D78"/>
      <c r="E78"/>
      <c r="F78"/>
      <c r="G78"/>
      <c r="H78"/>
      <c r="I78"/>
      <c r="J78"/>
      <c r="K78"/>
    </row>
    <row r="79" spans="4:11" x14ac:dyDescent="0.25">
      <c r="D79"/>
      <c r="E79"/>
      <c r="F79"/>
      <c r="G79"/>
      <c r="H79"/>
      <c r="I79"/>
      <c r="J79"/>
      <c r="K79"/>
    </row>
    <row r="80" spans="4:11" x14ac:dyDescent="0.25">
      <c r="D80"/>
      <c r="E80"/>
      <c r="F80"/>
      <c r="G80"/>
      <c r="H80"/>
      <c r="I80"/>
      <c r="J80"/>
      <c r="K80"/>
    </row>
    <row r="81" spans="4:11" x14ac:dyDescent="0.25">
      <c r="D81"/>
      <c r="E81"/>
      <c r="F81"/>
      <c r="G81"/>
      <c r="H81"/>
      <c r="I81"/>
      <c r="J81"/>
      <c r="K81"/>
    </row>
    <row r="82" spans="4:11" x14ac:dyDescent="0.25">
      <c r="D82"/>
      <c r="E82"/>
      <c r="F82"/>
      <c r="G82"/>
      <c r="H82"/>
      <c r="I82"/>
      <c r="J82"/>
      <c r="K82"/>
    </row>
    <row r="83" spans="4:11" x14ac:dyDescent="0.25">
      <c r="D83"/>
      <c r="E83"/>
      <c r="F83"/>
      <c r="G83"/>
      <c r="H83"/>
      <c r="I83"/>
      <c r="J83"/>
      <c r="K83"/>
    </row>
    <row r="84" spans="4:11" x14ac:dyDescent="0.25">
      <c r="D84"/>
      <c r="E84"/>
      <c r="F84"/>
      <c r="G84"/>
      <c r="H84"/>
      <c r="I84"/>
      <c r="J84"/>
      <c r="K84"/>
    </row>
    <row r="85" spans="4:11" x14ac:dyDescent="0.25">
      <c r="D85"/>
      <c r="E85"/>
      <c r="F85"/>
      <c r="G85"/>
      <c r="H85"/>
      <c r="I85"/>
      <c r="J85"/>
      <c r="K85"/>
    </row>
    <row r="86" spans="4:11" x14ac:dyDescent="0.25">
      <c r="D86"/>
      <c r="E86"/>
      <c r="F86"/>
      <c r="G86"/>
      <c r="H86"/>
      <c r="I86"/>
      <c r="J86"/>
      <c r="K86"/>
    </row>
    <row r="87" spans="4:11" x14ac:dyDescent="0.25">
      <c r="D87"/>
      <c r="E87"/>
      <c r="F87"/>
      <c r="G87"/>
      <c r="H87"/>
      <c r="I87"/>
      <c r="J87"/>
      <c r="K87"/>
    </row>
    <row r="88" spans="4:11" x14ac:dyDescent="0.25">
      <c r="D88"/>
      <c r="E88"/>
      <c r="F88"/>
      <c r="G88"/>
      <c r="H88"/>
      <c r="I88"/>
      <c r="J88"/>
      <c r="K88"/>
    </row>
    <row r="89" spans="4:11" x14ac:dyDescent="0.25">
      <c r="D89"/>
      <c r="E89"/>
      <c r="F89"/>
      <c r="G89"/>
      <c r="H89"/>
      <c r="I89"/>
      <c r="J89"/>
      <c r="K89"/>
    </row>
    <row r="90" spans="4:11" x14ac:dyDescent="0.25">
      <c r="D90"/>
      <c r="E90"/>
      <c r="F90"/>
      <c r="G90"/>
      <c r="H90"/>
      <c r="I90"/>
      <c r="J90"/>
      <c r="K90"/>
    </row>
    <row r="91" spans="4:11" x14ac:dyDescent="0.25">
      <c r="D91"/>
      <c r="E91"/>
      <c r="F91"/>
      <c r="G91"/>
      <c r="H91"/>
      <c r="I91"/>
      <c r="J91"/>
      <c r="K91"/>
    </row>
    <row r="92" spans="4:11" x14ac:dyDescent="0.25">
      <c r="D92"/>
      <c r="E92"/>
      <c r="F92"/>
      <c r="G92"/>
      <c r="H92"/>
      <c r="I92"/>
      <c r="J92"/>
      <c r="K92"/>
    </row>
    <row r="93" spans="4:11" x14ac:dyDescent="0.25">
      <c r="D93"/>
      <c r="E93"/>
      <c r="F93"/>
      <c r="G93"/>
      <c r="H93"/>
      <c r="I93"/>
      <c r="J93"/>
      <c r="K93"/>
    </row>
    <row r="94" spans="4:11" x14ac:dyDescent="0.25">
      <c r="D94"/>
      <c r="E94"/>
      <c r="F94"/>
      <c r="G94"/>
      <c r="H94"/>
      <c r="I94"/>
      <c r="J94"/>
      <c r="K94"/>
    </row>
    <row r="95" spans="4:11" x14ac:dyDescent="0.25">
      <c r="D95"/>
      <c r="E95"/>
      <c r="F95"/>
      <c r="G95"/>
      <c r="H95"/>
      <c r="I95"/>
      <c r="J95"/>
      <c r="K95"/>
    </row>
    <row r="96" spans="4:11" x14ac:dyDescent="0.25">
      <c r="D96"/>
      <c r="E96"/>
      <c r="F96"/>
      <c r="G96"/>
      <c r="H96"/>
      <c r="I96"/>
      <c r="J96"/>
      <c r="K96"/>
    </row>
    <row r="97" spans="4:11" x14ac:dyDescent="0.25">
      <c r="D97"/>
      <c r="E97"/>
      <c r="F97"/>
      <c r="G97"/>
      <c r="H97"/>
      <c r="I97"/>
      <c r="J97"/>
      <c r="K97"/>
    </row>
    <row r="98" spans="4:11" x14ac:dyDescent="0.25">
      <c r="D98"/>
      <c r="E98"/>
      <c r="F98"/>
      <c r="G98"/>
      <c r="H98"/>
      <c r="I98"/>
      <c r="J98"/>
      <c r="K98"/>
    </row>
    <row r="99" spans="4:11" x14ac:dyDescent="0.25">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6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AG74"/>
  <sheetViews>
    <sheetView topLeftCell="A31" zoomScale="85" zoomScaleNormal="85" workbookViewId="0">
      <selection activeCell="K71" sqref="K71"/>
    </sheetView>
  </sheetViews>
  <sheetFormatPr defaultRowHeight="15" x14ac:dyDescent="0.25"/>
  <cols>
    <col min="1" max="1" width="13" style="789" customWidth="1"/>
    <col min="2" max="2" width="15.5703125" style="789" customWidth="1"/>
    <col min="3" max="3" width="11.85546875" style="789" customWidth="1"/>
    <col min="4" max="4" width="11" style="789" customWidth="1"/>
    <col min="5" max="5" width="13.5703125" style="789" customWidth="1"/>
    <col min="6" max="6" width="20.7109375" style="789" customWidth="1"/>
    <col min="7" max="7" width="15.7109375" style="789" customWidth="1"/>
    <col min="8" max="8" width="11.5703125" style="789" customWidth="1"/>
    <col min="9" max="9" width="13.28515625" style="789" customWidth="1"/>
    <col min="10" max="10" width="11.5703125" style="789" customWidth="1"/>
    <col min="11" max="11" width="10.28515625" style="789" customWidth="1"/>
    <col min="12" max="15" width="11.140625" style="789" customWidth="1"/>
    <col min="16" max="16" width="4.42578125" style="5" customWidth="1"/>
    <col min="17" max="17" width="13.28515625" customWidth="1"/>
    <col min="18" max="18" width="11.42578125" customWidth="1"/>
    <col min="19" max="19" width="13.5703125" customWidth="1"/>
    <col min="20" max="20" width="9.7109375" customWidth="1"/>
    <col min="21" max="21" width="8.140625" customWidth="1"/>
    <col min="22" max="22" width="11.42578125" customWidth="1"/>
    <col min="23" max="23" width="18.85546875" customWidth="1"/>
    <col min="24" max="24" width="13.7109375" customWidth="1"/>
    <col min="25" max="25" width="9.42578125" customWidth="1"/>
    <col min="26" max="26" width="11.140625" customWidth="1"/>
    <col min="27" max="27" width="13.5703125" customWidth="1"/>
    <col min="28" max="28" width="16.28515625" customWidth="1"/>
    <col min="29" max="29" width="10.7109375" customWidth="1"/>
    <col min="30" max="30" width="13.140625" customWidth="1"/>
  </cols>
  <sheetData>
    <row r="1" spans="1:33" s="1" customFormat="1" ht="36" x14ac:dyDescent="0.25">
      <c r="A1" s="186"/>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F1" s="68"/>
      <c r="AG1" s="68"/>
    </row>
    <row r="2" spans="1:33" s="1" customFormat="1" ht="33" customHeight="1" x14ac:dyDescent="0.25">
      <c r="A2" s="1011" t="s">
        <v>1099</v>
      </c>
      <c r="B2" s="1012"/>
      <c r="C2" s="1012"/>
      <c r="D2" s="1012"/>
      <c r="E2" s="1012"/>
      <c r="F2" s="1012"/>
      <c r="G2" s="1012"/>
      <c r="H2" s="1012"/>
      <c r="I2" s="91"/>
      <c r="J2" s="91"/>
      <c r="K2" s="91"/>
      <c r="L2" s="91"/>
      <c r="M2" s="91"/>
      <c r="N2" s="91"/>
      <c r="O2" s="91"/>
      <c r="P2" s="91"/>
      <c r="Q2" s="1012" t="s">
        <v>1098</v>
      </c>
      <c r="R2" s="1012"/>
      <c r="S2" s="1012"/>
      <c r="T2" s="1012"/>
      <c r="U2" s="1012"/>
      <c r="V2" s="1012"/>
      <c r="W2" s="1012"/>
      <c r="X2" s="1012"/>
      <c r="Y2" s="67"/>
      <c r="Z2" s="67"/>
      <c r="AA2" s="67"/>
      <c r="AB2" s="67"/>
      <c r="AC2" s="67"/>
    </row>
    <row r="3" spans="1:33" s="19" customFormat="1" ht="36" x14ac:dyDescent="0.25">
      <c r="A3" s="1013">
        <f>Report_Date</f>
        <v>42856</v>
      </c>
      <c r="B3" s="1014"/>
      <c r="C3" s="1014"/>
      <c r="D3" s="1014"/>
      <c r="E3" s="1014"/>
      <c r="F3" s="1014"/>
      <c r="G3" s="1014"/>
      <c r="H3" s="1014"/>
      <c r="I3" s="214"/>
      <c r="J3" s="214"/>
      <c r="K3" s="214"/>
      <c r="L3" s="214"/>
      <c r="M3" s="214"/>
      <c r="N3" s="214"/>
      <c r="O3" s="214"/>
      <c r="P3" s="214"/>
      <c r="Q3" s="214"/>
      <c r="R3" s="214"/>
      <c r="S3" s="214"/>
      <c r="T3" s="214"/>
      <c r="U3" s="214"/>
      <c r="V3" s="214"/>
      <c r="W3" s="214"/>
      <c r="X3" s="205"/>
      <c r="Y3" s="205"/>
      <c r="Z3" s="205"/>
      <c r="AA3" s="205"/>
      <c r="AB3" s="205"/>
      <c r="AC3" s="205"/>
    </row>
    <row r="4" spans="1:33" s="789" customFormat="1" x14ac:dyDescent="0.25">
      <c r="P4" s="5"/>
    </row>
    <row r="5" spans="1:33" s="789" customFormat="1" x14ac:dyDescent="0.25">
      <c r="A5" s="18" t="s">
        <v>1100</v>
      </c>
      <c r="P5" s="5"/>
      <c r="Q5" s="18" t="s">
        <v>1102</v>
      </c>
    </row>
    <row r="6" spans="1:33" s="789" customFormat="1" x14ac:dyDescent="0.25">
      <c r="A6" s="18"/>
      <c r="P6" s="5"/>
      <c r="Q6" s="18"/>
    </row>
    <row r="7" spans="1:33" x14ac:dyDescent="0.25">
      <c r="Q7" s="199" t="s">
        <v>10</v>
      </c>
      <c r="R7" s="790" t="s">
        <v>7</v>
      </c>
    </row>
    <row r="8" spans="1:33" x14ac:dyDescent="0.25">
      <c r="Q8" s="199" t="s">
        <v>346</v>
      </c>
      <c r="R8" s="790" t="s">
        <v>348</v>
      </c>
    </row>
    <row r="10" spans="1:33" x14ac:dyDescent="0.25">
      <c r="A10" s="789" t="s">
        <v>1069</v>
      </c>
      <c r="B10" s="789" t="s">
        <v>302</v>
      </c>
      <c r="C10" s="789" t="s">
        <v>596</v>
      </c>
      <c r="D10" s="789" t="s">
        <v>303</v>
      </c>
      <c r="E10" s="789" t="s">
        <v>228</v>
      </c>
      <c r="F10" s="789" t="s">
        <v>229</v>
      </c>
      <c r="G10" s="789" t="s">
        <v>327</v>
      </c>
      <c r="H10" s="789" t="s">
        <v>579</v>
      </c>
      <c r="I10" s="789" t="s">
        <v>928</v>
      </c>
      <c r="J10" s="789" t="s">
        <v>580</v>
      </c>
      <c r="K10" s="789" t="s">
        <v>1114</v>
      </c>
      <c r="L10" s="789" t="s">
        <v>1115</v>
      </c>
      <c r="M10" s="789" t="s">
        <v>1116</v>
      </c>
      <c r="N10" s="789" t="s">
        <v>1153</v>
      </c>
      <c r="Q10" s="199" t="s">
        <v>212</v>
      </c>
      <c r="R10" s="790" t="s">
        <v>1139</v>
      </c>
      <c r="S10" s="790" t="s">
        <v>908</v>
      </c>
      <c r="T10" s="790" t="s">
        <v>909</v>
      </c>
      <c r="U10" s="790" t="s">
        <v>910</v>
      </c>
      <c r="V10" s="790" t="s">
        <v>911</v>
      </c>
      <c r="W10" s="790" t="s">
        <v>912</v>
      </c>
      <c r="X10" s="790" t="s">
        <v>913</v>
      </c>
      <c r="Y10" s="790" t="s">
        <v>936</v>
      </c>
      <c r="Z10" s="790" t="s">
        <v>1070</v>
      </c>
      <c r="AA10" s="790" t="s">
        <v>1127</v>
      </c>
      <c r="AB10" s="790" t="s">
        <v>1126</v>
      </c>
      <c r="AC10" s="790" t="s">
        <v>1125</v>
      </c>
      <c r="AD10" s="790" t="s">
        <v>1153</v>
      </c>
    </row>
    <row r="11" spans="1:33" x14ac:dyDescent="0.25">
      <c r="A11" s="789">
        <f t="shared" ref="A11:A16" si="0">Q11</f>
        <v>2012</v>
      </c>
      <c r="B11" s="65">
        <f t="shared" ref="B11:B16" si="1">R11/1</f>
        <v>8492</v>
      </c>
      <c r="C11" s="970">
        <f t="shared" ref="C11:C16" si="2">S11/2</f>
        <v>1819.5</v>
      </c>
      <c r="D11" s="65">
        <f t="shared" ref="D11:D16" si="3">T11/1</f>
        <v>7773</v>
      </c>
      <c r="E11" s="65">
        <f t="shared" ref="E11:E16" si="4">U11/2</f>
        <v>2374</v>
      </c>
      <c r="F11" s="65">
        <f t="shared" ref="F11:I16" si="5">V11/1</f>
        <v>2465</v>
      </c>
      <c r="G11" s="65">
        <f t="shared" si="5"/>
        <v>785</v>
      </c>
      <c r="H11" s="65">
        <f t="shared" si="5"/>
        <v>0</v>
      </c>
      <c r="I11" s="65">
        <f t="shared" si="5"/>
        <v>0</v>
      </c>
      <c r="J11" s="65">
        <f t="shared" ref="J11:J16" si="6">Z11/5</f>
        <v>0</v>
      </c>
      <c r="K11" s="65">
        <f t="shared" ref="K11:N15" si="7">AA11</f>
        <v>0</v>
      </c>
      <c r="L11" s="65">
        <f t="shared" si="7"/>
        <v>0</v>
      </c>
      <c r="M11" s="65">
        <f t="shared" si="7"/>
        <v>0</v>
      </c>
      <c r="N11" s="65">
        <f t="shared" si="7"/>
        <v>0</v>
      </c>
      <c r="O11" s="65"/>
      <c r="Q11" s="520">
        <v>2012</v>
      </c>
      <c r="R11" s="229">
        <v>8492</v>
      </c>
      <c r="S11" s="229">
        <v>3639</v>
      </c>
      <c r="T11" s="229">
        <v>7773</v>
      </c>
      <c r="U11" s="229">
        <v>4748</v>
      </c>
      <c r="V11" s="229">
        <v>2465</v>
      </c>
      <c r="W11" s="229">
        <v>785</v>
      </c>
      <c r="X11" s="229"/>
      <c r="Y11" s="229"/>
      <c r="Z11" s="229"/>
      <c r="AA11" s="229"/>
      <c r="AB11" s="229"/>
      <c r="AC11" s="229"/>
      <c r="AD11" s="229"/>
    </row>
    <row r="12" spans="1:33" x14ac:dyDescent="0.25">
      <c r="A12" s="789">
        <f t="shared" si="0"/>
        <v>2013</v>
      </c>
      <c r="B12" s="65">
        <f t="shared" si="1"/>
        <v>691</v>
      </c>
      <c r="C12" s="65">
        <f t="shared" si="2"/>
        <v>7972</v>
      </c>
      <c r="D12" s="65">
        <f t="shared" si="3"/>
        <v>6530</v>
      </c>
      <c r="E12" s="65">
        <f t="shared" si="4"/>
        <v>6545</v>
      </c>
      <c r="F12" s="65">
        <f t="shared" si="5"/>
        <v>4775</v>
      </c>
      <c r="G12" s="65">
        <f t="shared" si="5"/>
        <v>4760</v>
      </c>
      <c r="H12" s="65">
        <f t="shared" si="5"/>
        <v>8315</v>
      </c>
      <c r="I12" s="65">
        <f t="shared" si="5"/>
        <v>0</v>
      </c>
      <c r="J12" s="65">
        <f t="shared" si="6"/>
        <v>3189.4</v>
      </c>
      <c r="K12" s="65">
        <f t="shared" si="7"/>
        <v>0</v>
      </c>
      <c r="L12" s="65">
        <f t="shared" si="7"/>
        <v>0</v>
      </c>
      <c r="M12" s="65">
        <f t="shared" si="7"/>
        <v>0</v>
      </c>
      <c r="N12" s="65">
        <f t="shared" si="7"/>
        <v>0</v>
      </c>
      <c r="O12" s="65"/>
      <c r="Q12" s="520">
        <v>2013</v>
      </c>
      <c r="R12" s="229">
        <v>691</v>
      </c>
      <c r="S12" s="229">
        <v>15944</v>
      </c>
      <c r="T12" s="229">
        <v>6530</v>
      </c>
      <c r="U12" s="229">
        <v>13090</v>
      </c>
      <c r="V12" s="229">
        <v>4775</v>
      </c>
      <c r="W12" s="229">
        <v>4760</v>
      </c>
      <c r="X12" s="229">
        <v>8315</v>
      </c>
      <c r="Y12" s="229"/>
      <c r="Z12" s="229">
        <v>15947</v>
      </c>
      <c r="AA12" s="229"/>
      <c r="AB12" s="229"/>
      <c r="AC12" s="229"/>
      <c r="AD12" s="229"/>
    </row>
    <row r="13" spans="1:33" x14ac:dyDescent="0.25">
      <c r="A13" s="789">
        <f t="shared" si="0"/>
        <v>2014</v>
      </c>
      <c r="B13" s="65">
        <f t="shared" si="1"/>
        <v>1106</v>
      </c>
      <c r="C13" s="65">
        <f t="shared" si="2"/>
        <v>4571.5</v>
      </c>
      <c r="D13" s="65">
        <f t="shared" si="3"/>
        <v>11749</v>
      </c>
      <c r="E13" s="65">
        <f t="shared" si="4"/>
        <v>4487</v>
      </c>
      <c r="F13" s="65">
        <f t="shared" si="5"/>
        <v>3759</v>
      </c>
      <c r="G13" s="65">
        <f t="shared" si="5"/>
        <v>6375</v>
      </c>
      <c r="H13" s="65">
        <f t="shared" si="5"/>
        <v>4433</v>
      </c>
      <c r="I13" s="65">
        <f t="shared" si="5"/>
        <v>0</v>
      </c>
      <c r="J13" s="65">
        <f t="shared" si="6"/>
        <v>2416.1999999999998</v>
      </c>
      <c r="K13" s="65">
        <f t="shared" si="7"/>
        <v>0</v>
      </c>
      <c r="L13" s="65">
        <f t="shared" si="7"/>
        <v>0</v>
      </c>
      <c r="M13" s="65">
        <f t="shared" si="7"/>
        <v>0</v>
      </c>
      <c r="N13" s="65">
        <f t="shared" si="7"/>
        <v>0</v>
      </c>
      <c r="O13" s="65"/>
      <c r="Q13" s="520">
        <v>2014</v>
      </c>
      <c r="R13" s="229">
        <v>1106</v>
      </c>
      <c r="S13" s="229">
        <v>9143</v>
      </c>
      <c r="T13" s="229">
        <v>11749</v>
      </c>
      <c r="U13" s="229">
        <v>8974</v>
      </c>
      <c r="V13" s="229">
        <v>3759</v>
      </c>
      <c r="W13" s="229">
        <v>6375</v>
      </c>
      <c r="X13" s="229">
        <v>4433</v>
      </c>
      <c r="Y13" s="229"/>
      <c r="Z13" s="229">
        <v>12081</v>
      </c>
      <c r="AA13" s="229"/>
      <c r="AB13" s="229"/>
      <c r="AC13" s="229"/>
      <c r="AD13" s="229"/>
    </row>
    <row r="14" spans="1:33" x14ac:dyDescent="0.25">
      <c r="A14" s="789">
        <f t="shared" si="0"/>
        <v>2015</v>
      </c>
      <c r="B14" s="65">
        <f t="shared" si="1"/>
        <v>102</v>
      </c>
      <c r="C14" s="65">
        <f t="shared" si="2"/>
        <v>8644</v>
      </c>
      <c r="D14" s="65">
        <f t="shared" si="3"/>
        <v>9075</v>
      </c>
      <c r="E14" s="65">
        <f t="shared" si="4"/>
        <v>10060</v>
      </c>
      <c r="F14" s="65">
        <f t="shared" si="5"/>
        <v>8608</v>
      </c>
      <c r="G14" s="65">
        <f t="shared" si="5"/>
        <v>509</v>
      </c>
      <c r="H14" s="65">
        <f t="shared" si="5"/>
        <v>9244</v>
      </c>
      <c r="I14" s="65">
        <f t="shared" si="5"/>
        <v>8645</v>
      </c>
      <c r="J14" s="65">
        <f t="shared" si="6"/>
        <v>9033.2000000000007</v>
      </c>
      <c r="K14" s="65">
        <f t="shared" si="7"/>
        <v>0</v>
      </c>
      <c r="L14" s="65">
        <f t="shared" si="7"/>
        <v>0</v>
      </c>
      <c r="M14" s="65">
        <f t="shared" si="7"/>
        <v>0</v>
      </c>
      <c r="N14" s="65">
        <f t="shared" si="7"/>
        <v>0</v>
      </c>
      <c r="O14" s="65"/>
      <c r="Q14" s="520">
        <v>2015</v>
      </c>
      <c r="R14" s="229">
        <v>102</v>
      </c>
      <c r="S14" s="229">
        <v>17288</v>
      </c>
      <c r="T14" s="229">
        <v>9075</v>
      </c>
      <c r="U14" s="229">
        <v>20120</v>
      </c>
      <c r="V14" s="229">
        <v>8608</v>
      </c>
      <c r="W14" s="229">
        <v>509</v>
      </c>
      <c r="X14" s="229">
        <v>9244</v>
      </c>
      <c r="Y14" s="229">
        <v>8645</v>
      </c>
      <c r="Z14" s="229">
        <v>45166</v>
      </c>
      <c r="AA14" s="229"/>
      <c r="AB14" s="229"/>
      <c r="AC14" s="229"/>
      <c r="AD14" s="229"/>
    </row>
    <row r="15" spans="1:33" x14ac:dyDescent="0.25">
      <c r="A15" s="789">
        <f t="shared" si="0"/>
        <v>2016</v>
      </c>
      <c r="B15" s="65">
        <f t="shared" si="1"/>
        <v>1080</v>
      </c>
      <c r="C15" s="65">
        <f t="shared" si="2"/>
        <v>3367.5</v>
      </c>
      <c r="D15" s="65">
        <f t="shared" si="3"/>
        <v>3066</v>
      </c>
      <c r="E15" s="65">
        <f t="shared" si="4"/>
        <v>2591.5</v>
      </c>
      <c r="F15" s="65">
        <f t="shared" si="5"/>
        <v>4666</v>
      </c>
      <c r="G15" s="65">
        <f t="shared" si="5"/>
        <v>195</v>
      </c>
      <c r="H15" s="65">
        <f t="shared" si="5"/>
        <v>5176</v>
      </c>
      <c r="I15" s="65">
        <f t="shared" si="5"/>
        <v>6843</v>
      </c>
      <c r="J15" s="65">
        <f t="shared" si="6"/>
        <v>2724.8</v>
      </c>
      <c r="K15" s="65">
        <f t="shared" si="7"/>
        <v>628</v>
      </c>
      <c r="L15" s="65">
        <f t="shared" si="7"/>
        <v>0</v>
      </c>
      <c r="M15" s="65">
        <f t="shared" si="7"/>
        <v>628</v>
      </c>
      <c r="N15" s="65">
        <f t="shared" si="7"/>
        <v>0</v>
      </c>
      <c r="O15" s="65"/>
      <c r="Q15" s="520">
        <v>2016</v>
      </c>
      <c r="R15" s="229">
        <v>1080</v>
      </c>
      <c r="S15" s="229">
        <v>6735</v>
      </c>
      <c r="T15" s="229">
        <v>3066</v>
      </c>
      <c r="U15" s="229">
        <v>5183</v>
      </c>
      <c r="V15" s="229">
        <v>4666</v>
      </c>
      <c r="W15" s="229">
        <v>195</v>
      </c>
      <c r="X15" s="229">
        <v>5176</v>
      </c>
      <c r="Y15" s="229">
        <v>6843</v>
      </c>
      <c r="Z15" s="229">
        <v>13624</v>
      </c>
      <c r="AA15" s="229">
        <v>628</v>
      </c>
      <c r="AB15" s="229"/>
      <c r="AC15" s="229">
        <v>628</v>
      </c>
      <c r="AD15" s="229"/>
    </row>
    <row r="16" spans="1:33" x14ac:dyDescent="0.25">
      <c r="A16" s="789">
        <f t="shared" si="0"/>
        <v>2017</v>
      </c>
      <c r="B16" s="65">
        <f t="shared" si="1"/>
        <v>10879</v>
      </c>
      <c r="C16" s="65">
        <f t="shared" si="2"/>
        <v>3996</v>
      </c>
      <c r="D16" s="65">
        <f t="shared" si="3"/>
        <v>294</v>
      </c>
      <c r="E16" s="65">
        <f t="shared" si="4"/>
        <v>3728</v>
      </c>
      <c r="F16" s="65">
        <f t="shared" si="5"/>
        <v>1287</v>
      </c>
      <c r="G16" s="65">
        <f t="shared" si="5"/>
        <v>6</v>
      </c>
      <c r="H16" s="65">
        <f t="shared" si="5"/>
        <v>2189</v>
      </c>
      <c r="I16" s="65">
        <f t="shared" si="5"/>
        <v>3116</v>
      </c>
      <c r="J16" s="65">
        <f t="shared" si="6"/>
        <v>2842.8</v>
      </c>
      <c r="K16" s="65">
        <f>AA16</f>
        <v>9225</v>
      </c>
      <c r="L16" s="65">
        <f>AB16/1</f>
        <v>6363</v>
      </c>
      <c r="M16" s="65">
        <f>AC16/1</f>
        <v>0</v>
      </c>
      <c r="N16" s="65">
        <f>AD16/1</f>
        <v>389</v>
      </c>
      <c r="O16" s="65"/>
      <c r="Q16" s="520">
        <v>2017</v>
      </c>
      <c r="R16" s="229">
        <v>10879</v>
      </c>
      <c r="S16" s="229">
        <v>7992</v>
      </c>
      <c r="T16" s="229">
        <v>294</v>
      </c>
      <c r="U16" s="229">
        <v>7456</v>
      </c>
      <c r="V16" s="229">
        <v>1287</v>
      </c>
      <c r="W16" s="229">
        <v>6</v>
      </c>
      <c r="X16" s="229">
        <v>2189</v>
      </c>
      <c r="Y16" s="229">
        <v>3116</v>
      </c>
      <c r="Z16" s="229">
        <v>14214</v>
      </c>
      <c r="AA16" s="229">
        <v>9225</v>
      </c>
      <c r="AB16" s="229">
        <v>6363</v>
      </c>
      <c r="AC16" s="229"/>
      <c r="AD16" s="229">
        <v>389</v>
      </c>
    </row>
    <row r="17" spans="1:30" s="789" customFormat="1" x14ac:dyDescent="0.25">
      <c r="A17" s="937" t="str">
        <f>Q17</f>
        <v>Grand Total</v>
      </c>
      <c r="B17" s="938">
        <f>SUBTOTAL(109,Table21[Sanitary Kit])</f>
        <v>22350</v>
      </c>
      <c r="C17" s="938">
        <f>SUBTOTAL(109,Table21[Mosquito net])</f>
        <v>30370.5</v>
      </c>
      <c r="D17" s="938">
        <f>SUBTOTAL(109,Table21[Tarpaulin])</f>
        <v>38487</v>
      </c>
      <c r="E17" s="938">
        <f>SUBTOTAL(109,Table21[Blanket])</f>
        <v>29785.5</v>
      </c>
      <c r="F17" s="938">
        <f>SUBTOTAL(109,Table21[Kitchen Set])</f>
        <v>25560</v>
      </c>
      <c r="G17" s="938">
        <f>SUBTOTAL(109,Table21[Complementary Kit])</f>
        <v>12630</v>
      </c>
      <c r="H17" s="938">
        <f>SUBTOTAL(109,Table21[Plastic Bucket])</f>
        <v>29357</v>
      </c>
      <c r="I17" s="938">
        <f>SUBTOTAL(109,Table21[Jerry Can])</f>
        <v>18604</v>
      </c>
      <c r="J17" s="938">
        <f>SUBTOTAL(109,Table21[Plastic Mat])</f>
        <v>20206.400000000001</v>
      </c>
      <c r="K17" s="938">
        <f>SUBTOTAL(109,Table21[Adult Clothes])</f>
        <v>9853</v>
      </c>
      <c r="L17" s="938">
        <f>SUBTOTAL(109,Table21[Children Clothes])</f>
        <v>6363</v>
      </c>
      <c r="M17" s="938">
        <f>SUBTOTAL(109,Table21[Sewing Kit])</f>
        <v>628</v>
      </c>
      <c r="N17" s="938">
        <f>SUBTOTAL(109,Table21[[Solar Lantern ]])</f>
        <v>389</v>
      </c>
      <c r="P17" s="5"/>
      <c r="Q17" s="520" t="s">
        <v>213</v>
      </c>
      <c r="R17" s="229">
        <v>22350</v>
      </c>
      <c r="S17" s="229">
        <v>60741</v>
      </c>
      <c r="T17" s="229">
        <v>38487</v>
      </c>
      <c r="U17" s="229">
        <v>59571</v>
      </c>
      <c r="V17" s="229">
        <v>25560</v>
      </c>
      <c r="W17" s="229">
        <v>12630</v>
      </c>
      <c r="X17" s="229">
        <v>29357</v>
      </c>
      <c r="Y17" s="229">
        <v>18604</v>
      </c>
      <c r="Z17" s="229">
        <v>101032</v>
      </c>
      <c r="AA17" s="229">
        <v>9853</v>
      </c>
      <c r="AB17" s="229">
        <v>6363</v>
      </c>
      <c r="AC17" s="229">
        <v>628</v>
      </c>
      <c r="AD17" s="229">
        <v>389</v>
      </c>
    </row>
    <row r="18" spans="1:30" s="789" customFormat="1" x14ac:dyDescent="0.25">
      <c r="A18" s="937"/>
      <c r="B18" s="938"/>
      <c r="C18" s="938"/>
      <c r="D18" s="938"/>
      <c r="E18" s="938"/>
      <c r="F18" s="938"/>
      <c r="G18" s="938"/>
      <c r="H18" s="938"/>
      <c r="I18" s="938"/>
      <c r="J18" s="938"/>
      <c r="K18" s="938"/>
      <c r="L18" s="938"/>
      <c r="M18" s="938"/>
      <c r="N18" s="938"/>
      <c r="P18" s="5"/>
      <c r="Q18" s="973"/>
      <c r="R18" s="614"/>
      <c r="S18" s="614"/>
      <c r="T18" s="614"/>
      <c r="U18" s="614"/>
      <c r="V18" s="614"/>
      <c r="W18" s="614"/>
      <c r="X18" s="614"/>
      <c r="Y18" s="614"/>
      <c r="Z18" s="614"/>
      <c r="AA18" s="614"/>
      <c r="AB18" s="614"/>
      <c r="AC18" s="614"/>
    </row>
    <row r="19" spans="1:30" s="5" customFormat="1" x14ac:dyDescent="0.25">
      <c r="A19" s="939"/>
      <c r="B19" s="940"/>
      <c r="C19" s="940"/>
      <c r="D19" s="940"/>
      <c r="E19" s="940"/>
      <c r="F19" s="940"/>
      <c r="G19" s="940"/>
      <c r="H19" s="940"/>
      <c r="I19" s="940"/>
      <c r="J19" s="940"/>
      <c r="K19" s="940"/>
      <c r="L19" s="940"/>
      <c r="M19" s="940"/>
      <c r="N19" s="940"/>
      <c r="O19" s="940"/>
      <c r="Q19" s="291"/>
      <c r="R19" s="941"/>
      <c r="S19" s="941"/>
      <c r="T19" s="941"/>
      <c r="U19" s="941"/>
      <c r="V19" s="941"/>
      <c r="W19" s="941"/>
      <c r="X19" s="941"/>
      <c r="Y19" s="941"/>
      <c r="Z19" s="941"/>
      <c r="AA19" s="941"/>
      <c r="AB19" s="941"/>
    </row>
    <row r="20" spans="1:30" s="789" customFormat="1" x14ac:dyDescent="0.25">
      <c r="A20" s="803" t="s">
        <v>1101</v>
      </c>
      <c r="B20" s="802"/>
      <c r="C20" s="802"/>
      <c r="D20" s="802"/>
      <c r="E20" s="802"/>
      <c r="F20" s="802"/>
      <c r="G20" s="802"/>
      <c r="H20" s="802"/>
      <c r="I20" s="802"/>
      <c r="J20" s="802"/>
      <c r="K20" s="802"/>
      <c r="L20" s="802"/>
      <c r="M20" s="802"/>
      <c r="N20" s="802"/>
      <c r="O20" s="802"/>
      <c r="P20" s="5"/>
      <c r="Q20" s="18" t="s">
        <v>1103</v>
      </c>
      <c r="R20" s="614"/>
      <c r="S20" s="614"/>
      <c r="T20" s="614"/>
      <c r="U20" s="614"/>
      <c r="V20" s="614"/>
      <c r="W20" s="614"/>
      <c r="X20" s="614"/>
      <c r="Y20" s="614"/>
    </row>
    <row r="22" spans="1:30" x14ac:dyDescent="0.25">
      <c r="Q22" s="199" t="s">
        <v>10</v>
      </c>
      <c r="R22" s="790" t="s">
        <v>7</v>
      </c>
      <c r="S22" s="789"/>
      <c r="T22" s="789"/>
      <c r="U22" s="789"/>
      <c r="V22" s="789"/>
      <c r="W22" s="789"/>
      <c r="X22" s="789"/>
      <c r="Y22" s="789"/>
    </row>
    <row r="23" spans="1:30" x14ac:dyDescent="0.25">
      <c r="Q23" s="199" t="s">
        <v>346</v>
      </c>
      <c r="R23" s="790" t="s">
        <v>348</v>
      </c>
      <c r="S23" s="789"/>
      <c r="T23" s="789"/>
      <c r="U23" s="789"/>
      <c r="V23" s="789"/>
      <c r="W23" s="789"/>
      <c r="X23" s="789"/>
      <c r="Y23" s="789"/>
    </row>
    <row r="24" spans="1:30" x14ac:dyDescent="0.25">
      <c r="Q24" s="789"/>
      <c r="R24" s="789"/>
      <c r="S24" s="789"/>
      <c r="T24" s="789"/>
      <c r="U24" s="789"/>
      <c r="V24" s="789"/>
      <c r="W24" s="789"/>
      <c r="X24" s="789"/>
      <c r="Y24" s="789"/>
    </row>
    <row r="25" spans="1:30" x14ac:dyDescent="0.25">
      <c r="A25" s="789" t="s">
        <v>1</v>
      </c>
      <c r="B25" s="789" t="s">
        <v>302</v>
      </c>
      <c r="C25" s="789" t="s">
        <v>596</v>
      </c>
      <c r="D25" s="789" t="s">
        <v>303</v>
      </c>
      <c r="E25" s="789" t="s">
        <v>228</v>
      </c>
      <c r="F25" s="789" t="s">
        <v>229</v>
      </c>
      <c r="G25" s="789" t="s">
        <v>327</v>
      </c>
      <c r="H25" s="789" t="s">
        <v>579</v>
      </c>
      <c r="I25" s="789" t="s">
        <v>928</v>
      </c>
      <c r="J25" s="185" t="s">
        <v>580</v>
      </c>
      <c r="K25" s="185" t="s">
        <v>1114</v>
      </c>
      <c r="L25" s="185" t="s">
        <v>1115</v>
      </c>
      <c r="M25" s="185" t="s">
        <v>1116</v>
      </c>
      <c r="N25" s="185" t="s">
        <v>1153</v>
      </c>
      <c r="O25" s="1"/>
      <c r="Q25" s="199" t="s">
        <v>212</v>
      </c>
      <c r="R25" s="790" t="s">
        <v>1139</v>
      </c>
      <c r="S25" s="790" t="s">
        <v>908</v>
      </c>
      <c r="T25" s="790" t="s">
        <v>909</v>
      </c>
      <c r="U25" s="790" t="s">
        <v>910</v>
      </c>
      <c r="V25" s="790" t="s">
        <v>911</v>
      </c>
      <c r="W25" s="790" t="s">
        <v>912</v>
      </c>
      <c r="X25" s="790" t="s">
        <v>913</v>
      </c>
      <c r="Y25" s="790" t="s">
        <v>936</v>
      </c>
      <c r="Z25" s="790" t="s">
        <v>1070</v>
      </c>
      <c r="AA25" s="790" t="s">
        <v>1127</v>
      </c>
      <c r="AB25" s="790" t="s">
        <v>1126</v>
      </c>
      <c r="AC25" s="790" t="s">
        <v>1125</v>
      </c>
      <c r="AD25" s="790" t="s">
        <v>1153</v>
      </c>
    </row>
    <row r="26" spans="1:30" x14ac:dyDescent="0.25">
      <c r="A26" s="794">
        <v>2012</v>
      </c>
      <c r="B26" s="793"/>
      <c r="C26" s="793"/>
      <c r="D26" s="793"/>
      <c r="E26" s="793"/>
      <c r="F26" s="793"/>
      <c r="G26" s="793"/>
      <c r="H26" s="793"/>
      <c r="I26" s="796"/>
      <c r="J26" s="924"/>
      <c r="K26" s="924"/>
      <c r="L26" s="924"/>
      <c r="M26" s="924"/>
      <c r="N26" s="924"/>
      <c r="O26" s="966"/>
      <c r="Q26" s="520">
        <v>2012</v>
      </c>
      <c r="R26" s="229"/>
      <c r="S26" s="229"/>
      <c r="T26" s="229"/>
      <c r="U26" s="229"/>
      <c r="V26" s="229"/>
      <c r="W26" s="229"/>
      <c r="X26" s="229"/>
      <c r="Y26" s="229"/>
      <c r="Z26" s="229"/>
      <c r="AA26" s="229"/>
      <c r="AB26" s="229"/>
      <c r="AC26" s="229"/>
      <c r="AD26" s="229"/>
    </row>
    <row r="27" spans="1:30" x14ac:dyDescent="0.25">
      <c r="A27" s="795" t="s">
        <v>607</v>
      </c>
      <c r="B27" s="229">
        <f t="shared" ref="B27:B32" si="8">R27/1</f>
        <v>0</v>
      </c>
      <c r="C27" s="229">
        <f t="shared" ref="C27:C32" si="9">S27/2</f>
        <v>498</v>
      </c>
      <c r="D27" s="229">
        <f t="shared" ref="D27:D32" si="10">T27/1</f>
        <v>298</v>
      </c>
      <c r="E27" s="229">
        <f t="shared" ref="E27:E32" si="11">U27/2</f>
        <v>498</v>
      </c>
      <c r="F27" s="229">
        <f t="shared" ref="F27:H32" si="12">V27/1</f>
        <v>498</v>
      </c>
      <c r="G27" s="229">
        <f t="shared" si="12"/>
        <v>0</v>
      </c>
      <c r="H27" s="229">
        <f t="shared" si="12"/>
        <v>0</v>
      </c>
      <c r="I27" s="797">
        <f t="shared" ref="I27:I32" si="13">Y27/1</f>
        <v>0</v>
      </c>
      <c r="J27" s="229">
        <f t="shared" ref="J27:J32" si="14">Z27/5</f>
        <v>0</v>
      </c>
      <c r="K27" s="229">
        <f>AA27</f>
        <v>0</v>
      </c>
      <c r="L27" s="229">
        <f>AB27</f>
        <v>0</v>
      </c>
      <c r="M27" s="229">
        <f>AC27</f>
        <v>0</v>
      </c>
      <c r="N27" s="229">
        <f>AD27</f>
        <v>0</v>
      </c>
      <c r="O27" s="614"/>
      <c r="Q27" s="198" t="s">
        <v>607</v>
      </c>
      <c r="R27" s="229"/>
      <c r="S27" s="229">
        <v>996</v>
      </c>
      <c r="T27" s="229">
        <v>298</v>
      </c>
      <c r="U27" s="229">
        <v>996</v>
      </c>
      <c r="V27" s="229">
        <v>498</v>
      </c>
      <c r="W27" s="229"/>
      <c r="X27" s="229"/>
      <c r="Y27" s="229"/>
      <c r="Z27" s="229"/>
      <c r="AA27" s="229"/>
      <c r="AB27" s="229"/>
      <c r="AC27" s="229"/>
      <c r="AD27" s="229"/>
    </row>
    <row r="28" spans="1:30" x14ac:dyDescent="0.25">
      <c r="A28" s="795" t="s">
        <v>15</v>
      </c>
      <c r="B28" s="229">
        <f t="shared" si="8"/>
        <v>0</v>
      </c>
      <c r="C28" s="229">
        <f t="shared" si="9"/>
        <v>80</v>
      </c>
      <c r="D28" s="229">
        <f t="shared" si="10"/>
        <v>80</v>
      </c>
      <c r="E28" s="229">
        <f t="shared" si="11"/>
        <v>80</v>
      </c>
      <c r="F28" s="229">
        <f t="shared" si="12"/>
        <v>80</v>
      </c>
      <c r="G28" s="229">
        <f t="shared" si="12"/>
        <v>80</v>
      </c>
      <c r="H28" s="229">
        <f t="shared" si="12"/>
        <v>0</v>
      </c>
      <c r="I28" s="797">
        <f t="shared" si="13"/>
        <v>0</v>
      </c>
      <c r="J28" s="229">
        <f t="shared" si="14"/>
        <v>0</v>
      </c>
      <c r="K28" s="229">
        <f>AA28</f>
        <v>0</v>
      </c>
      <c r="L28" s="229">
        <f t="shared" ref="L28:N62" si="15">AB28</f>
        <v>0</v>
      </c>
      <c r="M28" s="229">
        <f>AC28</f>
        <v>0</v>
      </c>
      <c r="N28" s="229">
        <f>AD28</f>
        <v>0</v>
      </c>
      <c r="O28" s="614"/>
      <c r="Q28" s="198" t="s">
        <v>15</v>
      </c>
      <c r="R28" s="229"/>
      <c r="S28" s="229">
        <v>160</v>
      </c>
      <c r="T28" s="229">
        <v>80</v>
      </c>
      <c r="U28" s="229">
        <v>160</v>
      </c>
      <c r="V28" s="229">
        <v>80</v>
      </c>
      <c r="W28" s="229">
        <v>80</v>
      </c>
      <c r="X28" s="229"/>
      <c r="Y28" s="229"/>
      <c r="Z28" s="229"/>
      <c r="AA28" s="229"/>
      <c r="AB28" s="229"/>
      <c r="AC28" s="229"/>
      <c r="AD28" s="229"/>
    </row>
    <row r="29" spans="1:30" x14ac:dyDescent="0.25">
      <c r="A29" s="795" t="s">
        <v>866</v>
      </c>
      <c r="B29" s="229">
        <f t="shared" si="8"/>
        <v>0</v>
      </c>
      <c r="C29" s="229">
        <f t="shared" si="9"/>
        <v>316</v>
      </c>
      <c r="D29" s="229">
        <f t="shared" si="10"/>
        <v>146</v>
      </c>
      <c r="E29" s="229">
        <f t="shared" si="11"/>
        <v>316</v>
      </c>
      <c r="F29" s="229">
        <f t="shared" si="12"/>
        <v>146</v>
      </c>
      <c r="G29" s="229">
        <f t="shared" si="12"/>
        <v>705</v>
      </c>
      <c r="H29" s="229">
        <f t="shared" si="12"/>
        <v>0</v>
      </c>
      <c r="I29" s="797">
        <f t="shared" si="13"/>
        <v>0</v>
      </c>
      <c r="J29" s="229">
        <f t="shared" si="14"/>
        <v>0</v>
      </c>
      <c r="K29" s="229">
        <f>AA29</f>
        <v>0</v>
      </c>
      <c r="L29" s="229">
        <f t="shared" si="15"/>
        <v>0</v>
      </c>
      <c r="M29" s="229">
        <f t="shared" si="15"/>
        <v>0</v>
      </c>
      <c r="N29" s="229">
        <f t="shared" ref="N29:N32" si="16">AD29</f>
        <v>0</v>
      </c>
      <c r="O29" s="614"/>
      <c r="Q29" s="198" t="s">
        <v>866</v>
      </c>
      <c r="R29" s="229"/>
      <c r="S29" s="229">
        <v>632</v>
      </c>
      <c r="T29" s="229">
        <v>146</v>
      </c>
      <c r="U29" s="229">
        <v>632</v>
      </c>
      <c r="V29" s="229">
        <v>146</v>
      </c>
      <c r="W29" s="229">
        <v>705</v>
      </c>
      <c r="X29" s="229"/>
      <c r="Y29" s="229"/>
      <c r="Z29" s="229"/>
      <c r="AA29" s="229"/>
      <c r="AB29" s="229"/>
      <c r="AC29" s="229"/>
      <c r="AD29" s="229"/>
    </row>
    <row r="30" spans="1:30" x14ac:dyDescent="0.25">
      <c r="A30" s="795" t="s">
        <v>14</v>
      </c>
      <c r="B30" s="229">
        <f t="shared" si="8"/>
        <v>0</v>
      </c>
      <c r="C30" s="971">
        <f t="shared" si="9"/>
        <v>815.5</v>
      </c>
      <c r="D30" s="229">
        <f t="shared" si="10"/>
        <v>3243</v>
      </c>
      <c r="E30" s="229">
        <f t="shared" si="11"/>
        <v>1274</v>
      </c>
      <c r="F30" s="229">
        <f t="shared" si="12"/>
        <v>1631</v>
      </c>
      <c r="G30" s="229">
        <f t="shared" si="12"/>
        <v>0</v>
      </c>
      <c r="H30" s="229">
        <f t="shared" si="12"/>
        <v>0</v>
      </c>
      <c r="I30" s="797">
        <f t="shared" si="13"/>
        <v>0</v>
      </c>
      <c r="J30" s="229">
        <f t="shared" si="14"/>
        <v>0</v>
      </c>
      <c r="K30" s="229">
        <f>AA30</f>
        <v>0</v>
      </c>
      <c r="L30" s="229">
        <f t="shared" si="15"/>
        <v>0</v>
      </c>
      <c r="M30" s="229">
        <f>AC30</f>
        <v>0</v>
      </c>
      <c r="N30" s="229">
        <f t="shared" si="16"/>
        <v>0</v>
      </c>
      <c r="O30" s="614"/>
      <c r="Q30" s="198" t="s">
        <v>14</v>
      </c>
      <c r="R30" s="229"/>
      <c r="S30" s="229">
        <v>1631</v>
      </c>
      <c r="T30" s="229">
        <v>3243</v>
      </c>
      <c r="U30" s="229">
        <v>2548</v>
      </c>
      <c r="V30" s="229">
        <v>1631</v>
      </c>
      <c r="W30" s="229"/>
      <c r="X30" s="229"/>
      <c r="Y30" s="229"/>
      <c r="Z30" s="229"/>
      <c r="AA30" s="229"/>
      <c r="AB30" s="229"/>
      <c r="AC30" s="229"/>
      <c r="AD30" s="229"/>
    </row>
    <row r="31" spans="1:30" x14ac:dyDescent="0.25">
      <c r="A31" s="795" t="s">
        <v>18</v>
      </c>
      <c r="B31" s="229">
        <f t="shared" si="8"/>
        <v>0</v>
      </c>
      <c r="C31" s="229">
        <f t="shared" si="9"/>
        <v>110</v>
      </c>
      <c r="D31" s="229">
        <f t="shared" si="10"/>
        <v>110</v>
      </c>
      <c r="E31" s="229">
        <f t="shared" si="11"/>
        <v>110</v>
      </c>
      <c r="F31" s="229">
        <f t="shared" si="12"/>
        <v>110</v>
      </c>
      <c r="G31" s="229">
        <f t="shared" si="12"/>
        <v>0</v>
      </c>
      <c r="H31" s="229">
        <f t="shared" si="12"/>
        <v>0</v>
      </c>
      <c r="I31" s="797">
        <f t="shared" si="13"/>
        <v>0</v>
      </c>
      <c r="J31" s="229">
        <f t="shared" si="14"/>
        <v>0</v>
      </c>
      <c r="K31" s="229">
        <f t="shared" ref="K31:K62" si="17">AA31</f>
        <v>0</v>
      </c>
      <c r="L31" s="229">
        <f t="shared" si="15"/>
        <v>0</v>
      </c>
      <c r="M31" s="229">
        <f>AC31</f>
        <v>0</v>
      </c>
      <c r="N31" s="229">
        <f t="shared" si="16"/>
        <v>0</v>
      </c>
      <c r="O31" s="614"/>
      <c r="Q31" s="198" t="s">
        <v>18</v>
      </c>
      <c r="R31" s="229"/>
      <c r="S31" s="229">
        <v>220</v>
      </c>
      <c r="T31" s="229">
        <v>110</v>
      </c>
      <c r="U31" s="229">
        <v>220</v>
      </c>
      <c r="V31" s="229">
        <v>110</v>
      </c>
      <c r="W31" s="229"/>
      <c r="X31" s="229"/>
      <c r="Y31" s="229"/>
      <c r="Z31" s="229"/>
      <c r="AA31" s="229"/>
      <c r="AB31" s="229"/>
      <c r="AC31" s="229"/>
      <c r="AD31" s="229"/>
    </row>
    <row r="32" spans="1:30" x14ac:dyDescent="0.25">
      <c r="A32" s="795" t="s">
        <v>19</v>
      </c>
      <c r="B32" s="229">
        <f t="shared" si="8"/>
        <v>8492</v>
      </c>
      <c r="C32" s="229">
        <f t="shared" si="9"/>
        <v>0</v>
      </c>
      <c r="D32" s="229">
        <f t="shared" si="10"/>
        <v>3896</v>
      </c>
      <c r="E32" s="229">
        <f t="shared" si="11"/>
        <v>96</v>
      </c>
      <c r="F32" s="229">
        <f t="shared" si="12"/>
        <v>0</v>
      </c>
      <c r="G32" s="229">
        <f t="shared" si="12"/>
        <v>0</v>
      </c>
      <c r="H32" s="229">
        <f t="shared" si="12"/>
        <v>0</v>
      </c>
      <c r="I32" s="797">
        <f t="shared" si="13"/>
        <v>0</v>
      </c>
      <c r="J32" s="229">
        <f t="shared" si="14"/>
        <v>0</v>
      </c>
      <c r="K32" s="229">
        <f t="shared" si="17"/>
        <v>0</v>
      </c>
      <c r="L32" s="229">
        <f t="shared" si="15"/>
        <v>0</v>
      </c>
      <c r="M32" s="229">
        <f>AC32</f>
        <v>0</v>
      </c>
      <c r="N32" s="229">
        <f t="shared" si="16"/>
        <v>0</v>
      </c>
      <c r="O32" s="614"/>
      <c r="Q32" s="198" t="s">
        <v>19</v>
      </c>
      <c r="R32" s="229">
        <v>8492</v>
      </c>
      <c r="S32" s="229"/>
      <c r="T32" s="229">
        <v>3896</v>
      </c>
      <c r="U32" s="229">
        <v>192</v>
      </c>
      <c r="V32" s="229"/>
      <c r="W32" s="229"/>
      <c r="X32" s="229"/>
      <c r="Y32" s="229"/>
      <c r="Z32" s="229"/>
      <c r="AA32" s="229"/>
      <c r="AB32" s="229"/>
      <c r="AC32" s="229"/>
      <c r="AD32" s="229"/>
    </row>
    <row r="33" spans="1:30" x14ac:dyDescent="0.25">
      <c r="A33" s="800" t="s">
        <v>1071</v>
      </c>
      <c r="B33" s="801">
        <f>SUM(B27:B32)</f>
        <v>8492</v>
      </c>
      <c r="C33" s="801">
        <f>SUM(C27:C32)</f>
        <v>1819.5</v>
      </c>
      <c r="D33" s="801">
        <f t="shared" ref="D33:J33" si="18">SUM(D27:D32)</f>
        <v>7773</v>
      </c>
      <c r="E33" s="801">
        <f t="shared" si="18"/>
        <v>2374</v>
      </c>
      <c r="F33" s="801">
        <f>SUM(F27:F32)</f>
        <v>2465</v>
      </c>
      <c r="G33" s="801">
        <f>SUM(G27:G32)</f>
        <v>785</v>
      </c>
      <c r="H33" s="801">
        <f t="shared" si="18"/>
        <v>0</v>
      </c>
      <c r="I33" s="801">
        <f t="shared" si="18"/>
        <v>0</v>
      </c>
      <c r="J33" s="801">
        <f t="shared" si="18"/>
        <v>0</v>
      </c>
      <c r="K33" s="801">
        <f>SUM(K27:K32)</f>
        <v>0</v>
      </c>
      <c r="L33" s="801">
        <f>SUM(L27:L32)</f>
        <v>0</v>
      </c>
      <c r="M33" s="801">
        <f>SUM(M27:M32)</f>
        <v>0</v>
      </c>
      <c r="N33" s="801">
        <f>SUM(N27:N32)</f>
        <v>0</v>
      </c>
      <c r="Q33" s="520" t="s">
        <v>1071</v>
      </c>
      <c r="R33" s="229">
        <v>8492</v>
      </c>
      <c r="S33" s="229">
        <v>3639</v>
      </c>
      <c r="T33" s="229">
        <v>7773</v>
      </c>
      <c r="U33" s="229">
        <v>4748</v>
      </c>
      <c r="V33" s="229">
        <v>2465</v>
      </c>
      <c r="W33" s="229">
        <v>785</v>
      </c>
      <c r="X33" s="229"/>
      <c r="Y33" s="229"/>
      <c r="Z33" s="229"/>
      <c r="AA33" s="229"/>
      <c r="AB33" s="229"/>
      <c r="AC33" s="229"/>
      <c r="AD33" s="229"/>
    </row>
    <row r="34" spans="1:30" x14ac:dyDescent="0.25">
      <c r="A34" s="794">
        <v>2013</v>
      </c>
      <c r="B34" s="793"/>
      <c r="C34" s="793"/>
      <c r="D34" s="793"/>
      <c r="E34" s="793"/>
      <c r="F34" s="793"/>
      <c r="G34" s="793"/>
      <c r="H34" s="793"/>
      <c r="I34" s="796"/>
      <c r="J34" s="229"/>
      <c r="K34" s="229"/>
      <c r="L34" s="229"/>
      <c r="M34" s="229"/>
      <c r="N34" s="229"/>
      <c r="Q34" s="520">
        <v>2013</v>
      </c>
      <c r="R34" s="229"/>
      <c r="S34" s="229"/>
      <c r="T34" s="229"/>
      <c r="U34" s="229"/>
      <c r="V34" s="229"/>
      <c r="W34" s="229"/>
      <c r="X34" s="229"/>
      <c r="Y34" s="229"/>
      <c r="Z34" s="229"/>
      <c r="AA34" s="229"/>
      <c r="AB34" s="229"/>
      <c r="AC34" s="229"/>
      <c r="AD34" s="229"/>
    </row>
    <row r="35" spans="1:30" x14ac:dyDescent="0.25">
      <c r="A35" s="795" t="s">
        <v>607</v>
      </c>
      <c r="B35" s="229">
        <f t="shared" ref="B35:B42" si="19">R35/1</f>
        <v>0</v>
      </c>
      <c r="C35" s="229">
        <f t="shared" ref="C35:C42" si="20">S35/2</f>
        <v>0</v>
      </c>
      <c r="D35" s="229">
        <f t="shared" ref="D35:H35" si="21">T35/1</f>
        <v>0</v>
      </c>
      <c r="E35" s="229">
        <f t="shared" ref="E35:E42" si="22">U35/2</f>
        <v>0</v>
      </c>
      <c r="F35" s="229">
        <f t="shared" si="21"/>
        <v>0</v>
      </c>
      <c r="G35" s="229">
        <f t="shared" si="21"/>
        <v>0</v>
      </c>
      <c r="H35" s="229">
        <f t="shared" si="21"/>
        <v>0</v>
      </c>
      <c r="I35" s="229">
        <f t="shared" ref="I35:I42" si="23">Y35/1</f>
        <v>0</v>
      </c>
      <c r="J35" s="229">
        <f t="shared" ref="J35:J42" si="24">Z35/5</f>
        <v>0</v>
      </c>
      <c r="K35" s="229">
        <f t="shared" si="17"/>
        <v>0</v>
      </c>
      <c r="L35" s="229">
        <f t="shared" si="15"/>
        <v>0</v>
      </c>
      <c r="M35" s="229">
        <f>AC35</f>
        <v>0</v>
      </c>
      <c r="N35" s="229">
        <f t="shared" ref="N35:N42" si="25">AD35</f>
        <v>0</v>
      </c>
      <c r="Q35" s="198" t="s">
        <v>607</v>
      </c>
      <c r="R35" s="229"/>
      <c r="S35" s="229"/>
      <c r="T35" s="229"/>
      <c r="U35" s="229"/>
      <c r="V35" s="229"/>
      <c r="W35" s="229"/>
      <c r="X35" s="229"/>
      <c r="Y35" s="229"/>
      <c r="Z35" s="229"/>
      <c r="AA35" s="229"/>
      <c r="AB35" s="229"/>
      <c r="AC35" s="229"/>
      <c r="AD35" s="229"/>
    </row>
    <row r="36" spans="1:30" x14ac:dyDescent="0.25">
      <c r="A36" s="795" t="s">
        <v>15</v>
      </c>
      <c r="B36" s="229">
        <f t="shared" si="19"/>
        <v>0</v>
      </c>
      <c r="C36" s="229">
        <f t="shared" si="20"/>
        <v>163</v>
      </c>
      <c r="D36" s="229">
        <f t="shared" ref="D36:D42" si="26">T36/1</f>
        <v>326</v>
      </c>
      <c r="E36" s="229">
        <f t="shared" si="22"/>
        <v>163</v>
      </c>
      <c r="F36" s="229">
        <f t="shared" ref="F36:H42" si="27">V36/1</f>
        <v>163</v>
      </c>
      <c r="G36" s="229">
        <f t="shared" si="27"/>
        <v>163</v>
      </c>
      <c r="H36" s="229">
        <f t="shared" si="27"/>
        <v>163</v>
      </c>
      <c r="I36" s="229">
        <f t="shared" si="23"/>
        <v>0</v>
      </c>
      <c r="J36" s="229">
        <f t="shared" si="24"/>
        <v>65.2</v>
      </c>
      <c r="K36" s="229">
        <f t="shared" si="17"/>
        <v>0</v>
      </c>
      <c r="L36" s="229">
        <f t="shared" si="15"/>
        <v>0</v>
      </c>
      <c r="M36" s="229">
        <f t="shared" si="15"/>
        <v>0</v>
      </c>
      <c r="N36" s="229">
        <f t="shared" si="25"/>
        <v>0</v>
      </c>
      <c r="Q36" s="198" t="s">
        <v>15</v>
      </c>
      <c r="R36" s="229"/>
      <c r="S36" s="229">
        <v>326</v>
      </c>
      <c r="T36" s="229">
        <v>326</v>
      </c>
      <c r="U36" s="229">
        <v>326</v>
      </c>
      <c r="V36" s="229">
        <v>163</v>
      </c>
      <c r="W36" s="229">
        <v>163</v>
      </c>
      <c r="X36" s="229">
        <v>163</v>
      </c>
      <c r="Y36" s="229"/>
      <c r="Z36" s="229">
        <v>326</v>
      </c>
      <c r="AA36" s="229"/>
      <c r="AB36" s="229"/>
      <c r="AC36" s="229"/>
      <c r="AD36" s="229"/>
    </row>
    <row r="37" spans="1:30" x14ac:dyDescent="0.25">
      <c r="A37" s="795" t="s">
        <v>20</v>
      </c>
      <c r="B37" s="229">
        <f t="shared" si="19"/>
        <v>463</v>
      </c>
      <c r="C37" s="229">
        <f t="shared" si="20"/>
        <v>676</v>
      </c>
      <c r="D37" s="229">
        <f t="shared" si="26"/>
        <v>526</v>
      </c>
      <c r="E37" s="229">
        <f t="shared" si="22"/>
        <v>263</v>
      </c>
      <c r="F37" s="229">
        <f t="shared" si="27"/>
        <v>263</v>
      </c>
      <c r="G37" s="229">
        <f t="shared" si="27"/>
        <v>263</v>
      </c>
      <c r="H37" s="229">
        <f t="shared" si="27"/>
        <v>263</v>
      </c>
      <c r="I37" s="229">
        <f t="shared" si="23"/>
        <v>0</v>
      </c>
      <c r="J37" s="229">
        <f t="shared" si="24"/>
        <v>105.2</v>
      </c>
      <c r="K37" s="229">
        <f t="shared" si="17"/>
        <v>0</v>
      </c>
      <c r="L37" s="229">
        <f t="shared" si="15"/>
        <v>0</v>
      </c>
      <c r="M37" s="229">
        <f t="shared" si="15"/>
        <v>0</v>
      </c>
      <c r="N37" s="229">
        <f t="shared" si="25"/>
        <v>0</v>
      </c>
      <c r="Q37" s="198" t="s">
        <v>20</v>
      </c>
      <c r="R37" s="229">
        <v>463</v>
      </c>
      <c r="S37" s="229">
        <v>1352</v>
      </c>
      <c r="T37" s="229">
        <v>526</v>
      </c>
      <c r="U37" s="229">
        <v>526</v>
      </c>
      <c r="V37" s="229">
        <v>263</v>
      </c>
      <c r="W37" s="229">
        <v>263</v>
      </c>
      <c r="X37" s="229">
        <v>263</v>
      </c>
      <c r="Y37" s="229"/>
      <c r="Z37" s="229">
        <v>526</v>
      </c>
      <c r="AA37" s="229"/>
      <c r="AB37" s="229"/>
      <c r="AC37" s="229"/>
      <c r="AD37" s="229"/>
    </row>
    <row r="38" spans="1:30" x14ac:dyDescent="0.25">
      <c r="A38" s="795" t="s">
        <v>866</v>
      </c>
      <c r="B38" s="229">
        <f t="shared" si="19"/>
        <v>0</v>
      </c>
      <c r="C38" s="971">
        <f t="shared" si="20"/>
        <v>1126.5</v>
      </c>
      <c r="D38" s="229">
        <f t="shared" si="26"/>
        <v>755</v>
      </c>
      <c r="E38" s="971">
        <f t="shared" si="22"/>
        <v>1126.5</v>
      </c>
      <c r="F38" s="229">
        <f t="shared" si="27"/>
        <v>755</v>
      </c>
      <c r="G38" s="229">
        <f t="shared" si="27"/>
        <v>755</v>
      </c>
      <c r="H38" s="229">
        <f t="shared" si="27"/>
        <v>1498</v>
      </c>
      <c r="I38" s="229">
        <f t="shared" si="23"/>
        <v>0</v>
      </c>
      <c r="J38" s="229">
        <f t="shared" si="24"/>
        <v>302</v>
      </c>
      <c r="K38" s="229">
        <f t="shared" si="17"/>
        <v>0</v>
      </c>
      <c r="L38" s="229">
        <f t="shared" si="15"/>
        <v>0</v>
      </c>
      <c r="M38" s="229">
        <f t="shared" si="15"/>
        <v>0</v>
      </c>
      <c r="N38" s="229">
        <f t="shared" si="25"/>
        <v>0</v>
      </c>
      <c r="Q38" s="198" t="s">
        <v>866</v>
      </c>
      <c r="R38" s="229"/>
      <c r="S38" s="229">
        <v>2253</v>
      </c>
      <c r="T38" s="229">
        <v>755</v>
      </c>
      <c r="U38" s="229">
        <v>2253</v>
      </c>
      <c r="V38" s="229">
        <v>755</v>
      </c>
      <c r="W38" s="229">
        <v>755</v>
      </c>
      <c r="X38" s="229">
        <v>1498</v>
      </c>
      <c r="Y38" s="229"/>
      <c r="Z38" s="229">
        <v>1510</v>
      </c>
      <c r="AA38" s="229"/>
      <c r="AB38" s="229"/>
      <c r="AC38" s="229"/>
      <c r="AD38" s="229"/>
    </row>
    <row r="39" spans="1:30" x14ac:dyDescent="0.25">
      <c r="A39" s="795" t="s">
        <v>14</v>
      </c>
      <c r="B39" s="229">
        <f t="shared" si="19"/>
        <v>0</v>
      </c>
      <c r="C39" s="971">
        <f t="shared" si="20"/>
        <v>2558.5</v>
      </c>
      <c r="D39" s="229">
        <f t="shared" si="26"/>
        <v>1242</v>
      </c>
      <c r="E39" s="229">
        <f t="shared" si="22"/>
        <v>1766</v>
      </c>
      <c r="F39" s="229">
        <f t="shared" si="27"/>
        <v>1766</v>
      </c>
      <c r="G39" s="229">
        <f t="shared" si="27"/>
        <v>3351</v>
      </c>
      <c r="H39" s="229">
        <f t="shared" si="27"/>
        <v>1766</v>
      </c>
      <c r="I39" s="229">
        <f t="shared" si="23"/>
        <v>0</v>
      </c>
      <c r="J39" s="229">
        <f t="shared" si="24"/>
        <v>706.4</v>
      </c>
      <c r="K39" s="229">
        <f t="shared" si="17"/>
        <v>0</v>
      </c>
      <c r="L39" s="229">
        <f t="shared" si="15"/>
        <v>0</v>
      </c>
      <c r="M39" s="229">
        <f t="shared" si="15"/>
        <v>0</v>
      </c>
      <c r="N39" s="229">
        <f t="shared" si="25"/>
        <v>0</v>
      </c>
      <c r="Q39" s="198" t="s">
        <v>14</v>
      </c>
      <c r="R39" s="229"/>
      <c r="S39" s="229">
        <v>5117</v>
      </c>
      <c r="T39" s="229">
        <v>1242</v>
      </c>
      <c r="U39" s="229">
        <v>3532</v>
      </c>
      <c r="V39" s="229">
        <v>1766</v>
      </c>
      <c r="W39" s="229">
        <v>3351</v>
      </c>
      <c r="X39" s="229">
        <v>1766</v>
      </c>
      <c r="Y39" s="229"/>
      <c r="Z39" s="229">
        <v>3532</v>
      </c>
      <c r="AA39" s="229"/>
      <c r="AB39" s="229"/>
      <c r="AC39" s="229"/>
      <c r="AD39" s="229"/>
    </row>
    <row r="40" spans="1:30" x14ac:dyDescent="0.25">
      <c r="A40" s="795" t="s">
        <v>18</v>
      </c>
      <c r="B40" s="229">
        <f t="shared" si="19"/>
        <v>0</v>
      </c>
      <c r="C40" s="229">
        <f t="shared" si="20"/>
        <v>0</v>
      </c>
      <c r="D40" s="229">
        <f t="shared" si="26"/>
        <v>0</v>
      </c>
      <c r="E40" s="229">
        <f t="shared" si="22"/>
        <v>0</v>
      </c>
      <c r="F40" s="229">
        <f t="shared" si="27"/>
        <v>0</v>
      </c>
      <c r="G40" s="229">
        <f t="shared" si="27"/>
        <v>0</v>
      </c>
      <c r="H40" s="229">
        <f t="shared" si="27"/>
        <v>0</v>
      </c>
      <c r="I40" s="229">
        <f t="shared" si="23"/>
        <v>0</v>
      </c>
      <c r="J40" s="229">
        <f t="shared" si="24"/>
        <v>0</v>
      </c>
      <c r="K40" s="229">
        <f t="shared" si="17"/>
        <v>0</v>
      </c>
      <c r="L40" s="229">
        <f t="shared" si="15"/>
        <v>0</v>
      </c>
      <c r="M40" s="229">
        <f t="shared" si="15"/>
        <v>0</v>
      </c>
      <c r="N40" s="229">
        <f t="shared" si="25"/>
        <v>0</v>
      </c>
      <c r="Q40" s="198" t="s">
        <v>18</v>
      </c>
      <c r="R40" s="229"/>
      <c r="S40" s="229"/>
      <c r="T40" s="229"/>
      <c r="U40" s="229"/>
      <c r="V40" s="229"/>
      <c r="W40" s="229"/>
      <c r="X40" s="229"/>
      <c r="Y40" s="229"/>
      <c r="Z40" s="229"/>
      <c r="AA40" s="229"/>
      <c r="AB40" s="229"/>
      <c r="AC40" s="229"/>
      <c r="AD40" s="229"/>
    </row>
    <row r="41" spans="1:30" x14ac:dyDescent="0.25">
      <c r="A41" s="795" t="s">
        <v>16</v>
      </c>
      <c r="B41" s="229">
        <f t="shared" si="19"/>
        <v>228</v>
      </c>
      <c r="C41" s="971">
        <f t="shared" si="20"/>
        <v>449.5</v>
      </c>
      <c r="D41" s="229">
        <f t="shared" si="26"/>
        <v>456</v>
      </c>
      <c r="E41" s="229">
        <f t="shared" si="22"/>
        <v>228</v>
      </c>
      <c r="F41" s="229">
        <f t="shared" si="27"/>
        <v>228</v>
      </c>
      <c r="G41" s="229">
        <f t="shared" si="27"/>
        <v>228</v>
      </c>
      <c r="H41" s="229">
        <f t="shared" si="27"/>
        <v>228</v>
      </c>
      <c r="I41" s="229">
        <f t="shared" si="23"/>
        <v>0</v>
      </c>
      <c r="J41" s="229">
        <f t="shared" si="24"/>
        <v>91.2</v>
      </c>
      <c r="K41" s="229">
        <f t="shared" si="17"/>
        <v>0</v>
      </c>
      <c r="L41" s="229">
        <f t="shared" si="15"/>
        <v>0</v>
      </c>
      <c r="M41" s="229">
        <f t="shared" si="15"/>
        <v>0</v>
      </c>
      <c r="N41" s="229">
        <f t="shared" si="25"/>
        <v>0</v>
      </c>
      <c r="Q41" s="198" t="s">
        <v>16</v>
      </c>
      <c r="R41" s="229">
        <v>228</v>
      </c>
      <c r="S41" s="229">
        <v>899</v>
      </c>
      <c r="T41" s="229">
        <v>456</v>
      </c>
      <c r="U41" s="229">
        <v>456</v>
      </c>
      <c r="V41" s="229">
        <v>228</v>
      </c>
      <c r="W41" s="229">
        <v>228</v>
      </c>
      <c r="X41" s="229">
        <v>228</v>
      </c>
      <c r="Y41" s="229"/>
      <c r="Z41" s="229">
        <v>456</v>
      </c>
      <c r="AA41" s="229"/>
      <c r="AB41" s="229"/>
      <c r="AC41" s="229"/>
      <c r="AD41" s="229"/>
    </row>
    <row r="42" spans="1:30" x14ac:dyDescent="0.25">
      <c r="A42" s="795" t="s">
        <v>19</v>
      </c>
      <c r="B42" s="229">
        <f t="shared" si="19"/>
        <v>0</v>
      </c>
      <c r="C42" s="971">
        <f t="shared" si="20"/>
        <v>2998.5</v>
      </c>
      <c r="D42" s="229">
        <f t="shared" si="26"/>
        <v>3225</v>
      </c>
      <c r="E42" s="971">
        <f t="shared" si="22"/>
        <v>2998.5</v>
      </c>
      <c r="F42" s="229">
        <f t="shared" si="27"/>
        <v>1600</v>
      </c>
      <c r="G42" s="229">
        <f t="shared" si="27"/>
        <v>0</v>
      </c>
      <c r="H42" s="229">
        <f t="shared" si="27"/>
        <v>4397</v>
      </c>
      <c r="I42" s="229">
        <f t="shared" si="23"/>
        <v>0</v>
      </c>
      <c r="J42" s="229">
        <f t="shared" si="24"/>
        <v>1919.4</v>
      </c>
      <c r="K42" s="229">
        <f t="shared" si="17"/>
        <v>0</v>
      </c>
      <c r="L42" s="229">
        <f t="shared" si="15"/>
        <v>0</v>
      </c>
      <c r="M42" s="229">
        <f t="shared" si="15"/>
        <v>0</v>
      </c>
      <c r="N42" s="229">
        <f t="shared" si="25"/>
        <v>0</v>
      </c>
      <c r="Q42" s="198" t="s">
        <v>19</v>
      </c>
      <c r="R42" s="229"/>
      <c r="S42" s="229">
        <v>5997</v>
      </c>
      <c r="T42" s="229">
        <v>3225</v>
      </c>
      <c r="U42" s="229">
        <v>5997</v>
      </c>
      <c r="V42" s="229">
        <v>1600</v>
      </c>
      <c r="W42" s="229"/>
      <c r="X42" s="229">
        <v>4397</v>
      </c>
      <c r="Y42" s="229"/>
      <c r="Z42" s="229">
        <v>9597</v>
      </c>
      <c r="AA42" s="229"/>
      <c r="AB42" s="229"/>
      <c r="AC42" s="229"/>
      <c r="AD42" s="229"/>
    </row>
    <row r="43" spans="1:30" x14ac:dyDescent="0.25">
      <c r="A43" s="800" t="s">
        <v>1072</v>
      </c>
      <c r="B43" s="801">
        <f>SUM(B35:B42)</f>
        <v>691</v>
      </c>
      <c r="C43" s="801">
        <f t="shared" ref="C43:H43" si="28">SUM(C35:C42)</f>
        <v>7972</v>
      </c>
      <c r="D43" s="801">
        <f t="shared" si="28"/>
        <v>6530</v>
      </c>
      <c r="E43" s="801">
        <f t="shared" si="28"/>
        <v>6545</v>
      </c>
      <c r="F43" s="801">
        <f t="shared" si="28"/>
        <v>4775</v>
      </c>
      <c r="G43" s="801">
        <f>SUM(G35:G42)</f>
        <v>4760</v>
      </c>
      <c r="H43" s="801">
        <f t="shared" si="28"/>
        <v>8315</v>
      </c>
      <c r="I43" s="801">
        <f t="shared" ref="I43:N43" si="29">SUM(I35:I42)</f>
        <v>0</v>
      </c>
      <c r="J43" s="801">
        <f t="shared" si="29"/>
        <v>3189.4</v>
      </c>
      <c r="K43" s="801">
        <f t="shared" si="29"/>
        <v>0</v>
      </c>
      <c r="L43" s="801">
        <f t="shared" si="29"/>
        <v>0</v>
      </c>
      <c r="M43" s="801">
        <f t="shared" si="29"/>
        <v>0</v>
      </c>
      <c r="N43" s="801">
        <f t="shared" si="29"/>
        <v>0</v>
      </c>
      <c r="Q43" s="520" t="s">
        <v>1072</v>
      </c>
      <c r="R43" s="229">
        <v>691</v>
      </c>
      <c r="S43" s="229">
        <v>15944</v>
      </c>
      <c r="T43" s="229">
        <v>6530</v>
      </c>
      <c r="U43" s="229">
        <v>13090</v>
      </c>
      <c r="V43" s="229">
        <v>4775</v>
      </c>
      <c r="W43" s="229">
        <v>4760</v>
      </c>
      <c r="X43" s="229">
        <v>8315</v>
      </c>
      <c r="Y43" s="229"/>
      <c r="Z43" s="229">
        <v>15947</v>
      </c>
      <c r="AA43" s="229"/>
      <c r="AB43" s="229"/>
      <c r="AC43" s="229"/>
      <c r="AD43" s="229"/>
    </row>
    <row r="44" spans="1:30" x14ac:dyDescent="0.25">
      <c r="A44" s="794">
        <v>2014</v>
      </c>
      <c r="B44" s="793"/>
      <c r="C44" s="793"/>
      <c r="D44" s="793"/>
      <c r="E44" s="793"/>
      <c r="F44" s="793"/>
      <c r="G44" s="793"/>
      <c r="H44" s="793"/>
      <c r="I44" s="796"/>
      <c r="J44" s="229"/>
      <c r="K44" s="229"/>
      <c r="L44" s="229"/>
      <c r="M44" s="229"/>
      <c r="N44" s="229"/>
      <c r="Q44" s="520">
        <v>2014</v>
      </c>
      <c r="R44" s="229"/>
      <c r="S44" s="229"/>
      <c r="T44" s="229"/>
      <c r="U44" s="229"/>
      <c r="V44" s="229"/>
      <c r="W44" s="229"/>
      <c r="X44" s="229"/>
      <c r="Y44" s="229"/>
      <c r="Z44" s="229"/>
      <c r="AA44" s="229"/>
      <c r="AB44" s="229"/>
      <c r="AC44" s="229"/>
      <c r="AD44" s="229"/>
    </row>
    <row r="45" spans="1:30" x14ac:dyDescent="0.25">
      <c r="A45" s="795" t="s">
        <v>20</v>
      </c>
      <c r="B45" s="229">
        <f>R45/1</f>
        <v>757</v>
      </c>
      <c r="C45" s="229">
        <f>S45/2</f>
        <v>756</v>
      </c>
      <c r="D45" s="229">
        <f>T45/1</f>
        <v>0</v>
      </c>
      <c r="E45" s="229">
        <f>U45/2</f>
        <v>756</v>
      </c>
      <c r="F45" s="229">
        <f t="shared" ref="F45:H48" si="30">V45/1</f>
        <v>456</v>
      </c>
      <c r="G45" s="229">
        <f t="shared" si="30"/>
        <v>0</v>
      </c>
      <c r="H45" s="229">
        <f t="shared" si="30"/>
        <v>757</v>
      </c>
      <c r="I45" s="229">
        <f>Y45/1</f>
        <v>0</v>
      </c>
      <c r="J45" s="229">
        <f>Z45/5</f>
        <v>456</v>
      </c>
      <c r="K45" s="229">
        <f t="shared" si="17"/>
        <v>0</v>
      </c>
      <c r="L45" s="229">
        <f t="shared" si="15"/>
        <v>0</v>
      </c>
      <c r="M45" s="229">
        <f t="shared" si="15"/>
        <v>0</v>
      </c>
      <c r="N45" s="229">
        <f t="shared" si="15"/>
        <v>0</v>
      </c>
      <c r="Q45" s="198" t="s">
        <v>20</v>
      </c>
      <c r="R45" s="229">
        <v>757</v>
      </c>
      <c r="S45" s="229">
        <v>1512</v>
      </c>
      <c r="T45" s="229">
        <v>0</v>
      </c>
      <c r="U45" s="229">
        <v>1512</v>
      </c>
      <c r="V45" s="229">
        <v>456</v>
      </c>
      <c r="W45" s="229">
        <v>0</v>
      </c>
      <c r="X45" s="229">
        <v>757</v>
      </c>
      <c r="Y45" s="229"/>
      <c r="Z45" s="229">
        <v>2280</v>
      </c>
      <c r="AA45" s="229"/>
      <c r="AB45" s="229"/>
      <c r="AC45" s="229"/>
      <c r="AD45" s="229"/>
    </row>
    <row r="46" spans="1:30" x14ac:dyDescent="0.25">
      <c r="A46" s="795" t="s">
        <v>14</v>
      </c>
      <c r="B46" s="229">
        <f>R46/1</f>
        <v>0</v>
      </c>
      <c r="C46" s="971">
        <f>S46/2</f>
        <v>1113.5</v>
      </c>
      <c r="D46" s="229">
        <f>T46/1</f>
        <v>0</v>
      </c>
      <c r="E46" s="229">
        <f>U46/2</f>
        <v>710</v>
      </c>
      <c r="F46" s="229">
        <f t="shared" si="30"/>
        <v>700</v>
      </c>
      <c r="G46" s="229">
        <f t="shared" si="30"/>
        <v>6375</v>
      </c>
      <c r="H46" s="229">
        <f t="shared" si="30"/>
        <v>700</v>
      </c>
      <c r="I46" s="229">
        <f>Y46/1</f>
        <v>0</v>
      </c>
      <c r="J46" s="229">
        <f>Z46/5</f>
        <v>304</v>
      </c>
      <c r="K46" s="229">
        <f t="shared" si="17"/>
        <v>0</v>
      </c>
      <c r="L46" s="229">
        <f t="shared" si="15"/>
        <v>0</v>
      </c>
      <c r="M46" s="229">
        <f t="shared" si="15"/>
        <v>0</v>
      </c>
      <c r="N46" s="229">
        <f t="shared" si="15"/>
        <v>0</v>
      </c>
      <c r="Q46" s="198" t="s">
        <v>14</v>
      </c>
      <c r="R46" s="229"/>
      <c r="S46" s="229">
        <v>2227</v>
      </c>
      <c r="T46" s="229"/>
      <c r="U46" s="229">
        <v>1420</v>
      </c>
      <c r="V46" s="229">
        <v>700</v>
      </c>
      <c r="W46" s="229">
        <v>6375</v>
      </c>
      <c r="X46" s="229">
        <v>700</v>
      </c>
      <c r="Y46" s="229"/>
      <c r="Z46" s="229">
        <v>1520</v>
      </c>
      <c r="AA46" s="229"/>
      <c r="AB46" s="229"/>
      <c r="AC46" s="229"/>
      <c r="AD46" s="229"/>
    </row>
    <row r="47" spans="1:30" x14ac:dyDescent="0.25">
      <c r="A47" s="795" t="s">
        <v>16</v>
      </c>
      <c r="B47" s="229">
        <f>R47/1</f>
        <v>349</v>
      </c>
      <c r="C47" s="229">
        <f>S47/2</f>
        <v>349</v>
      </c>
      <c r="D47" s="229">
        <f>T47/1</f>
        <v>250</v>
      </c>
      <c r="E47" s="229">
        <f>U47/2</f>
        <v>349</v>
      </c>
      <c r="F47" s="229">
        <f t="shared" si="30"/>
        <v>250</v>
      </c>
      <c r="G47" s="229">
        <f t="shared" si="30"/>
        <v>0</v>
      </c>
      <c r="H47" s="229">
        <f t="shared" si="30"/>
        <v>349</v>
      </c>
      <c r="I47" s="229">
        <f>Y47/1</f>
        <v>0</v>
      </c>
      <c r="J47" s="229">
        <f>Z47/5</f>
        <v>250</v>
      </c>
      <c r="K47" s="229">
        <f t="shared" si="17"/>
        <v>0</v>
      </c>
      <c r="L47" s="229">
        <f t="shared" si="15"/>
        <v>0</v>
      </c>
      <c r="M47" s="229">
        <f t="shared" si="15"/>
        <v>0</v>
      </c>
      <c r="N47" s="229">
        <f t="shared" si="15"/>
        <v>0</v>
      </c>
      <c r="Q47" s="198" t="s">
        <v>16</v>
      </c>
      <c r="R47" s="229">
        <v>349</v>
      </c>
      <c r="S47" s="229">
        <v>698</v>
      </c>
      <c r="T47" s="229">
        <v>250</v>
      </c>
      <c r="U47" s="229">
        <v>698</v>
      </c>
      <c r="V47" s="229">
        <v>250</v>
      </c>
      <c r="W47" s="229">
        <v>0</v>
      </c>
      <c r="X47" s="229">
        <v>349</v>
      </c>
      <c r="Y47" s="229"/>
      <c r="Z47" s="229">
        <v>1250</v>
      </c>
      <c r="AA47" s="229"/>
      <c r="AB47" s="229"/>
      <c r="AC47" s="229"/>
      <c r="AD47" s="229"/>
    </row>
    <row r="48" spans="1:30" x14ac:dyDescent="0.25">
      <c r="A48" s="795" t="s">
        <v>19</v>
      </c>
      <c r="B48" s="229">
        <f>R48/1</f>
        <v>0</v>
      </c>
      <c r="C48" s="229">
        <f>S48/2</f>
        <v>2353</v>
      </c>
      <c r="D48" s="229">
        <f>T48/1</f>
        <v>11499</v>
      </c>
      <c r="E48" s="229">
        <f>U48/2</f>
        <v>2672</v>
      </c>
      <c r="F48" s="229">
        <f t="shared" si="30"/>
        <v>2353</v>
      </c>
      <c r="G48" s="229">
        <f t="shared" si="30"/>
        <v>0</v>
      </c>
      <c r="H48" s="229">
        <f t="shared" si="30"/>
        <v>2627</v>
      </c>
      <c r="I48" s="229">
        <f>Y48/1</f>
        <v>0</v>
      </c>
      <c r="J48" s="229">
        <f>Z48/5</f>
        <v>1406.2</v>
      </c>
      <c r="K48" s="229">
        <f t="shared" si="17"/>
        <v>0</v>
      </c>
      <c r="L48" s="229">
        <f t="shared" si="15"/>
        <v>0</v>
      </c>
      <c r="M48" s="229">
        <f t="shared" si="15"/>
        <v>0</v>
      </c>
      <c r="N48" s="229">
        <f t="shared" si="15"/>
        <v>0</v>
      </c>
      <c r="Q48" s="198" t="s">
        <v>19</v>
      </c>
      <c r="R48" s="229"/>
      <c r="S48" s="229">
        <v>4706</v>
      </c>
      <c r="T48" s="229">
        <v>11499</v>
      </c>
      <c r="U48" s="229">
        <v>5344</v>
      </c>
      <c r="V48" s="229">
        <v>2353</v>
      </c>
      <c r="W48" s="229"/>
      <c r="X48" s="229">
        <v>2627</v>
      </c>
      <c r="Y48" s="229"/>
      <c r="Z48" s="229">
        <v>7031</v>
      </c>
      <c r="AA48" s="229"/>
      <c r="AB48" s="229"/>
      <c r="AC48" s="229"/>
      <c r="AD48" s="229"/>
    </row>
    <row r="49" spans="1:30" x14ac:dyDescent="0.25">
      <c r="A49" s="800" t="s">
        <v>1073</v>
      </c>
      <c r="B49" s="801">
        <f>SUM(B45:B48)</f>
        <v>1106</v>
      </c>
      <c r="C49" s="801">
        <f t="shared" ref="C49:L49" si="31">SUM(C45:C48)</f>
        <v>4571.5</v>
      </c>
      <c r="D49" s="801">
        <f t="shared" si="31"/>
        <v>11749</v>
      </c>
      <c r="E49" s="801">
        <f t="shared" si="31"/>
        <v>4487</v>
      </c>
      <c r="F49" s="801">
        <f t="shared" si="31"/>
        <v>3759</v>
      </c>
      <c r="G49" s="801">
        <f>SUM(G45:G48)</f>
        <v>6375</v>
      </c>
      <c r="H49" s="801">
        <f t="shared" si="31"/>
        <v>4433</v>
      </c>
      <c r="I49" s="801">
        <f t="shared" si="31"/>
        <v>0</v>
      </c>
      <c r="J49" s="801">
        <f t="shared" si="31"/>
        <v>2416.1999999999998</v>
      </c>
      <c r="K49" s="801">
        <f t="shared" si="31"/>
        <v>0</v>
      </c>
      <c r="L49" s="801">
        <f t="shared" si="31"/>
        <v>0</v>
      </c>
      <c r="M49" s="801">
        <f t="shared" ref="M49:N49" si="32">SUM(M45:M48)</f>
        <v>0</v>
      </c>
      <c r="N49" s="801">
        <f t="shared" si="32"/>
        <v>0</v>
      </c>
      <c r="Q49" s="520" t="s">
        <v>1073</v>
      </c>
      <c r="R49" s="229">
        <v>1106</v>
      </c>
      <c r="S49" s="229">
        <v>9143</v>
      </c>
      <c r="T49" s="229">
        <v>11749</v>
      </c>
      <c r="U49" s="229">
        <v>8974</v>
      </c>
      <c r="V49" s="229">
        <v>3759</v>
      </c>
      <c r="W49" s="229">
        <v>6375</v>
      </c>
      <c r="X49" s="229">
        <v>4433</v>
      </c>
      <c r="Y49" s="229"/>
      <c r="Z49" s="229">
        <v>12081</v>
      </c>
      <c r="AA49" s="229"/>
      <c r="AB49" s="229"/>
      <c r="AC49" s="229"/>
      <c r="AD49" s="229"/>
    </row>
    <row r="50" spans="1:30" x14ac:dyDescent="0.25">
      <c r="A50" s="794">
        <v>2015</v>
      </c>
      <c r="B50" s="793"/>
      <c r="C50" s="793"/>
      <c r="D50" s="793"/>
      <c r="E50" s="793"/>
      <c r="F50" s="793"/>
      <c r="G50" s="793"/>
      <c r="H50" s="793"/>
      <c r="I50" s="796"/>
      <c r="J50" s="229"/>
      <c r="K50" s="229"/>
      <c r="L50" s="229"/>
      <c r="M50" s="229"/>
      <c r="N50" s="229"/>
      <c r="Q50" s="520">
        <v>2015</v>
      </c>
      <c r="R50" s="229"/>
      <c r="S50" s="229"/>
      <c r="T50" s="229"/>
      <c r="U50" s="229"/>
      <c r="V50" s="229"/>
      <c r="W50" s="229"/>
      <c r="X50" s="229"/>
      <c r="Y50" s="229"/>
      <c r="Z50" s="229"/>
      <c r="AA50" s="229"/>
      <c r="AB50" s="229"/>
      <c r="AC50" s="229"/>
      <c r="AD50" s="229"/>
    </row>
    <row r="51" spans="1:30" x14ac:dyDescent="0.25">
      <c r="A51" s="795" t="s">
        <v>15</v>
      </c>
      <c r="B51" s="229">
        <f t="shared" ref="B51:B56" si="33">R51/1</f>
        <v>0</v>
      </c>
      <c r="C51" s="229">
        <f t="shared" ref="C51:C56" si="34">S51/2</f>
        <v>0</v>
      </c>
      <c r="D51" s="229">
        <f t="shared" ref="D51:D56" si="35">T51/1</f>
        <v>85</v>
      </c>
      <c r="E51" s="229">
        <f t="shared" ref="E51:E56" si="36">U51/2</f>
        <v>0</v>
      </c>
      <c r="F51" s="229">
        <f t="shared" ref="F51:H56" si="37">V51/1</f>
        <v>0</v>
      </c>
      <c r="G51" s="229">
        <f t="shared" si="37"/>
        <v>0</v>
      </c>
      <c r="H51" s="229">
        <f t="shared" si="37"/>
        <v>0</v>
      </c>
      <c r="I51" s="229">
        <f t="shared" ref="I51:I56" si="38">Y51/1</f>
        <v>0</v>
      </c>
      <c r="J51" s="229">
        <f t="shared" ref="J51:J56" si="39">Z51/5</f>
        <v>0</v>
      </c>
      <c r="K51" s="229">
        <f t="shared" si="17"/>
        <v>0</v>
      </c>
      <c r="L51" s="229">
        <f t="shared" si="15"/>
        <v>0</v>
      </c>
      <c r="M51" s="229">
        <f t="shared" si="15"/>
        <v>0</v>
      </c>
      <c r="N51" s="229">
        <f t="shared" si="15"/>
        <v>0</v>
      </c>
      <c r="Q51" s="198" t="s">
        <v>15</v>
      </c>
      <c r="R51" s="229"/>
      <c r="S51" s="229"/>
      <c r="T51" s="229">
        <v>85</v>
      </c>
      <c r="U51" s="229"/>
      <c r="V51" s="229"/>
      <c r="W51" s="229"/>
      <c r="X51" s="229"/>
      <c r="Y51" s="229"/>
      <c r="Z51" s="229"/>
      <c r="AA51" s="229"/>
      <c r="AB51" s="229"/>
      <c r="AC51" s="229"/>
      <c r="AD51" s="229"/>
    </row>
    <row r="52" spans="1:30" x14ac:dyDescent="0.25">
      <c r="A52" s="795" t="s">
        <v>20</v>
      </c>
      <c r="B52" s="229">
        <f t="shared" si="33"/>
        <v>95</v>
      </c>
      <c r="C52" s="229">
        <f t="shared" si="34"/>
        <v>95</v>
      </c>
      <c r="D52" s="229">
        <f t="shared" si="35"/>
        <v>0</v>
      </c>
      <c r="E52" s="229">
        <f t="shared" si="36"/>
        <v>95</v>
      </c>
      <c r="F52" s="229">
        <f t="shared" si="37"/>
        <v>60</v>
      </c>
      <c r="G52" s="229">
        <f t="shared" si="37"/>
        <v>0</v>
      </c>
      <c r="H52" s="229">
        <f t="shared" si="37"/>
        <v>95</v>
      </c>
      <c r="I52" s="229">
        <f t="shared" si="38"/>
        <v>95</v>
      </c>
      <c r="J52" s="229">
        <f t="shared" si="39"/>
        <v>60</v>
      </c>
      <c r="K52" s="229">
        <f t="shared" si="17"/>
        <v>0</v>
      </c>
      <c r="L52" s="229">
        <f t="shared" si="15"/>
        <v>0</v>
      </c>
      <c r="M52" s="229">
        <f t="shared" si="15"/>
        <v>0</v>
      </c>
      <c r="N52" s="229">
        <f t="shared" si="15"/>
        <v>0</v>
      </c>
      <c r="Q52" s="198" t="s">
        <v>20</v>
      </c>
      <c r="R52" s="229">
        <v>95</v>
      </c>
      <c r="S52" s="229">
        <v>190</v>
      </c>
      <c r="T52" s="229">
        <v>0</v>
      </c>
      <c r="U52" s="229">
        <v>190</v>
      </c>
      <c r="V52" s="229">
        <v>60</v>
      </c>
      <c r="W52" s="229">
        <v>0</v>
      </c>
      <c r="X52" s="229">
        <v>95</v>
      </c>
      <c r="Y52" s="229">
        <v>95</v>
      </c>
      <c r="Z52" s="229">
        <v>300</v>
      </c>
      <c r="AA52" s="229"/>
      <c r="AB52" s="229"/>
      <c r="AC52" s="229"/>
      <c r="AD52" s="229"/>
    </row>
    <row r="53" spans="1:30" x14ac:dyDescent="0.25">
      <c r="A53" s="795" t="s">
        <v>866</v>
      </c>
      <c r="B53" s="229">
        <f t="shared" si="33"/>
        <v>0</v>
      </c>
      <c r="C53" s="229">
        <f t="shared" si="34"/>
        <v>0</v>
      </c>
      <c r="D53" s="229">
        <f t="shared" si="35"/>
        <v>0</v>
      </c>
      <c r="E53" s="229">
        <f t="shared" si="36"/>
        <v>0</v>
      </c>
      <c r="F53" s="229">
        <f t="shared" si="37"/>
        <v>0</v>
      </c>
      <c r="G53" s="229">
        <f t="shared" si="37"/>
        <v>0</v>
      </c>
      <c r="H53" s="229">
        <f t="shared" si="37"/>
        <v>0</v>
      </c>
      <c r="I53" s="229">
        <f t="shared" si="38"/>
        <v>0</v>
      </c>
      <c r="J53" s="229">
        <f t="shared" si="39"/>
        <v>0</v>
      </c>
      <c r="K53" s="229">
        <f t="shared" si="17"/>
        <v>0</v>
      </c>
      <c r="L53" s="229">
        <f t="shared" si="15"/>
        <v>0</v>
      </c>
      <c r="M53" s="229">
        <f t="shared" si="15"/>
        <v>0</v>
      </c>
      <c r="N53" s="229">
        <f t="shared" si="15"/>
        <v>0</v>
      </c>
      <c r="Q53" s="198" t="s">
        <v>866</v>
      </c>
      <c r="R53" s="229"/>
      <c r="S53" s="229"/>
      <c r="T53" s="229"/>
      <c r="U53" s="229"/>
      <c r="V53" s="229"/>
      <c r="W53" s="229"/>
      <c r="X53" s="229"/>
      <c r="Y53" s="229"/>
      <c r="Z53" s="229"/>
      <c r="AA53" s="229"/>
      <c r="AB53" s="229"/>
      <c r="AC53" s="229"/>
      <c r="AD53" s="229"/>
    </row>
    <row r="54" spans="1:30" x14ac:dyDescent="0.25">
      <c r="A54" s="795" t="s">
        <v>14</v>
      </c>
      <c r="B54" s="229">
        <f t="shared" si="33"/>
        <v>0</v>
      </c>
      <c r="C54" s="229">
        <f t="shared" si="34"/>
        <v>1961</v>
      </c>
      <c r="D54" s="229">
        <f t="shared" si="35"/>
        <v>1961</v>
      </c>
      <c r="E54" s="229">
        <f t="shared" si="36"/>
        <v>1961</v>
      </c>
      <c r="F54" s="229">
        <f t="shared" si="37"/>
        <v>1961</v>
      </c>
      <c r="G54" s="229">
        <f t="shared" si="37"/>
        <v>0</v>
      </c>
      <c r="H54" s="229">
        <f t="shared" si="37"/>
        <v>1943</v>
      </c>
      <c r="I54" s="229">
        <f t="shared" si="38"/>
        <v>1961</v>
      </c>
      <c r="J54" s="229">
        <f t="shared" si="39"/>
        <v>1961</v>
      </c>
      <c r="K54" s="229">
        <f t="shared" si="17"/>
        <v>0</v>
      </c>
      <c r="L54" s="229">
        <f t="shared" si="15"/>
        <v>0</v>
      </c>
      <c r="M54" s="229">
        <f t="shared" si="15"/>
        <v>0</v>
      </c>
      <c r="N54" s="229">
        <f t="shared" si="15"/>
        <v>0</v>
      </c>
      <c r="Q54" s="198" t="s">
        <v>14</v>
      </c>
      <c r="R54" s="229"/>
      <c r="S54" s="229">
        <v>3922</v>
      </c>
      <c r="T54" s="229">
        <v>1961</v>
      </c>
      <c r="U54" s="229">
        <v>3922</v>
      </c>
      <c r="V54" s="229">
        <v>1961</v>
      </c>
      <c r="W54" s="229"/>
      <c r="X54" s="229">
        <v>1943</v>
      </c>
      <c r="Y54" s="229">
        <v>1961</v>
      </c>
      <c r="Z54" s="229">
        <v>9805</v>
      </c>
      <c r="AA54" s="229"/>
      <c r="AB54" s="229"/>
      <c r="AC54" s="229"/>
      <c r="AD54" s="229"/>
    </row>
    <row r="55" spans="1:30" x14ac:dyDescent="0.25">
      <c r="A55" s="795" t="s">
        <v>16</v>
      </c>
      <c r="B55" s="229">
        <f t="shared" si="33"/>
        <v>7</v>
      </c>
      <c r="C55" s="229">
        <f t="shared" si="34"/>
        <v>7</v>
      </c>
      <c r="D55" s="229">
        <f t="shared" si="35"/>
        <v>446</v>
      </c>
      <c r="E55" s="229">
        <f t="shared" si="36"/>
        <v>624</v>
      </c>
      <c r="F55" s="229">
        <f t="shared" si="37"/>
        <v>5</v>
      </c>
      <c r="G55" s="229">
        <f t="shared" si="37"/>
        <v>0</v>
      </c>
      <c r="H55" s="229">
        <f t="shared" si="37"/>
        <v>624</v>
      </c>
      <c r="I55" s="229">
        <f t="shared" si="38"/>
        <v>7</v>
      </c>
      <c r="J55" s="799">
        <f t="shared" si="39"/>
        <v>430.2</v>
      </c>
      <c r="K55" s="229">
        <f t="shared" si="17"/>
        <v>0</v>
      </c>
      <c r="L55" s="229">
        <f t="shared" si="15"/>
        <v>0</v>
      </c>
      <c r="M55" s="229">
        <f t="shared" si="15"/>
        <v>0</v>
      </c>
      <c r="N55" s="229">
        <f t="shared" si="15"/>
        <v>0</v>
      </c>
      <c r="Q55" s="198" t="s">
        <v>16</v>
      </c>
      <c r="R55" s="229">
        <v>7</v>
      </c>
      <c r="S55" s="229">
        <v>14</v>
      </c>
      <c r="T55" s="229">
        <v>446</v>
      </c>
      <c r="U55" s="229">
        <v>1248</v>
      </c>
      <c r="V55" s="229">
        <v>5</v>
      </c>
      <c r="W55" s="229">
        <v>0</v>
      </c>
      <c r="X55" s="229">
        <v>624</v>
      </c>
      <c r="Y55" s="229">
        <v>7</v>
      </c>
      <c r="Z55" s="229">
        <v>2151</v>
      </c>
      <c r="AA55" s="229"/>
      <c r="AB55" s="229"/>
      <c r="AC55" s="229"/>
      <c r="AD55" s="229"/>
    </row>
    <row r="56" spans="1:30" x14ac:dyDescent="0.25">
      <c r="A56" s="795" t="s">
        <v>19</v>
      </c>
      <c r="B56" s="229">
        <f t="shared" si="33"/>
        <v>0</v>
      </c>
      <c r="C56" s="229">
        <f t="shared" si="34"/>
        <v>6581</v>
      </c>
      <c r="D56" s="229">
        <f t="shared" si="35"/>
        <v>6583</v>
      </c>
      <c r="E56" s="229">
        <f t="shared" si="36"/>
        <v>7380</v>
      </c>
      <c r="F56" s="229">
        <f t="shared" si="37"/>
        <v>6582</v>
      </c>
      <c r="G56" s="229">
        <f t="shared" si="37"/>
        <v>509</v>
      </c>
      <c r="H56" s="229">
        <f t="shared" si="37"/>
        <v>6582</v>
      </c>
      <c r="I56" s="229">
        <f t="shared" si="38"/>
        <v>6582</v>
      </c>
      <c r="J56" s="229">
        <f t="shared" si="39"/>
        <v>6582</v>
      </c>
      <c r="K56" s="229">
        <f t="shared" si="17"/>
        <v>0</v>
      </c>
      <c r="L56" s="229">
        <f t="shared" si="15"/>
        <v>0</v>
      </c>
      <c r="M56" s="229">
        <f t="shared" si="15"/>
        <v>0</v>
      </c>
      <c r="N56" s="229">
        <f t="shared" si="15"/>
        <v>0</v>
      </c>
      <c r="Q56" s="198" t="s">
        <v>19</v>
      </c>
      <c r="R56" s="229">
        <v>0</v>
      </c>
      <c r="S56" s="229">
        <v>13162</v>
      </c>
      <c r="T56" s="229">
        <v>6583</v>
      </c>
      <c r="U56" s="229">
        <v>14760</v>
      </c>
      <c r="V56" s="229">
        <v>6582</v>
      </c>
      <c r="W56" s="229">
        <v>509</v>
      </c>
      <c r="X56" s="229">
        <v>6582</v>
      </c>
      <c r="Y56" s="229">
        <v>6582</v>
      </c>
      <c r="Z56" s="229">
        <v>32910</v>
      </c>
      <c r="AA56" s="229"/>
      <c r="AB56" s="229"/>
      <c r="AC56" s="229"/>
      <c r="AD56" s="229"/>
    </row>
    <row r="57" spans="1:30" x14ac:dyDescent="0.25">
      <c r="A57" s="800" t="s">
        <v>1074</v>
      </c>
      <c r="B57" s="801">
        <f>SUM(B51:B56)</f>
        <v>102</v>
      </c>
      <c r="C57" s="801">
        <f t="shared" ref="C57:H57" si="40">SUM(C51:C56)</f>
        <v>8644</v>
      </c>
      <c r="D57" s="801">
        <f>SUM(D51:D56)</f>
        <v>9075</v>
      </c>
      <c r="E57" s="801">
        <f>SUM(E51:E56)</f>
        <v>10060</v>
      </c>
      <c r="F57" s="801">
        <f t="shared" si="40"/>
        <v>8608</v>
      </c>
      <c r="G57" s="801">
        <f>SUM(G51:G56)</f>
        <v>509</v>
      </c>
      <c r="H57" s="801">
        <f t="shared" si="40"/>
        <v>9244</v>
      </c>
      <c r="I57" s="801">
        <f>SUM(I51:I56)</f>
        <v>8645</v>
      </c>
      <c r="J57" s="801">
        <f>SUM(J51:J56)</f>
        <v>9033.2000000000007</v>
      </c>
      <c r="K57" s="925">
        <f t="shared" si="17"/>
        <v>0</v>
      </c>
      <c r="L57" s="925">
        <f t="shared" si="15"/>
        <v>0</v>
      </c>
      <c r="M57" s="925">
        <f t="shared" si="15"/>
        <v>0</v>
      </c>
      <c r="N57" s="925"/>
      <c r="Q57" s="520" t="s">
        <v>1074</v>
      </c>
      <c r="R57" s="229">
        <v>102</v>
      </c>
      <c r="S57" s="229">
        <v>17288</v>
      </c>
      <c r="T57" s="229">
        <v>9075</v>
      </c>
      <c r="U57" s="229">
        <v>20120</v>
      </c>
      <c r="V57" s="229">
        <v>8608</v>
      </c>
      <c r="W57" s="229">
        <v>509</v>
      </c>
      <c r="X57" s="229">
        <v>9244</v>
      </c>
      <c r="Y57" s="229">
        <v>8645</v>
      </c>
      <c r="Z57" s="229">
        <v>45166</v>
      </c>
      <c r="AA57" s="229"/>
      <c r="AB57" s="229"/>
      <c r="AC57" s="229"/>
      <c r="AD57" s="229"/>
    </row>
    <row r="58" spans="1:30" x14ac:dyDescent="0.25">
      <c r="A58" s="794">
        <v>2016</v>
      </c>
      <c r="B58" s="793"/>
      <c r="C58" s="793"/>
      <c r="D58" s="793"/>
      <c r="E58" s="793"/>
      <c r="F58" s="793"/>
      <c r="G58" s="793"/>
      <c r="H58" s="793"/>
      <c r="I58" s="796"/>
      <c r="J58" s="229"/>
      <c r="K58" s="229"/>
      <c r="L58" s="229"/>
      <c r="M58" s="229"/>
      <c r="N58" s="229"/>
      <c r="Q58" s="520">
        <v>2016</v>
      </c>
      <c r="R58" s="229"/>
      <c r="S58" s="229"/>
      <c r="T58" s="229"/>
      <c r="U58" s="229"/>
      <c r="V58" s="229"/>
      <c r="W58" s="229"/>
      <c r="X58" s="229"/>
      <c r="Y58" s="229"/>
      <c r="Z58" s="229"/>
      <c r="AA58" s="229"/>
      <c r="AB58" s="229"/>
      <c r="AC58" s="229"/>
      <c r="AD58" s="229"/>
    </row>
    <row r="59" spans="1:30" x14ac:dyDescent="0.25">
      <c r="A59" s="795" t="s">
        <v>607</v>
      </c>
      <c r="B59" s="229">
        <f>R59/1</f>
        <v>0</v>
      </c>
      <c r="C59" s="229">
        <f>S59/2</f>
        <v>0</v>
      </c>
      <c r="D59" s="799">
        <f>T59/1</f>
        <v>0</v>
      </c>
      <c r="E59" s="971">
        <f>U59/2</f>
        <v>459.5</v>
      </c>
      <c r="F59" s="229">
        <f t="shared" ref="F59:H62" si="41">V59/1</f>
        <v>0</v>
      </c>
      <c r="G59" s="229">
        <f t="shared" si="41"/>
        <v>0</v>
      </c>
      <c r="H59" s="229">
        <f t="shared" si="41"/>
        <v>0</v>
      </c>
      <c r="I59" s="229">
        <f>Y59/1</f>
        <v>0</v>
      </c>
      <c r="J59" s="229">
        <f>Z59/5</f>
        <v>0</v>
      </c>
      <c r="K59" s="229">
        <f t="shared" si="17"/>
        <v>0</v>
      </c>
      <c r="L59" s="229">
        <f t="shared" si="15"/>
        <v>0</v>
      </c>
      <c r="M59" s="229">
        <f t="shared" si="15"/>
        <v>0</v>
      </c>
      <c r="N59" s="229">
        <f t="shared" si="15"/>
        <v>0</v>
      </c>
      <c r="Q59" s="198" t="s">
        <v>607</v>
      </c>
      <c r="R59" s="229"/>
      <c r="S59" s="229"/>
      <c r="T59" s="229"/>
      <c r="U59" s="229">
        <v>919</v>
      </c>
      <c r="V59" s="229"/>
      <c r="W59" s="229"/>
      <c r="X59" s="229"/>
      <c r="Y59" s="229"/>
      <c r="Z59" s="229"/>
      <c r="AA59" s="229"/>
      <c r="AB59" s="229"/>
      <c r="AC59" s="229"/>
      <c r="AD59" s="229"/>
    </row>
    <row r="60" spans="1:30" x14ac:dyDescent="0.25">
      <c r="A60" s="795" t="s">
        <v>866</v>
      </c>
      <c r="B60" s="229">
        <f>R60/1</f>
        <v>0</v>
      </c>
      <c r="C60" s="229">
        <f>S60/2</f>
        <v>341</v>
      </c>
      <c r="D60" s="799">
        <f>T60/1</f>
        <v>682</v>
      </c>
      <c r="E60" s="971">
        <f>U60/2</f>
        <v>351.5</v>
      </c>
      <c r="F60" s="229">
        <f t="shared" si="41"/>
        <v>682</v>
      </c>
      <c r="G60" s="229">
        <f t="shared" si="41"/>
        <v>195</v>
      </c>
      <c r="H60" s="229">
        <f t="shared" si="41"/>
        <v>0</v>
      </c>
      <c r="I60" s="229">
        <f>Y60/1</f>
        <v>682</v>
      </c>
      <c r="J60" s="229">
        <f>Z60/5</f>
        <v>0</v>
      </c>
      <c r="K60" s="229">
        <f t="shared" si="17"/>
        <v>628</v>
      </c>
      <c r="L60" s="229">
        <f t="shared" si="15"/>
        <v>0</v>
      </c>
      <c r="M60" s="229">
        <f t="shared" si="15"/>
        <v>628</v>
      </c>
      <c r="N60" s="229">
        <f t="shared" si="15"/>
        <v>0</v>
      </c>
      <c r="Q60" s="198" t="s">
        <v>866</v>
      </c>
      <c r="R60" s="229"/>
      <c r="S60" s="229">
        <v>682</v>
      </c>
      <c r="T60" s="229">
        <v>682</v>
      </c>
      <c r="U60" s="229">
        <v>703</v>
      </c>
      <c r="V60" s="229">
        <v>682</v>
      </c>
      <c r="W60" s="229">
        <v>195</v>
      </c>
      <c r="X60" s="229"/>
      <c r="Y60" s="229">
        <v>682</v>
      </c>
      <c r="Z60" s="229"/>
      <c r="AA60" s="229">
        <v>628</v>
      </c>
      <c r="AB60" s="229"/>
      <c r="AC60" s="229">
        <v>628</v>
      </c>
      <c r="AD60" s="229"/>
    </row>
    <row r="61" spans="1:30" x14ac:dyDescent="0.25">
      <c r="A61" s="795" t="s">
        <v>14</v>
      </c>
      <c r="B61" s="229">
        <f>R61/1</f>
        <v>0</v>
      </c>
      <c r="C61" s="229">
        <f>S61/2</f>
        <v>0</v>
      </c>
      <c r="D61" s="799">
        <f>T61/1</f>
        <v>60</v>
      </c>
      <c r="E61" s="229">
        <f>U61/2</f>
        <v>0</v>
      </c>
      <c r="F61" s="229">
        <f t="shared" si="41"/>
        <v>2084</v>
      </c>
      <c r="G61" s="229">
        <f t="shared" si="41"/>
        <v>0</v>
      </c>
      <c r="H61" s="229">
        <f t="shared" si="41"/>
        <v>0</v>
      </c>
      <c r="I61" s="229">
        <f>Y61/1</f>
        <v>0</v>
      </c>
      <c r="J61" s="229">
        <f>Z61/5</f>
        <v>0</v>
      </c>
      <c r="K61" s="229">
        <f t="shared" si="17"/>
        <v>0</v>
      </c>
      <c r="L61" s="229">
        <f t="shared" si="15"/>
        <v>0</v>
      </c>
      <c r="M61" s="229">
        <f t="shared" si="15"/>
        <v>0</v>
      </c>
      <c r="N61" s="229">
        <f t="shared" si="15"/>
        <v>0</v>
      </c>
      <c r="Q61" s="198" t="s">
        <v>14</v>
      </c>
      <c r="R61" s="229"/>
      <c r="S61" s="229"/>
      <c r="T61" s="229">
        <v>60</v>
      </c>
      <c r="U61" s="229"/>
      <c r="V61" s="229">
        <v>2084</v>
      </c>
      <c r="W61" s="229"/>
      <c r="X61" s="229"/>
      <c r="Y61" s="229"/>
      <c r="Z61" s="229"/>
      <c r="AA61" s="229"/>
      <c r="AB61" s="229"/>
      <c r="AC61" s="229"/>
      <c r="AD61" s="229"/>
    </row>
    <row r="62" spans="1:30" x14ac:dyDescent="0.25">
      <c r="A62" s="795" t="s">
        <v>19</v>
      </c>
      <c r="B62" s="229">
        <f>R62/1</f>
        <v>1080</v>
      </c>
      <c r="C62" s="229">
        <f>S62/2</f>
        <v>3026.5</v>
      </c>
      <c r="D62" s="799">
        <f>T62/1</f>
        <v>2324</v>
      </c>
      <c r="E62" s="971">
        <f>U62/2</f>
        <v>1780.5</v>
      </c>
      <c r="F62" s="229">
        <f t="shared" si="41"/>
        <v>1900</v>
      </c>
      <c r="G62" s="229">
        <f t="shared" si="41"/>
        <v>0</v>
      </c>
      <c r="H62" s="229">
        <f t="shared" si="41"/>
        <v>5176</v>
      </c>
      <c r="I62" s="229">
        <f>Y62/1</f>
        <v>6161</v>
      </c>
      <c r="J62" s="799">
        <f>Z62/5</f>
        <v>2724.8</v>
      </c>
      <c r="K62" s="229">
        <f t="shared" si="17"/>
        <v>0</v>
      </c>
      <c r="L62" s="229">
        <f t="shared" si="15"/>
        <v>0</v>
      </c>
      <c r="M62" s="229">
        <f t="shared" si="15"/>
        <v>0</v>
      </c>
      <c r="N62" s="229">
        <f t="shared" si="15"/>
        <v>0</v>
      </c>
      <c r="Q62" s="198" t="s">
        <v>19</v>
      </c>
      <c r="R62" s="229">
        <v>1080</v>
      </c>
      <c r="S62" s="229">
        <v>6053</v>
      </c>
      <c r="T62" s="229">
        <v>2324</v>
      </c>
      <c r="U62" s="229">
        <v>3561</v>
      </c>
      <c r="V62" s="229">
        <v>1900</v>
      </c>
      <c r="W62" s="229"/>
      <c r="X62" s="229">
        <v>5176</v>
      </c>
      <c r="Y62" s="229">
        <v>6161</v>
      </c>
      <c r="Z62" s="229">
        <v>13624</v>
      </c>
      <c r="AA62" s="229"/>
      <c r="AB62" s="229"/>
      <c r="AC62" s="229"/>
      <c r="AD62" s="229"/>
    </row>
    <row r="63" spans="1:30" x14ac:dyDescent="0.25">
      <c r="A63" s="800" t="s">
        <v>1075</v>
      </c>
      <c r="B63" s="801">
        <f>SUM(B59:B62)</f>
        <v>1080</v>
      </c>
      <c r="C63" s="801">
        <f t="shared" ref="C63:H63" si="42">SUM(C59:C62)</f>
        <v>3367.5</v>
      </c>
      <c r="D63" s="801">
        <f t="shared" si="42"/>
        <v>3066</v>
      </c>
      <c r="E63" s="801">
        <f t="shared" si="42"/>
        <v>2591.5</v>
      </c>
      <c r="F63" s="801">
        <f t="shared" si="42"/>
        <v>4666</v>
      </c>
      <c r="G63" s="801">
        <f>SUM(G59:G62)</f>
        <v>195</v>
      </c>
      <c r="H63" s="801">
        <f t="shared" si="42"/>
        <v>5176</v>
      </c>
      <c r="I63" s="801">
        <f t="shared" ref="I63:N63" si="43">SUM(I59:I62)</f>
        <v>6843</v>
      </c>
      <c r="J63" s="801">
        <f t="shared" si="43"/>
        <v>2724.8</v>
      </c>
      <c r="K63" s="801">
        <f t="shared" si="43"/>
        <v>628</v>
      </c>
      <c r="L63" s="801">
        <f t="shared" si="43"/>
        <v>0</v>
      </c>
      <c r="M63" s="801">
        <f t="shared" si="43"/>
        <v>628</v>
      </c>
      <c r="N63" s="801">
        <f t="shared" si="43"/>
        <v>0</v>
      </c>
      <c r="Q63" s="520" t="s">
        <v>1075</v>
      </c>
      <c r="R63" s="229">
        <v>1080</v>
      </c>
      <c r="S63" s="229">
        <v>6735</v>
      </c>
      <c r="T63" s="229">
        <v>3066</v>
      </c>
      <c r="U63" s="229">
        <v>5183</v>
      </c>
      <c r="V63" s="229">
        <v>4666</v>
      </c>
      <c r="W63" s="229">
        <v>195</v>
      </c>
      <c r="X63" s="229">
        <v>5176</v>
      </c>
      <c r="Y63" s="229">
        <v>6843</v>
      </c>
      <c r="Z63" s="229">
        <v>13624</v>
      </c>
      <c r="AA63" s="229">
        <v>628</v>
      </c>
      <c r="AB63" s="229"/>
      <c r="AC63" s="229">
        <v>628</v>
      </c>
      <c r="AD63" s="229"/>
    </row>
    <row r="64" spans="1:30" x14ac:dyDescent="0.25">
      <c r="A64" s="794">
        <v>2017</v>
      </c>
      <c r="B64" s="942"/>
      <c r="C64" s="942"/>
      <c r="D64" s="942"/>
      <c r="E64" s="942"/>
      <c r="F64" s="942"/>
      <c r="G64" s="942"/>
      <c r="H64" s="942"/>
      <c r="I64" s="943"/>
      <c r="J64" s="942"/>
      <c r="K64" s="942"/>
      <c r="L64" s="942"/>
      <c r="M64" s="942"/>
      <c r="N64" s="229"/>
      <c r="Q64" s="520">
        <v>2017</v>
      </c>
      <c r="R64" s="229"/>
      <c r="S64" s="229"/>
      <c r="T64" s="229"/>
      <c r="U64" s="229"/>
      <c r="V64" s="229"/>
      <c r="W64" s="229"/>
      <c r="X64" s="229"/>
      <c r="Y64" s="229"/>
      <c r="Z64" s="229"/>
      <c r="AA64" s="229"/>
      <c r="AB64" s="229"/>
      <c r="AC64" s="229"/>
      <c r="AD64" s="229"/>
    </row>
    <row r="65" spans="1:30" x14ac:dyDescent="0.25">
      <c r="A65" s="198" t="s">
        <v>15</v>
      </c>
      <c r="B65" s="229">
        <f>R65/1</f>
        <v>0</v>
      </c>
      <c r="C65" s="229">
        <f>S65/2</f>
        <v>91</v>
      </c>
      <c r="D65" s="229">
        <f>T65/1</f>
        <v>182</v>
      </c>
      <c r="E65" s="229">
        <f>U65/2</f>
        <v>91</v>
      </c>
      <c r="F65" s="229">
        <f>V65/1</f>
        <v>91</v>
      </c>
      <c r="G65" s="229">
        <f>W65/1</f>
        <v>0</v>
      </c>
      <c r="H65" s="229">
        <f>X65/1</f>
        <v>0</v>
      </c>
      <c r="I65" s="797">
        <f>Y65/1</f>
        <v>91</v>
      </c>
      <c r="J65" s="229">
        <f>Z65/5</f>
        <v>91</v>
      </c>
      <c r="K65" s="229">
        <f>AA65</f>
        <v>0</v>
      </c>
      <c r="L65" s="229">
        <f>AB65</f>
        <v>0</v>
      </c>
      <c r="M65" s="229">
        <f>AC65</f>
        <v>0</v>
      </c>
      <c r="N65" s="229">
        <f>AD65</f>
        <v>0</v>
      </c>
      <c r="Q65" s="198" t="s">
        <v>15</v>
      </c>
      <c r="R65" s="229"/>
      <c r="S65" s="229">
        <v>182</v>
      </c>
      <c r="T65" s="229">
        <v>182</v>
      </c>
      <c r="U65" s="229">
        <v>182</v>
      </c>
      <c r="V65" s="229">
        <v>91</v>
      </c>
      <c r="W65" s="229"/>
      <c r="X65" s="229"/>
      <c r="Y65" s="229">
        <v>91</v>
      </c>
      <c r="Z65" s="229">
        <v>455</v>
      </c>
      <c r="AA65" s="229"/>
      <c r="AB65" s="229"/>
      <c r="AC65" s="229"/>
      <c r="AD65" s="229"/>
    </row>
    <row r="66" spans="1:30" x14ac:dyDescent="0.25">
      <c r="A66" s="795" t="s">
        <v>866</v>
      </c>
      <c r="B66" s="229">
        <f>R66/1</f>
        <v>1325</v>
      </c>
      <c r="C66" s="229">
        <f t="shared" ref="C66:C69" si="44">S66/2</f>
        <v>345</v>
      </c>
      <c r="D66" s="229">
        <f t="shared" ref="D66:D69" si="45">T66/1</f>
        <v>0</v>
      </c>
      <c r="E66" s="229">
        <f t="shared" ref="E66:E69" si="46">U66/2</f>
        <v>0</v>
      </c>
      <c r="F66" s="229">
        <f t="shared" ref="F66:F69" si="47">V66/1</f>
        <v>0</v>
      </c>
      <c r="G66" s="229">
        <f t="shared" ref="G66:G69" si="48">W66/1</f>
        <v>0</v>
      </c>
      <c r="H66" s="229">
        <f t="shared" ref="H66:H69" si="49">X66/1</f>
        <v>0</v>
      </c>
      <c r="I66" s="797">
        <f t="shared" ref="I66:I69" si="50">Y66/1</f>
        <v>0</v>
      </c>
      <c r="J66" s="229">
        <f t="shared" ref="J66:J69" si="51">Z66/5</f>
        <v>0</v>
      </c>
      <c r="K66" s="229">
        <f t="shared" ref="K66:K69" si="52">AA66</f>
        <v>0</v>
      </c>
      <c r="L66" s="229">
        <f t="shared" ref="L66:L69" si="53">AB66</f>
        <v>0</v>
      </c>
      <c r="M66" s="229">
        <f t="shared" ref="M66:M69" si="54">AC66</f>
        <v>0</v>
      </c>
      <c r="N66" s="229">
        <f t="shared" ref="N66:N69" si="55">AD66</f>
        <v>0</v>
      </c>
      <c r="Q66" s="198" t="s">
        <v>866</v>
      </c>
      <c r="R66" s="229">
        <v>1325</v>
      </c>
      <c r="S66" s="229">
        <v>690</v>
      </c>
      <c r="T66" s="229"/>
      <c r="U66" s="229"/>
      <c r="V66" s="229"/>
      <c r="W66" s="229"/>
      <c r="X66" s="229"/>
      <c r="Y66" s="229"/>
      <c r="Z66" s="229"/>
      <c r="AA66" s="229"/>
      <c r="AB66" s="229"/>
      <c r="AC66" s="229"/>
      <c r="AD66" s="229"/>
    </row>
    <row r="67" spans="1:30" x14ac:dyDescent="0.25">
      <c r="A67" s="795" t="s">
        <v>14</v>
      </c>
      <c r="B67" s="229">
        <f t="shared" ref="B67:B69" si="56">R67/1</f>
        <v>0</v>
      </c>
      <c r="C67" s="229">
        <f t="shared" si="44"/>
        <v>1047</v>
      </c>
      <c r="D67" s="229">
        <f t="shared" si="45"/>
        <v>0</v>
      </c>
      <c r="E67" s="229">
        <f t="shared" si="46"/>
        <v>0</v>
      </c>
      <c r="F67" s="229">
        <f t="shared" si="47"/>
        <v>0</v>
      </c>
      <c r="G67" s="229">
        <f t="shared" si="48"/>
        <v>0</v>
      </c>
      <c r="H67" s="229">
        <f t="shared" si="49"/>
        <v>0</v>
      </c>
      <c r="I67" s="797">
        <f t="shared" si="50"/>
        <v>0</v>
      </c>
      <c r="J67" s="229">
        <f t="shared" si="51"/>
        <v>0</v>
      </c>
      <c r="K67" s="229">
        <f t="shared" si="52"/>
        <v>2020</v>
      </c>
      <c r="L67" s="229">
        <f t="shared" si="53"/>
        <v>0</v>
      </c>
      <c r="M67" s="229">
        <f t="shared" si="54"/>
        <v>0</v>
      </c>
      <c r="N67" s="229">
        <f t="shared" si="55"/>
        <v>389</v>
      </c>
      <c r="Q67" s="198" t="s">
        <v>14</v>
      </c>
      <c r="R67" s="229"/>
      <c r="S67" s="229">
        <v>2094</v>
      </c>
      <c r="T67" s="229"/>
      <c r="U67" s="229"/>
      <c r="V67" s="229"/>
      <c r="W67" s="229"/>
      <c r="X67" s="229"/>
      <c r="Y67" s="229"/>
      <c r="Z67" s="229"/>
      <c r="AA67" s="229">
        <v>2020</v>
      </c>
      <c r="AB67" s="229"/>
      <c r="AC67" s="229"/>
      <c r="AD67" s="229">
        <v>389</v>
      </c>
    </row>
    <row r="68" spans="1:30" x14ac:dyDescent="0.25">
      <c r="A68" s="795" t="s">
        <v>16</v>
      </c>
      <c r="B68" s="229">
        <f t="shared" si="56"/>
        <v>0</v>
      </c>
      <c r="C68" s="229">
        <f t="shared" si="44"/>
        <v>0</v>
      </c>
      <c r="D68" s="229">
        <f t="shared" si="45"/>
        <v>0</v>
      </c>
      <c r="E68" s="229">
        <f t="shared" si="46"/>
        <v>135</v>
      </c>
      <c r="F68" s="229">
        <f t="shared" si="47"/>
        <v>0</v>
      </c>
      <c r="G68" s="229">
        <f t="shared" si="48"/>
        <v>0</v>
      </c>
      <c r="H68" s="229">
        <f t="shared" si="49"/>
        <v>0</v>
      </c>
      <c r="I68" s="797">
        <f t="shared" si="50"/>
        <v>0</v>
      </c>
      <c r="J68" s="229">
        <f t="shared" si="51"/>
        <v>0</v>
      </c>
      <c r="K68" s="229">
        <f t="shared" si="52"/>
        <v>0</v>
      </c>
      <c r="L68" s="229">
        <f t="shared" si="53"/>
        <v>0</v>
      </c>
      <c r="M68" s="229">
        <f t="shared" si="54"/>
        <v>0</v>
      </c>
      <c r="N68" s="229">
        <f t="shared" si="55"/>
        <v>0</v>
      </c>
      <c r="Q68" s="198" t="s">
        <v>16</v>
      </c>
      <c r="R68" s="229"/>
      <c r="S68" s="229"/>
      <c r="T68" s="229"/>
      <c r="U68" s="229">
        <v>270</v>
      </c>
      <c r="V68" s="229"/>
      <c r="W68" s="229"/>
      <c r="X68" s="229"/>
      <c r="Y68" s="229"/>
      <c r="Z68" s="229"/>
      <c r="AA68" s="229"/>
      <c r="AB68" s="229"/>
      <c r="AC68" s="229"/>
      <c r="AD68" s="229"/>
    </row>
    <row r="69" spans="1:30" x14ac:dyDescent="0.25">
      <c r="A69" s="795" t="s">
        <v>19</v>
      </c>
      <c r="B69" s="229">
        <f t="shared" si="56"/>
        <v>9554</v>
      </c>
      <c r="C69" s="229">
        <f t="shared" si="44"/>
        <v>2513</v>
      </c>
      <c r="D69" s="229">
        <f t="shared" si="45"/>
        <v>112</v>
      </c>
      <c r="E69" s="229">
        <f t="shared" si="46"/>
        <v>3502</v>
      </c>
      <c r="F69" s="229">
        <f t="shared" si="47"/>
        <v>1196</v>
      </c>
      <c r="G69" s="229">
        <f t="shared" si="48"/>
        <v>6</v>
      </c>
      <c r="H69" s="229">
        <f t="shared" si="49"/>
        <v>2189</v>
      </c>
      <c r="I69" s="797">
        <f t="shared" si="50"/>
        <v>3025</v>
      </c>
      <c r="J69" s="229">
        <f t="shared" si="51"/>
        <v>2751.8</v>
      </c>
      <c r="K69" s="229">
        <f t="shared" si="52"/>
        <v>7205</v>
      </c>
      <c r="L69" s="229">
        <f t="shared" si="53"/>
        <v>6363</v>
      </c>
      <c r="M69" s="229">
        <f t="shared" si="54"/>
        <v>0</v>
      </c>
      <c r="N69" s="229">
        <f t="shared" si="55"/>
        <v>0</v>
      </c>
      <c r="Q69" s="198" t="s">
        <v>19</v>
      </c>
      <c r="R69" s="229">
        <v>9554</v>
      </c>
      <c r="S69" s="229">
        <v>5026</v>
      </c>
      <c r="T69" s="229">
        <v>112</v>
      </c>
      <c r="U69" s="229">
        <v>7004</v>
      </c>
      <c r="V69" s="229">
        <v>1196</v>
      </c>
      <c r="W69" s="229">
        <v>6</v>
      </c>
      <c r="X69" s="229">
        <v>2189</v>
      </c>
      <c r="Y69" s="229">
        <v>3025</v>
      </c>
      <c r="Z69" s="229">
        <v>13759</v>
      </c>
      <c r="AA69" s="229">
        <v>7205</v>
      </c>
      <c r="AB69" s="229">
        <v>6363</v>
      </c>
      <c r="AC69" s="229"/>
      <c r="AD69" s="229"/>
    </row>
    <row r="70" spans="1:30" x14ac:dyDescent="0.25">
      <c r="A70" s="999" t="s">
        <v>1133</v>
      </c>
      <c r="B70" s="944">
        <f>SUM(B65:B69)</f>
        <v>10879</v>
      </c>
      <c r="C70" s="944">
        <f t="shared" ref="C70:N70" si="57">SUM(C65:C69)</f>
        <v>3996</v>
      </c>
      <c r="D70" s="944">
        <f t="shared" si="57"/>
        <v>294</v>
      </c>
      <c r="E70" s="944">
        <f t="shared" si="57"/>
        <v>3728</v>
      </c>
      <c r="F70" s="944">
        <f t="shared" si="57"/>
        <v>1287</v>
      </c>
      <c r="G70" s="944">
        <f t="shared" si="57"/>
        <v>6</v>
      </c>
      <c r="H70" s="944">
        <f t="shared" si="57"/>
        <v>2189</v>
      </c>
      <c r="I70" s="944">
        <f t="shared" si="57"/>
        <v>3116</v>
      </c>
      <c r="J70" s="944">
        <f t="shared" si="57"/>
        <v>2842.8</v>
      </c>
      <c r="K70" s="944">
        <f t="shared" si="57"/>
        <v>9225</v>
      </c>
      <c r="L70" s="944">
        <f t="shared" si="57"/>
        <v>6363</v>
      </c>
      <c r="M70" s="944">
        <f t="shared" si="57"/>
        <v>0</v>
      </c>
      <c r="N70" s="944">
        <f t="shared" si="57"/>
        <v>389</v>
      </c>
      <c r="Q70" s="520" t="s">
        <v>1133</v>
      </c>
      <c r="R70" s="229">
        <v>10879</v>
      </c>
      <c r="S70" s="229">
        <v>7992</v>
      </c>
      <c r="T70" s="229">
        <v>294</v>
      </c>
      <c r="U70" s="229">
        <v>7456</v>
      </c>
      <c r="V70" s="229">
        <v>1287</v>
      </c>
      <c r="W70" s="229">
        <v>6</v>
      </c>
      <c r="X70" s="229">
        <v>2189</v>
      </c>
      <c r="Y70" s="229">
        <v>3116</v>
      </c>
      <c r="Z70" s="229">
        <v>14214</v>
      </c>
      <c r="AA70" s="229">
        <v>9225</v>
      </c>
      <c r="AB70" s="229">
        <v>6363</v>
      </c>
      <c r="AC70" s="229"/>
      <c r="AD70" s="229">
        <v>389</v>
      </c>
    </row>
    <row r="71" spans="1:30" x14ac:dyDescent="0.25">
      <c r="A71" s="798" t="s">
        <v>213</v>
      </c>
      <c r="B71" s="945">
        <f t="shared" ref="B71:N71" si="58">B70+B63+B57+B49+B43+B33</f>
        <v>22350</v>
      </c>
      <c r="C71" s="945">
        <f t="shared" si="58"/>
        <v>30370.5</v>
      </c>
      <c r="D71" s="945">
        <f t="shared" si="58"/>
        <v>38487</v>
      </c>
      <c r="E71" s="945">
        <f t="shared" si="58"/>
        <v>29785.5</v>
      </c>
      <c r="F71" s="945">
        <f t="shared" si="58"/>
        <v>25560</v>
      </c>
      <c r="G71" s="945">
        <f t="shared" si="58"/>
        <v>12630</v>
      </c>
      <c r="H71" s="945">
        <f t="shared" si="58"/>
        <v>29357</v>
      </c>
      <c r="I71" s="945">
        <f t="shared" si="58"/>
        <v>18604</v>
      </c>
      <c r="J71" s="945">
        <f t="shared" si="58"/>
        <v>20206.400000000001</v>
      </c>
      <c r="K71" s="945">
        <f t="shared" si="58"/>
        <v>9853</v>
      </c>
      <c r="L71" s="945">
        <f t="shared" si="58"/>
        <v>6363</v>
      </c>
      <c r="M71" s="945">
        <f t="shared" si="58"/>
        <v>628</v>
      </c>
      <c r="N71" s="945">
        <f t="shared" si="58"/>
        <v>389</v>
      </c>
      <c r="Q71" s="520" t="s">
        <v>213</v>
      </c>
      <c r="R71" s="229">
        <v>22350</v>
      </c>
      <c r="S71" s="229">
        <v>60741</v>
      </c>
      <c r="T71" s="229">
        <v>38487</v>
      </c>
      <c r="U71" s="229">
        <v>59571</v>
      </c>
      <c r="V71" s="229">
        <v>25560</v>
      </c>
      <c r="W71" s="229">
        <v>12630</v>
      </c>
      <c r="X71" s="229">
        <v>29357</v>
      </c>
      <c r="Y71" s="229">
        <v>18604</v>
      </c>
      <c r="Z71" s="229">
        <v>101032</v>
      </c>
      <c r="AA71" s="229">
        <v>9853</v>
      </c>
      <c r="AB71" s="229">
        <v>6363</v>
      </c>
      <c r="AC71" s="229">
        <v>628</v>
      </c>
      <c r="AD71" s="229">
        <v>389</v>
      </c>
    </row>
    <row r="74" spans="1:30" x14ac:dyDescent="0.25">
      <c r="C74" s="38"/>
      <c r="E74" s="38"/>
      <c r="J74" s="38"/>
    </row>
  </sheetData>
  <mergeCells count="3">
    <mergeCell ref="A2:H2"/>
    <mergeCell ref="A3:H3"/>
    <mergeCell ref="Q2:X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2.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3.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4.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6.xml><?xml version="1.0" encoding="utf-8"?>
<ds:datastoreItem xmlns:ds="http://schemas.openxmlformats.org/officeDocument/2006/customXml" ds:itemID="{BD47491D-A072-4E9A-9936-7CEEF1F17C78}">
  <ds:schemaRefs>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44d82dea-fc32-4e1e-a3c6-c3136ef66f65"/>
    <ds:schemaRef ds:uri="410da107-b4b9-4416-82f0-a17ea7b4313c"/>
    <ds:schemaRef ds:uri="c2760211-3e43-4ff7-a9ea-22e8b7d99117"/>
    <ds:schemaRef ds:uri="96664bca-06c0-4657-b6f9-0a997f5ff9b9"/>
  </ds:schemaRefs>
</ds:datastoreItem>
</file>

<file path=customXml/itemProps7.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8.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9.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10.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11.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12.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13.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14.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15.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16.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101</vt:i4>
      </vt:variant>
    </vt:vector>
  </HeadingPairs>
  <TitlesOfParts>
    <vt:vector size="130"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NFI_Adult_Clothes_Track</vt:lpstr>
      <vt:lpstr>NFI_Blanket_Pipeline</vt:lpstr>
      <vt:lpstr>NFI_Blanket_Stock</vt:lpstr>
      <vt:lpstr>NFI_Blanket_Track</vt:lpstr>
      <vt:lpstr>NFI_CampStatus</vt:lpstr>
      <vt:lpstr>NFI_Children_Clothes_Track</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NFI_Sewing_Kit_Track</vt:lpstr>
      <vt:lpstr>NFI_Solar_Lantern_Track</vt:lpstr>
      <vt:lpstr>NFI_Solor_Lantern_Track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May Khaing</cp:lastModifiedBy>
  <cp:lastPrinted>2017-03-22T05:24:21Z</cp:lastPrinted>
  <dcterms:created xsi:type="dcterms:W3CDTF">2013-03-18T02:36:38Z</dcterms:created>
  <dcterms:modified xsi:type="dcterms:W3CDTF">2017-06-21T07:15:44Z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