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7175" firstSheet="1" activeTab="5"/>
  </bookViews>
  <sheets>
    <sheet name="Readme" sheetId="1" r:id="rId1"/>
    <sheet name="Summary" sheetId="2" r:id="rId2"/>
    <sheet name="Outcome 1" sheetId="3" r:id="rId3"/>
    <sheet name="Outcome 2" sheetId="4" r:id="rId4"/>
    <sheet name="Outcome 3" sheetId="5" r:id="rId5"/>
    <sheet name="ActivityInfo" sheetId="6" r:id="rId6"/>
    <sheet name="Lh Budgetting" sheetId="7" r:id="rId7"/>
  </sheets>
  <definedNames/>
  <calcPr fullCalcOnLoad="1"/>
</workbook>
</file>

<file path=xl/comments4.xml><?xml version="1.0" encoding="utf-8"?>
<comments xmlns="http://schemas.openxmlformats.org/spreadsheetml/2006/main">
  <authors>
    <author>Anita</author>
  </authors>
  <commentList>
    <comment ref="A1" authorId="0">
      <text>
        <r>
          <rPr>
            <b/>
            <sz val="9"/>
            <rFont val="Tahoma"/>
            <family val="2"/>
          </rPr>
          <t>Anita:</t>
        </r>
        <r>
          <rPr>
            <sz val="9"/>
            <rFont val="Tahoma"/>
            <family val="2"/>
          </rPr>
          <t xml:space="preserve">
The outcome is the change that results from the implementation of interventions. Hence it is not an action. Outcome is very broad, covers too much and some aspects such as protecting women and youth from shocks will be difficult to measure. Suggest reformulating as follows: Local economic development and market systems stimulated to create income generating opportunities and employment. </t>
        </r>
      </text>
    </comment>
  </commentList>
</comments>
</file>

<file path=xl/comments7.xml><?xml version="1.0" encoding="utf-8"?>
<comments xmlns="http://schemas.openxmlformats.org/spreadsheetml/2006/main">
  <authors>
    <author>Bastien Revel</author>
  </authors>
  <commentList>
    <comment ref="J6" authorId="0">
      <text>
        <r>
          <rPr>
            <b/>
            <sz val="9"/>
            <rFont val="Tahoma"/>
            <family val="2"/>
          </rPr>
          <t>Bastien Revel:</t>
        </r>
        <r>
          <rPr>
            <sz val="9"/>
            <rFont val="Tahoma"/>
            <family val="2"/>
          </rPr>
          <t xml:space="preserve">
AlMajmoua &amp; IRC</t>
        </r>
      </text>
    </comment>
    <comment ref="J7" authorId="0">
      <text>
        <r>
          <rPr>
            <b/>
            <sz val="9"/>
            <rFont val="Tahoma"/>
            <family val="2"/>
          </rPr>
          <t>Bastien Revel:</t>
        </r>
        <r>
          <rPr>
            <sz val="9"/>
            <rFont val="Tahoma"/>
            <family val="2"/>
          </rPr>
          <t xml:space="preserve">
Mercy Corps, UNDP</t>
        </r>
      </text>
    </comment>
    <comment ref="M7" authorId="0">
      <text>
        <r>
          <rPr>
            <b/>
            <sz val="9"/>
            <rFont val="Tahoma"/>
            <family val="2"/>
          </rPr>
          <t>Bastien Revel:</t>
        </r>
        <r>
          <rPr>
            <sz val="9"/>
            <rFont val="Tahoma"/>
            <family val="2"/>
          </rPr>
          <t xml:space="preserve">
70/30</t>
        </r>
      </text>
    </comment>
    <comment ref="M8" authorId="0">
      <text>
        <r>
          <rPr>
            <b/>
            <sz val="9"/>
            <rFont val="Tahoma"/>
            <family val="2"/>
          </rPr>
          <t>Bastien Revel:</t>
        </r>
        <r>
          <rPr>
            <sz val="9"/>
            <rFont val="Tahoma"/>
            <family val="2"/>
          </rPr>
          <t xml:space="preserve">
70/30</t>
        </r>
      </text>
    </comment>
    <comment ref="J9" authorId="0">
      <text>
        <r>
          <rPr>
            <b/>
            <sz val="9"/>
            <rFont val="Tahoma"/>
            <family val="2"/>
          </rPr>
          <t>Bastien Revel:</t>
        </r>
        <r>
          <rPr>
            <sz val="9"/>
            <rFont val="Tahoma"/>
            <family val="2"/>
          </rPr>
          <t xml:space="preserve">
Mercy Corps, UNDP</t>
        </r>
      </text>
    </comment>
    <comment ref="M9" authorId="0">
      <text>
        <r>
          <rPr>
            <b/>
            <sz val="9"/>
            <rFont val="Tahoma"/>
            <family val="2"/>
          </rPr>
          <t>Bastien Revel:</t>
        </r>
        <r>
          <rPr>
            <sz val="9"/>
            <rFont val="Tahoma"/>
            <family val="2"/>
          </rPr>
          <t xml:space="preserve">
50-50</t>
        </r>
      </text>
    </comment>
    <comment ref="J11" authorId="0">
      <text>
        <r>
          <rPr>
            <b/>
            <sz val="9"/>
            <rFont val="Tahoma"/>
            <family val="2"/>
          </rPr>
          <t>Bastien Revel:</t>
        </r>
        <r>
          <rPr>
            <sz val="9"/>
            <rFont val="Tahoma"/>
            <family val="2"/>
          </rPr>
          <t xml:space="preserve">
ILO</t>
        </r>
      </text>
    </comment>
    <comment ref="M11" authorId="0">
      <text>
        <r>
          <rPr>
            <b/>
            <sz val="9"/>
            <rFont val="Tahoma"/>
            <family val="2"/>
          </rPr>
          <t>Bastien Revel:</t>
        </r>
        <r>
          <rPr>
            <sz val="9"/>
            <rFont val="Tahoma"/>
            <family val="2"/>
          </rPr>
          <t xml:space="preserve">
50/50</t>
        </r>
      </text>
    </comment>
    <comment ref="M12" authorId="0">
      <text>
        <r>
          <rPr>
            <b/>
            <sz val="9"/>
            <rFont val="Tahoma"/>
            <family val="2"/>
          </rPr>
          <t>Bastien Revel:</t>
        </r>
        <r>
          <rPr>
            <sz val="9"/>
            <rFont val="Tahoma"/>
            <family val="2"/>
          </rPr>
          <t xml:space="preserve">
70/30</t>
        </r>
      </text>
    </comment>
    <comment ref="J14" authorId="0">
      <text>
        <r>
          <rPr>
            <b/>
            <sz val="9"/>
            <rFont val="Tahoma"/>
            <family val="2"/>
          </rPr>
          <t>Bastien Revel:</t>
        </r>
        <r>
          <rPr>
            <sz val="9"/>
            <rFont val="Tahoma"/>
            <family val="2"/>
          </rPr>
          <t xml:space="preserve">
all to check. </t>
        </r>
      </text>
    </comment>
    <comment ref="M14" authorId="0">
      <text>
        <r>
          <rPr>
            <b/>
            <sz val="9"/>
            <rFont val="Tahoma"/>
            <family val="2"/>
          </rPr>
          <t>Bastien Revel:</t>
        </r>
        <r>
          <rPr>
            <sz val="9"/>
            <rFont val="Tahoma"/>
            <family val="2"/>
          </rPr>
          <t xml:space="preserve">
50-50
workmen days</t>
        </r>
      </text>
    </comment>
    <comment ref="F16" authorId="0">
      <text>
        <r>
          <rPr>
            <b/>
            <sz val="9"/>
            <rFont val="Tahoma"/>
            <family val="2"/>
          </rPr>
          <t>Bastien Revel:</t>
        </r>
        <r>
          <rPr>
            <sz val="9"/>
            <rFont val="Tahoma"/>
            <family val="2"/>
          </rPr>
          <t xml:space="preserve">
70/30</t>
        </r>
      </text>
    </comment>
    <comment ref="I16" authorId="0">
      <text>
        <r>
          <rPr>
            <b/>
            <sz val="9"/>
            <rFont val="Tahoma"/>
            <family val="2"/>
          </rPr>
          <t>Bastien Revel:</t>
        </r>
        <r>
          <rPr>
            <sz val="9"/>
            <rFont val="Tahoma"/>
            <family val="2"/>
          </rPr>
          <t xml:space="preserve">
IRC, UNDP</t>
        </r>
      </text>
    </comment>
    <comment ref="J18" authorId="0">
      <text>
        <r>
          <rPr>
            <b/>
            <sz val="9"/>
            <rFont val="Tahoma"/>
            <family val="2"/>
          </rPr>
          <t>Bastien Revel:</t>
        </r>
        <r>
          <rPr>
            <sz val="9"/>
            <rFont val="Tahoma"/>
            <family val="2"/>
          </rPr>
          <t xml:space="preserve">
70/30</t>
        </r>
      </text>
    </comment>
    <comment ref="I18" authorId="0">
      <text>
        <r>
          <rPr>
            <b/>
            <sz val="9"/>
            <rFont val="Tahoma"/>
            <family val="2"/>
          </rPr>
          <t>Bastien Revel:</t>
        </r>
        <r>
          <rPr>
            <sz val="9"/>
            <rFont val="Tahoma"/>
            <family val="2"/>
          </rPr>
          <t xml:space="preserve">
IRC, UNDP</t>
        </r>
      </text>
    </comment>
    <comment ref="J21" authorId="0">
      <text>
        <r>
          <rPr>
            <b/>
            <sz val="9"/>
            <rFont val="Tahoma"/>
            <family val="2"/>
          </rPr>
          <t>Bastien Revel:</t>
        </r>
        <r>
          <rPr>
            <sz val="9"/>
            <rFont val="Tahoma"/>
            <family val="2"/>
          </rPr>
          <t xml:space="preserve">
ILO</t>
        </r>
      </text>
    </comment>
    <comment ref="M24" authorId="0">
      <text>
        <r>
          <rPr>
            <b/>
            <sz val="9"/>
            <rFont val="Tahoma"/>
            <family val="2"/>
          </rPr>
          <t>Bastien Revel:</t>
        </r>
        <r>
          <rPr>
            <sz val="9"/>
            <rFont val="Tahoma"/>
            <family val="2"/>
          </rPr>
          <t xml:space="preserve">
from last year</t>
        </r>
      </text>
    </comment>
    <comment ref="N24" authorId="0">
      <text>
        <r>
          <rPr>
            <b/>
            <sz val="9"/>
            <rFont val="Tahoma"/>
            <family val="2"/>
          </rPr>
          <t>Bastien Revel:</t>
        </r>
        <r>
          <rPr>
            <sz val="9"/>
            <rFont val="Tahoma"/>
            <family val="2"/>
          </rPr>
          <t xml:space="preserve">
from last year</t>
        </r>
      </text>
    </comment>
  </commentList>
</comments>
</file>

<file path=xl/sharedStrings.xml><?xml version="1.0" encoding="utf-8"?>
<sst xmlns="http://schemas.openxmlformats.org/spreadsheetml/2006/main" count="1604" uniqueCount="638">
  <si>
    <t>Frequency</t>
  </si>
  <si>
    <t>List below indicators used to evaluate the impact of programmes under outcome 1 i.e. measure Outcome 1</t>
  </si>
  <si>
    <t>Definition / Description</t>
  </si>
  <si>
    <t>Syrians</t>
  </si>
  <si>
    <t>Leb</t>
  </si>
  <si>
    <t>Indicator ID</t>
  </si>
  <si>
    <t>Outcome Indicators</t>
  </si>
  <si>
    <t>Output Indicator</t>
  </si>
  <si>
    <t>Budget</t>
  </si>
  <si>
    <t>Unit</t>
  </si>
  <si>
    <t>Akkar</t>
  </si>
  <si>
    <t>Baalbek-Hermel</t>
  </si>
  <si>
    <t>Beirut</t>
  </si>
  <si>
    <t>Bekaa</t>
  </si>
  <si>
    <t>Nabatiyeh</t>
  </si>
  <si>
    <t>North</t>
  </si>
  <si>
    <t>South</t>
  </si>
  <si>
    <t>A</t>
  </si>
  <si>
    <t>B</t>
  </si>
  <si>
    <t>C</t>
  </si>
  <si>
    <t>SYR</t>
  </si>
  <si>
    <t>LEB</t>
  </si>
  <si>
    <t>Mount Lebanon</t>
  </si>
  <si>
    <t>% Humanitarian</t>
  </si>
  <si>
    <t>% Stabilization</t>
  </si>
  <si>
    <t>Output Budget (USD)</t>
  </si>
  <si>
    <t>All Population</t>
  </si>
  <si>
    <t>PRL</t>
  </si>
  <si>
    <t>PRS</t>
  </si>
  <si>
    <t>Vulnerable Lebanese</t>
  </si>
  <si>
    <t>Persons Displaced from Syria</t>
  </si>
  <si>
    <t>In Need (persons)</t>
  </si>
  <si>
    <t>Means of Verification ( how to measure and who is responsible )</t>
  </si>
  <si>
    <t>Target 2018</t>
  </si>
  <si>
    <t>INST</t>
  </si>
  <si>
    <t>Institutions (List them)</t>
  </si>
  <si>
    <t xml:space="preserve">Budget </t>
  </si>
  <si>
    <t xml:space="preserve">1. Please place each Outcome on a separate Sheet within the same workbook. </t>
  </si>
  <si>
    <t>2. Please use excel formulas to sum up the budgets and % Humanitarian/Stabilization</t>
  </si>
  <si>
    <t>4. For institutions, you can modify the column headings and add as many columns as necessary; 1 colum per institution. Ex: School, Municipalities, SDCs , Water establishments, central ministries, etc…</t>
  </si>
  <si>
    <t>Coordinating Agency</t>
  </si>
  <si>
    <t>Contact Information</t>
  </si>
  <si>
    <t>5. Please make sure to update the document version on the summary page, Cell B1</t>
  </si>
  <si>
    <t>Target 2020</t>
  </si>
  <si>
    <t>List below indicators used to measure Output 1.1</t>
  </si>
  <si>
    <t>List below indicators used to measure Output 1.2</t>
  </si>
  <si>
    <t>Means of Verification ( how to measure and who is responsible, tools used )</t>
  </si>
  <si>
    <t>ex:Quarterly</t>
  </si>
  <si>
    <t>List Activities under this output 1.2</t>
  </si>
  <si>
    <t>List Activities under this output 1.1</t>
  </si>
  <si>
    <t>project reports from partners based on follow up individually (by phone or through visit) with all supported businesses after the support (grant, training) has been provided , 3 to 6 months after the support to the business ended.</t>
  </si>
  <si>
    <t>#</t>
  </si>
  <si>
    <t>Quarterly</t>
  </si>
  <si>
    <t>Bi-yearly</t>
  </si>
  <si>
    <t xml:space="preserve">As per MoET SME strategy: Micro-entreprises are below 10 employees, below LBP 500mn annual turn over. SMEs are between 10 and 100 employees, LBP 500Mn to 25Bn annual turnover.
Established means operational with income being accrued. </t>
  </si>
  <si>
    <t># jobs</t>
  </si>
  <si>
    <t># new business</t>
  </si>
  <si>
    <t>N/A</t>
  </si>
  <si>
    <t>MicroBsn
(1 job av.)</t>
  </si>
  <si>
    <t>SME
(2.5 job av)</t>
  </si>
  <si>
    <t>Startup
(3job av.)</t>
  </si>
  <si>
    <t>Coop
(5job av)</t>
  </si>
  <si>
    <t xml:space="preserve">Activity 1: Provision of business management training and business development services including marketing, book keeping, working conditions, accounting, legal support, community based management training, procurement support etc.  </t>
  </si>
  <si>
    <t>Activity 2: Expansion of financial services programs targeting vulnerable micro-enterprises</t>
  </si>
  <si>
    <t>Activity 3: Provision of (start-up) grants (cash / in-kind)</t>
  </si>
  <si>
    <t xml:space="preserve">Activity 4: Provide (green) technology transfers to MSMEs/cooperatives, where possible involving research centers and universities to support innovation </t>
  </si>
  <si>
    <t>Activity 5: Provide incubation services to start up and MSMEs</t>
  </si>
  <si>
    <t># of VCs valorized and/or being upgraded</t>
  </si>
  <si>
    <t># of jobs created/maintained in targeted value chains</t>
  </si>
  <si>
    <t>See above</t>
  </si>
  <si>
    <t>One value chain is considered upgraded when all the prioritized interventions identified in the assessment are addressed</t>
  </si>
  <si>
    <t>see above</t>
  </si>
  <si>
    <t>partners project report</t>
  </si>
  <si>
    <t>bi-yearly</t>
  </si>
  <si>
    <t>Local VC</t>
  </si>
  <si>
    <t>National VC
5 targeted</t>
  </si>
  <si>
    <t>VC</t>
  </si>
  <si>
    <t>Syr</t>
  </si>
  <si>
    <t>National job creation</t>
  </si>
  <si>
    <t>Job creation at Gv level</t>
  </si>
  <si>
    <t>Nat VC</t>
  </si>
  <si>
    <t>Loc VC</t>
  </si>
  <si>
    <t>Nat vc</t>
  </si>
  <si>
    <t>Loc vc</t>
  </si>
  <si>
    <t>Ak</t>
  </si>
  <si>
    <t>T5</t>
  </si>
  <si>
    <t>Bei</t>
  </si>
  <si>
    <t>BML</t>
  </si>
  <si>
    <t>Bek</t>
  </si>
  <si>
    <t>Bh</t>
  </si>
  <si>
    <t>So</t>
  </si>
  <si>
    <t>Nab</t>
  </si>
  <si>
    <t>Bsn</t>
  </si>
  <si>
    <t># people</t>
  </si>
  <si>
    <t>monthly</t>
  </si>
  <si>
    <t>Cadastres</t>
  </si>
  <si>
    <t>Cad</t>
  </si>
  <si>
    <t>Activity 2: Improve environmental assets (rainwater harvesting, forestation, reforestation, cleaning, pruning, felling, Cleaning of drainage, replenishment of nurseries,  canals and rivers for flood prevention, construction of flood mitigation reservoirs and structures such as contour walls, check dams, and plant green areas in order to reduce flood risk, etc...).</t>
  </si>
  <si>
    <t>Activity 1: Upgrade public and municipal infrastructure  (irrigation canals, agricultural roads, road rehabilitation, public infrastructure upgrading including painting, repair, public space rehabilitation, garbage collection and cleaning services…)</t>
  </si>
  <si>
    <t>partners report in activity info</t>
  </si>
  <si>
    <t>partners report in activity info based on percentage of beneficiaries</t>
  </si>
  <si>
    <t xml:space="preserve">Decree, regulation, administrative instruction related to decent work defined by the International Labour Organization and endorsed by the international community as being productive work in conditions of freedom, equity, security and human dignity. </t>
  </si>
  <si>
    <t>Official Gazettes</t>
  </si>
  <si>
    <t>Decrees</t>
  </si>
  <si>
    <t xml:space="preserve">Policy </t>
  </si>
  <si>
    <t>Activity 1: Address decent work deficits such as lack of regulations and enforcement that safeguard informal work, decreasing working conditions, child labour through capacity support to and policy development with the Ministry of Labour</t>
  </si>
  <si>
    <t>Activity 2: Support selected responses aiming at improving working conditions and to address child labor and growing informality (with child protection partners)</t>
  </si>
  <si>
    <t>Activity 3: Strengthen vulnerable enterprises through provision of measures to counter child-labor</t>
  </si>
  <si>
    <t>Activity 1: Support employment policy and labour market strategy</t>
  </si>
  <si>
    <t>Activity 2: Establish SME observatory</t>
  </si>
  <si>
    <t>Activity 3: Development of National Liveilhoods Plan</t>
  </si>
  <si>
    <t>Activity 4: Development of participatory local economic development plans with public and private actors.</t>
  </si>
  <si>
    <t xml:space="preserve">Activity 5: Support MOL and NEO in the development of in-house automation and database management to allow for the efficiency of work process and the analysis &amp; control of labor data. </t>
  </si>
  <si>
    <t>Activity 7 : Conduct livelihoods sector surveys and set up data collection systems for knowledge management in the Livelihoods sector</t>
  </si>
  <si>
    <t>Activity 8: Support/expand current effective institutions that support the existing ecosystem for MSME (Business Development Centers, LEDAs, MFI, Equity Financers ect….)</t>
  </si>
  <si>
    <t xml:space="preserve"># of policies, strategies and plans amended, formulated and/or proposed to the Government </t>
  </si>
  <si>
    <t>Official document from GoL and partners report</t>
  </si>
  <si>
    <t>#policy, strategy, plan</t>
  </si>
  <si>
    <t>List below indicators used to measure Output 1.3</t>
  </si>
  <si>
    <t>List Activities under this output 1.3</t>
  </si>
  <si>
    <t>Livelihoods</t>
  </si>
  <si>
    <t>MOSA, MoET</t>
  </si>
  <si>
    <t>UNDP</t>
  </si>
  <si>
    <t>Sector: Livelihoods</t>
  </si>
  <si>
    <t>all benef</t>
  </si>
  <si>
    <t>Results Structure</t>
  </si>
  <si>
    <t>Result Statement</t>
  </si>
  <si>
    <t>Appeal Indicators</t>
  </si>
  <si>
    <t>Units/Targets</t>
  </si>
  <si>
    <t>Target</t>
  </si>
  <si>
    <t>Unit cost</t>
  </si>
  <si>
    <t>Length of programmes to reach target (year)</t>
  </si>
  <si>
    <t>Job creation impact</t>
  </si>
  <si>
    <t>Job created or maintained / year</t>
  </si>
  <si>
    <t>Total budget</t>
  </si>
  <si>
    <t>check</t>
  </si>
  <si>
    <t>Definition: The immediate results achieved at the program level through the execution of activities.</t>
  </si>
  <si>
    <t>Micro entreprises</t>
  </si>
  <si>
    <t>SME</t>
  </si>
  <si>
    <t>Start up</t>
  </si>
  <si>
    <t>Cooperatives</t>
  </si>
  <si>
    <t>Indicative activities (current): 
Business management trainings, Micro-finance, Grants, Technology transfer
additions: 
STEP (SMEs receiveing matching grants to job creation?), Sensitization on child labour</t>
  </si>
  <si>
    <t>per business</t>
  </si>
  <si>
    <t>OUTPUT Competitive integrated value chains (VC) strengthened and upgraded</t>
  </si>
  <si>
    <t xml:space="preserve"># of VCs valorized and/or being upgraded
# of jobs created/maintained in targeted value chains
</t>
  </si>
  <si>
    <t>Local value chain</t>
  </si>
  <si>
    <t xml:space="preserve">National value chain </t>
  </si>
  <si>
    <t>Indicative activities: 
VC assessment, identification of priority interventions, intervention</t>
  </si>
  <si>
    <t>13,000/job created</t>
  </si>
  <si>
    <t xml:space="preserve"> </t>
  </si>
  <si>
    <t>Indicative activities: Municipal infrastructure, environmental assets rehabilitation</t>
  </si>
  <si>
    <t>1500 / worker</t>
  </si>
  <si>
    <t>temporary</t>
  </si>
  <si>
    <t>full time equivalent (60k beneficiaries total)</t>
  </si>
  <si>
    <t>1 LED</t>
  </si>
  <si>
    <t>N/A - nation wide</t>
  </si>
  <si>
    <t>244 municipalities</t>
  </si>
  <si>
    <t>Output 1.2:  Competitive integrated value chains (VC) strengthened and upgraded</t>
  </si>
  <si>
    <t>6 Ministries (MOSA, MOET, MOL, MOInd, MOAg, MEHE)</t>
  </si>
  <si>
    <t># targeted vulnerable persons engaged in home-based income generation (at least 50% women)</t>
  </si>
  <si>
    <t># of targeted vulnerable persons employed through public infrastructure and environmental assets improvement (30% women)</t>
  </si>
  <si>
    <t xml:space="preserve"># of new Lebanese MSMEs established (functional after 6 months)
</t>
  </si>
  <si>
    <t xml:space="preserve">Activity 1: Assessments to identify value chains in need of support at the territorial level, focusing on strategic pro-poor value chains / sectors and to identify gaps or constraints in the value chains. </t>
  </si>
  <si>
    <t># total number of job created / maintained</t>
  </si>
  <si>
    <t>List below indicators used to evaluate the impact of programmes under outcome 2</t>
  </si>
  <si>
    <t># number of training beneficiaries (50% women)</t>
  </si>
  <si>
    <t>Job seekers supported through market-based skills trainings</t>
  </si>
  <si>
    <t>Job seekers supported through internships, apprenticeships, on-the-job schemes</t>
  </si>
  <si>
    <t>Official Gazettes &amp; Official document from GoL and partners report</t>
  </si>
  <si>
    <t>Decrees, policies, strategies, plans</t>
  </si>
  <si>
    <t># of policies, regulations and strategies amended and/or proposed approved by the Government</t>
  </si>
  <si>
    <t>Outcome Indicator</t>
  </si>
  <si>
    <t>Decree, regulation,  policy and strategy in place to support livelihoods, job creation, MSMEs or business eco-system</t>
  </si>
  <si>
    <t>World Bank Doing business ranking</t>
  </si>
  <si>
    <t>Annually</t>
  </si>
  <si>
    <t>Score / ranking</t>
  </si>
  <si>
    <t>Doing Business provides objective measures of business regulations (and their enforcement) and enables investors and entrepreneurs to assess the quality of a country's business environment</t>
  </si>
  <si>
    <t>Activity 3: Total value of capital investment contracted through private sector</t>
  </si>
  <si>
    <t>Activty 4: # of targeted villages benefiting from improved infrastructure and environmental assets</t>
  </si>
  <si>
    <t>Increase in ranking of Doing Business (World Bank)</t>
  </si>
  <si>
    <t># of workmen days generated</t>
  </si>
  <si>
    <t># people hired by contractors for the project(s)</t>
  </si>
  <si>
    <t># of days during which public work beneficiaries are mobilized through municipal infrastructure and environmental assets improvement</t>
  </si>
  <si>
    <t>Individuals using the skills gained in trainings for activities at home</t>
  </si>
  <si>
    <t>Individuals supported to access employment after receiving employment services and trainings</t>
  </si>
  <si>
    <t>Individuals receiving entrepreneurship support (through start-up grants, incubation services…)</t>
  </si>
  <si>
    <t>List below indicators used to measure Output 2.1</t>
  </si>
  <si>
    <t>List Activities under this output 2.1</t>
  </si>
  <si>
    <t>List below indicators used to measure Output 2.2</t>
  </si>
  <si>
    <t>List Activities under this output 2.2</t>
  </si>
  <si>
    <t>Targets 2018</t>
  </si>
  <si>
    <t>year 2018</t>
  </si>
  <si>
    <t>Targets per governorate (Mandatory at output level) - required for 2018 only</t>
  </si>
  <si>
    <t>Target 2019</t>
  </si>
  <si>
    <t>Targeted 2018</t>
  </si>
  <si>
    <t>Indicative Target 2019</t>
  </si>
  <si>
    <t>Indicative target 2020</t>
  </si>
  <si>
    <t>Hiba Douaihy, hibadou.mosa@gmail.com; Johnny Matta, jmatta@economy.gov.lb; Bastien Revel, bastien.revel@undp.org;</t>
  </si>
  <si>
    <t>Activity info</t>
  </si>
  <si>
    <t>LCRP 2018 - Results Framework</t>
  </si>
  <si>
    <t># of targeted vulnerable persons employed through public infrastructure and environmental assets improvement (30% women)
# of workmen days generated</t>
  </si>
  <si>
    <t>Targets 2020</t>
  </si>
  <si>
    <t>4 -  child labour, informality, monitoring of SMEs, Labour Inspection capacity</t>
  </si>
  <si>
    <t>Policy/Doing business</t>
  </si>
  <si>
    <t>List below indicators used to evaluate the impact of programmes under outcome 3</t>
  </si>
  <si>
    <t>List below indicators used to measure Output 3.1</t>
  </si>
  <si>
    <t># of decent work regulations amended and/or proposed approved by the Government</t>
  </si>
  <si>
    <t>List Activities under this output 3.1</t>
  </si>
  <si>
    <t>List below indicators used to measure Output 3.2</t>
  </si>
  <si>
    <t>List Activities under this output 3.2</t>
  </si>
  <si>
    <t>Targets 2019 (Optional)</t>
  </si>
  <si>
    <t>Project reports from partners based on follow up individually (by phone or through visit) with all supported businesses after the support (grant, training) has been provided , 3 to 6 months after the support to the business ended.</t>
  </si>
  <si>
    <t># number of jobseekers placed into jobs (at least 30% women)
# targeted vulnerable persons engaged in home-based income generation (at least 50% women)</t>
  </si>
  <si>
    <t>individual beneficiaries (all in skills training, benefitting from either internship or employment services as well)</t>
  </si>
  <si>
    <t>Indicative activities: Employment services, Accelerated skills training, internship/apprenticeship
Additions: Market research, curriculum design (incl. #hours)</t>
  </si>
  <si>
    <t xml:space="preserve"># of policies, regulations and strategies amended and/or proposed approved by the Government
Increase in ranking of Doing Business (World Bank)
</t>
  </si>
  <si>
    <t>Activity 6: Support to strengthen the Technical and Vocational Education and Training (TVET) and improve quality of skills training curricula to reflect market needs (together with Education Sector and relevant ministries)</t>
  </si>
  <si>
    <t>LCRP 2018/2020 Sector Logframe template</t>
  </si>
  <si>
    <t xml:space="preserve">3. 2018/2019 budgets and targets are mandatory </t>
  </si>
  <si>
    <t>6. File Name should be "LCRP_2018_SECTOR_LOGFRAME_Version</t>
  </si>
  <si>
    <t>Activity 2: Implement  value chain interventions addressing main gaps in value chains</t>
  </si>
  <si>
    <t>Outcomes</t>
  </si>
  <si>
    <t>Outputs</t>
  </si>
  <si>
    <t># value chains</t>
  </si>
  <si>
    <t>project reports from partners based on follow up monitoring to supported Lebanese MSMEs, activity info</t>
  </si>
  <si>
    <t xml:space="preserve">New jobs created in supported Lebanese MSMEs - Businesses who have hired new employees since the support was provided.
Jobs maintained in supported Lebanese MSMEs - For micro-businesses, it can be considered that any support provided helps the micro-business to maintain the jobs  in this business = the #employees of the micro-businesses they support as well as self-employed individuals (for micro-finance support). For SMEs this should be asked as part of the follow up underlined above. </t>
  </si>
  <si>
    <t>Activity 4: Support the MoL in areas of labor administration, implementation of the decent work country programme, and labour inspection capacity</t>
  </si>
  <si>
    <t>37,650 individual benefitting indirectly through 251 projects - one per vulnerable cadastre</t>
  </si>
  <si>
    <t>Coop
(4job av)</t>
  </si>
  <si>
    <t>Total</t>
  </si>
  <si>
    <t>Targets 2020 (Optional)</t>
  </si>
  <si>
    <t>Jobs</t>
  </si>
  <si>
    <t>prs</t>
  </si>
  <si>
    <t>prl</t>
  </si>
  <si>
    <t>leb</t>
  </si>
  <si>
    <t xml:space="preserve"> Total value of capital investment contracted through private sector</t>
  </si>
  <si>
    <t>value of investment (equipment, material, labour)</t>
  </si>
  <si>
    <t>USD value</t>
  </si>
  <si>
    <t>vuln pop in 251</t>
  </si>
  <si>
    <t>% population</t>
  </si>
  <si>
    <t>Job seekers placed into jobs (at least 30% women)</t>
  </si>
  <si>
    <t>Policy</t>
  </si>
  <si>
    <t>Livelihoods: Total budget (USD)</t>
  </si>
  <si>
    <t>20 VCs upgraded</t>
  </si>
  <si>
    <t>25 VCs upgraded</t>
  </si>
  <si>
    <t>20VCs</t>
  </si>
  <si>
    <t>25 Value Chains (average 3 per govenorate)
500 direct beneficiaries per value chain intervention
50 MSME benefitting</t>
  </si>
  <si>
    <t>14 VCs upgraded</t>
  </si>
  <si>
    <t>In 2018: 251 cadasters - 37,650 beneficiaries</t>
  </si>
  <si>
    <t>Job creation impact 2019</t>
  </si>
  <si>
    <t>25 VCs</t>
  </si>
  <si>
    <t>Targets per governorate (Mandatory at output level) - required for 2017 only</t>
  </si>
  <si>
    <t>Jobs 2019</t>
  </si>
  <si>
    <t>Jobs 2018</t>
  </si>
  <si>
    <t>Average Job creation annually (2018-2020)</t>
  </si>
  <si>
    <t>Total 2018</t>
  </si>
  <si>
    <t>Total 2019</t>
  </si>
  <si>
    <t>Total 2020</t>
  </si>
  <si>
    <t>Average VC job creation 2018-2020</t>
  </si>
  <si>
    <t>Activity 5: Conduct research and surveys on decent work</t>
  </si>
  <si>
    <t>Lead Ministries</t>
  </si>
  <si>
    <t xml:space="preserve"># of MSMEs &amp; cooperatives supported through business management trainings, financial/non-financial services or technology transfer.  </t>
  </si>
  <si>
    <t xml:space="preserve">Micro-enterprises, start-ups, SMEs &amp; cooperatives benefiting from one or all of the following services: entrepreneurial training, access to financial/non-financial  services or technology transfer.  </t>
  </si>
  <si>
    <t>Monthly</t>
  </si>
  <si>
    <t>A/C</t>
  </si>
  <si>
    <t>Activity 1: Implementation of (paid) internship, on-the-job training or apprenticeship programmes for youth within Lebanese entities</t>
  </si>
  <si>
    <t xml:space="preserve">Activity 2: Support the activities (including access to labour market information; career guidance; counseling; job matching; etc) and strengthen the capacity of employment services centers and the establishment of new centers where needed. </t>
  </si>
  <si>
    <t xml:space="preserve"># number of training beneficiaries (50% women) 
</t>
  </si>
  <si>
    <t>Output 2.2: Career guidance, job matching and apprentice/internship schemes offered to job seekers</t>
  </si>
  <si>
    <t># business</t>
  </si>
  <si>
    <t>2016 target and breakdown</t>
  </si>
  <si>
    <t>In 2018, 8,012 jobs created/maintained
1,129,500 workmen days
3,000 job seekers access employment</t>
  </si>
  <si>
    <t>3,090 businesses</t>
  </si>
  <si>
    <t>2,955 businesses</t>
  </si>
  <si>
    <t>In 2019: 251 cadasters - 37,650 beneficiaries</t>
  </si>
  <si>
    <t>In 2020: 251 cadasters - 37,650 beneficiaries</t>
  </si>
  <si>
    <t>3,090 MSMEs</t>
  </si>
  <si>
    <t>2,955 MSMEs</t>
  </si>
  <si>
    <t>2,770 MSMEs</t>
  </si>
  <si>
    <t>2,770 businesses</t>
  </si>
  <si>
    <t>Jobs 2020</t>
  </si>
  <si>
    <t>3,090 MSMEs (programmes are expected to last more than one yar)
3 jobs per MSME
4,935 direct beneficiaries</t>
  </si>
  <si>
    <t>Baalbek</t>
  </si>
  <si>
    <t xml:space="preserve">South </t>
  </si>
  <si>
    <t>Target 2019 (businesses)</t>
  </si>
  <si>
    <t>ML</t>
  </si>
  <si>
    <t>Target 2020 (businesses)</t>
  </si>
  <si>
    <t>Target 2018 (businesses)</t>
  </si>
  <si>
    <t>Activity 6: Develop advocacy/awareness-raising campaigns and material on labor standards and regulations</t>
  </si>
  <si>
    <t>Policy, strategy, plan in place to support livelihoods, job creations, MSMEs or business eco-system</t>
  </si>
  <si>
    <t>Activity 6: Support social enterprise projects</t>
  </si>
  <si>
    <t>Activity 9: Support MoET in the implementation of its SME Strategy</t>
  </si>
  <si>
    <t>Activity 3: Support for activities pertaining to support for foreign market access (particularly the EU,GCC, Eastern European countries, MERCOSUR, Iran and Russia)</t>
  </si>
  <si>
    <t>Activity 7: Fill identified financing gaps by supporting development of financing alternatives (debt, equity, grants) at the growth stage of SMEs</t>
  </si>
  <si>
    <t>Baseline 2018</t>
  </si>
  <si>
    <t>Baseline 2019</t>
  </si>
  <si>
    <t>2 (support to decent work country programme &amp; national action plan on worst forms of child labour)</t>
  </si>
  <si>
    <t>Businesses</t>
  </si>
  <si>
    <t>Project reports from partners based on follow up monitoring to supported Lebanese MSMEs, activity info</t>
  </si>
  <si>
    <t>OUTPUT 1.2: Competitive integrated value chains (VC) strengthened and upgraded</t>
  </si>
  <si>
    <t>OUTPUT 2.2: Career guidance, job matching and apprentice/internship schemes offered to job seekers</t>
  </si>
  <si>
    <t>OUTPUT 3.1: Decrees/regulations/awareness-raising material on decent work conditions developed and or/approved</t>
  </si>
  <si>
    <t>Awareness-raising/advocacy tools and material developed by partners to build the capacity of all relevant stakeholders and promote/improve decent work conditions in Lebanon.</t>
  </si>
  <si>
    <t>Partners reporting on Activity Info</t>
  </si>
  <si>
    <t>Material</t>
  </si>
  <si>
    <t>3 -  awareness-raising material developed for MSMEs/partners on labour regulations, decent work, child labour…</t>
  </si>
  <si>
    <t># target Lebanese MSMEs that report increased performance and expanded market access (new clients, contracts, market access) as a result of programme activities</t>
  </si>
  <si>
    <t>Supported Lebanese  MSMEs and cooperatives who report increasing profitability / production / expanded market access (new contracts, clients, market) 6 months after receiving support</t>
  </si>
  <si>
    <t xml:space="preserve"> OUTPUT Career guidance, job matching and apprentice/internship schemes offered to job seekers</t>
  </si>
  <si>
    <t># number of  individuals  benefiting from internships/apprenticeships/on-the-job trainings
# of targeted job seekers supported to access employment through career guidance, coaching or individual follow-up services (at least 30% women)
# of targeted job seekers supported to start their own business (at least 30% women)</t>
  </si>
  <si>
    <t># awareness-raising/advocacy material on labour regulations and decent work developed</t>
  </si>
  <si>
    <t>126th (rank)</t>
  </si>
  <si>
    <r>
      <t>Gradual increase in ranking to pre-crisis level (</t>
    </r>
    <r>
      <rPr>
        <b/>
        <sz val="11"/>
        <rFont val="Calibri"/>
        <family val="2"/>
      </rPr>
      <t>124th</t>
    </r>
    <r>
      <rPr>
        <sz val="11"/>
        <rFont val="Calibri"/>
        <family val="2"/>
      </rPr>
      <t xml:space="preserve">)
</t>
    </r>
  </si>
  <si>
    <r>
      <t>Gradual increase in ranking to imporove pre-crisis level (</t>
    </r>
    <r>
      <rPr>
        <b/>
        <sz val="11"/>
        <rFont val="Calibri"/>
        <family val="2"/>
      </rPr>
      <t>122th</t>
    </r>
    <r>
      <rPr>
        <sz val="11"/>
        <rFont val="Calibri"/>
        <family val="2"/>
      </rPr>
      <t>)</t>
    </r>
  </si>
  <si>
    <r>
      <t>Gradual increase in ranking to imporove pre-crisis level (</t>
    </r>
    <r>
      <rPr>
        <b/>
        <sz val="11"/>
        <rFont val="Calibri"/>
        <family val="2"/>
      </rPr>
      <t>120th</t>
    </r>
    <r>
      <rPr>
        <sz val="11"/>
        <rFont val="Calibri"/>
        <family val="2"/>
      </rPr>
      <t>)</t>
    </r>
  </si>
  <si>
    <t>12 - Development of Labour Market Strategy, Establish SME Observatory, Develop National Livelihoods Plan, 2 LED, NEO Database, Work with MEHE and other relevant ministries on TVET coordination and reform, 2 National Survey (labour market needs, value chain assessments...). 3 Industrial Zones</t>
  </si>
  <si>
    <r>
      <rPr>
        <b/>
        <sz val="11"/>
        <rFont val="Calibri"/>
        <family val="2"/>
      </rPr>
      <t>19 policies / regulations / strategies</t>
    </r>
    <r>
      <rPr>
        <sz val="11"/>
        <rFont val="Calibri"/>
        <family val="2"/>
      </rPr>
      <t xml:space="preserve"> / </t>
    </r>
    <r>
      <rPr>
        <b/>
        <sz val="11"/>
        <rFont val="Calibri"/>
        <family val="2"/>
      </rPr>
      <t xml:space="preserve">advocacy/awareness raising materials </t>
    </r>
    <r>
      <rPr>
        <sz val="11"/>
        <rFont val="Calibri"/>
        <family val="2"/>
      </rPr>
      <t>(including</t>
    </r>
    <r>
      <rPr>
        <b/>
        <sz val="11"/>
        <rFont val="Calibri"/>
        <family val="2"/>
      </rPr>
      <t xml:space="preserve"> 4</t>
    </r>
    <r>
      <rPr>
        <sz val="11"/>
        <rFont val="Calibri"/>
        <family val="2"/>
      </rPr>
      <t xml:space="preserve"> related to decent work - child labour, informality, monitoring of SMEs, Labour Inspection capacity - </t>
    </r>
    <r>
      <rPr>
        <b/>
        <sz val="11"/>
        <rFont val="Calibri"/>
        <family val="2"/>
      </rPr>
      <t>3</t>
    </r>
    <r>
      <rPr>
        <sz val="11"/>
        <rFont val="Calibri"/>
        <family val="2"/>
      </rPr>
      <t xml:space="preserve"> related to advocacy /awareness-raising - and</t>
    </r>
    <r>
      <rPr>
        <b/>
        <sz val="11"/>
        <rFont val="Calibri"/>
        <family val="2"/>
      </rPr>
      <t xml:space="preserve"> 12</t>
    </r>
    <r>
      <rPr>
        <sz val="11"/>
        <rFont val="Calibri"/>
        <family val="2"/>
      </rPr>
      <t xml:space="preserve"> related to the enabling environment)
</t>
    </r>
  </si>
  <si>
    <t xml:space="preserve">4
3
</t>
  </si>
  <si>
    <r>
      <rPr>
        <b/>
        <sz val="11"/>
        <rFont val="Calibri"/>
        <family val="2"/>
      </rPr>
      <t xml:space="preserve">19 policies / regulations / strategies / awareness-raising material </t>
    </r>
    <r>
      <rPr>
        <sz val="11"/>
        <rFont val="Calibri"/>
        <family val="2"/>
      </rPr>
      <t>(including</t>
    </r>
    <r>
      <rPr>
        <b/>
        <sz val="11"/>
        <rFont val="Calibri"/>
        <family val="2"/>
      </rPr>
      <t xml:space="preserve"> 4</t>
    </r>
    <r>
      <rPr>
        <sz val="11"/>
        <rFont val="Calibri"/>
        <family val="2"/>
      </rPr>
      <t xml:space="preserve"> related to decent work, </t>
    </r>
    <r>
      <rPr>
        <b/>
        <sz val="11"/>
        <rFont val="Calibri"/>
        <family val="2"/>
      </rPr>
      <t>3</t>
    </r>
    <r>
      <rPr>
        <sz val="11"/>
        <rFont val="Calibri"/>
        <family val="2"/>
      </rPr>
      <t xml:space="preserve"> to awareness raising/advocacy, and</t>
    </r>
    <r>
      <rPr>
        <b/>
        <sz val="11"/>
        <rFont val="Calibri"/>
        <family val="2"/>
      </rPr>
      <t xml:space="preserve"> 9</t>
    </r>
    <r>
      <rPr>
        <sz val="11"/>
        <rFont val="Calibri"/>
        <family val="2"/>
      </rPr>
      <t xml:space="preserve"> related to the enabling environment)
</t>
    </r>
  </si>
  <si>
    <r>
      <rPr>
        <b/>
        <sz val="11"/>
        <rFont val="Calibri"/>
        <family val="2"/>
      </rPr>
      <t>19 policies / regulations / strategies / awareness-raising material</t>
    </r>
    <r>
      <rPr>
        <sz val="11"/>
        <rFont val="Calibri"/>
        <family val="2"/>
      </rPr>
      <t xml:space="preserve"> (including </t>
    </r>
    <r>
      <rPr>
        <b/>
        <sz val="11"/>
        <rFont val="Calibri"/>
        <family val="2"/>
      </rPr>
      <t xml:space="preserve">4 </t>
    </r>
    <r>
      <rPr>
        <sz val="11"/>
        <rFont val="Calibri"/>
        <family val="2"/>
      </rPr>
      <t xml:space="preserve">related to decent work, </t>
    </r>
    <r>
      <rPr>
        <b/>
        <sz val="11"/>
        <rFont val="Calibri"/>
        <family val="2"/>
      </rPr>
      <t>3</t>
    </r>
    <r>
      <rPr>
        <sz val="11"/>
        <rFont val="Calibri"/>
        <family val="2"/>
      </rPr>
      <t xml:space="preserve"> to awareness raising/advocacy, and </t>
    </r>
    <r>
      <rPr>
        <b/>
        <sz val="11"/>
        <rFont val="Calibri"/>
        <family val="2"/>
      </rPr>
      <t>9</t>
    </r>
    <r>
      <rPr>
        <sz val="11"/>
        <rFont val="Calibri"/>
        <family val="2"/>
      </rPr>
      <t xml:space="preserve"> related to the enabling environment)</t>
    </r>
  </si>
  <si>
    <t>350,000 per LED
1mUSD SME observatory
1.5m USD NEO support
1.5m USD TVET support
1.5m USD assessments
1mUSD per industrial zones</t>
  </si>
  <si>
    <t>Activity 10: Support MoL in development of Industrial Zones</t>
  </si>
  <si>
    <t>OUTPUT Decrees/regulations/awareness-raising material on decent work conditions developed and or/approved</t>
  </si>
  <si>
    <t># number of  individuals  benefiting from internships/apprenticeships/on-the-job trainings (at least 50% women)</t>
  </si>
  <si>
    <t># of targeted job seekers supported to access employment through career guidance, coaching or individual follow-up services (at least 50% women)</t>
  </si>
  <si>
    <t># of targeted job seekers supported to start their own business (at least 50% women)</t>
  </si>
  <si>
    <t># of job seekers placed into jobs (at least 50% women)</t>
  </si>
  <si>
    <t>OUTCOME 2: Improve workforce employability</t>
  </si>
  <si>
    <t>OUTCOME 1: Stimulate local economic development and market systems to create income generating opportunities and employment</t>
  </si>
  <si>
    <t>OUTCOME 3: Strengthen policy development and enabling environment for job creation</t>
  </si>
  <si>
    <t>OUTPUT 1.1: Series of technical and financial support to MSME sector to enable growth and job creation provided</t>
  </si>
  <si>
    <t>OUTPUT 1.3: Job creation in vulnerable areas fostered through labour-intensive investments in productive public infrastructure and environmental assets</t>
  </si>
  <si>
    <t>OUTPUT 2.1: Technical support to vulnerable people in marketable skills provided</t>
  </si>
  <si>
    <t>OUTPUT 3.2: Policies, strategies and plans supporting job creation, MSMEs and livelihoods developed to improve the business eco-system</t>
  </si>
  <si>
    <t>Output 3.1:  Decrees/regulations/awareness-raising material on decent work conditions developed and or/approved</t>
  </si>
  <si>
    <t>Output 3.2: Policies, strategies and plans supporting job creation, MSMEs and livelihoods developed to improve the business eco-system</t>
  </si>
  <si>
    <t>Output 1.1:  Series of technical and financial support to MSME sector to enable growth and job creation provided</t>
  </si>
  <si>
    <t>Output 1.3: Job creation in vulnerable areas fostered through labour-intensive investments in productive public infrastructure and environmental assets</t>
  </si>
  <si>
    <t>Output 2.1:  Technical support to vulnerable people in marketable skills provided</t>
  </si>
  <si>
    <t>OUTPUT Policies, strategies and plans supporting job creation, MSMEs and livelihoods developed to improve the business eco-system</t>
  </si>
  <si>
    <t>Version 12</t>
  </si>
  <si>
    <t>Outcome 1: Stimulate local economic development and market systems to create income generating opportunities and employment</t>
  </si>
  <si>
    <t>Outcome 2: Improve workforce employability</t>
  </si>
  <si>
    <t>Outcome 3: Strengthen policy development and enabling environment for job creation</t>
  </si>
  <si>
    <t>OUTCOME 3: Strengthen policy development and enabling environment for job creation
In activity info: Decent work &amp; policy and strategies supporting job creation</t>
  </si>
  <si>
    <t>Baseline 2016</t>
  </si>
  <si>
    <t>6 VCs</t>
  </si>
  <si>
    <t>7,588 (14% women)</t>
  </si>
  <si>
    <t>19,975 (68% women)</t>
  </si>
  <si>
    <t>3,301 (55% women)</t>
  </si>
  <si>
    <t>5,301 (56% women)</t>
  </si>
  <si>
    <t>5 (support to MoET SME strategy, MEHE TVET strategy, national livelihoods assessments (Mind the gap, value  chain assessments…), industrial zones</t>
  </si>
  <si>
    <t>Targets 2019</t>
  </si>
  <si>
    <t>OUTPUT Series of technical and financial support to MSME sector to enable growth and job creation provided
In Activity Info : MSME/Cooperatives Support and Value Chains</t>
  </si>
  <si>
    <r>
      <t># new commercial linkages for existing Lebanese MSMEs</t>
    </r>
    <r>
      <rPr>
        <sz val="11"/>
        <rFont val="Calibri"/>
        <family val="2"/>
      </rPr>
      <t xml:space="preserve"> (new contract, client, market accessed)
</t>
    </r>
    <r>
      <rPr>
        <b/>
        <sz val="11"/>
        <rFont val="Calibri"/>
        <family val="2"/>
      </rPr>
      <t># target Lebanese MSMEs that report increased profitability, improved production</t>
    </r>
    <r>
      <rPr>
        <sz val="11"/>
        <rFont val="Calibri"/>
        <family val="2"/>
      </rPr>
      <t xml:space="preserve"> as a result of programme activities
# </t>
    </r>
    <r>
      <rPr>
        <b/>
        <sz val="11"/>
        <rFont val="Calibri"/>
        <family val="2"/>
      </rPr>
      <t>of MSMEs &amp; cooperatives supported through business management trainings, financial/non-financial services or technology transfer.</t>
    </r>
    <r>
      <rPr>
        <sz val="11"/>
        <rFont val="Calibri"/>
        <family val="2"/>
      </rPr>
      <t xml:space="preserve">
</t>
    </r>
    <r>
      <rPr>
        <b/>
        <sz val="11"/>
        <rFont val="Calibri"/>
        <family val="2"/>
      </rPr>
      <t># of new Lebanese MSMEs established</t>
    </r>
    <r>
      <rPr>
        <sz val="11"/>
        <rFont val="Calibri"/>
        <family val="2"/>
      </rPr>
      <t xml:space="preserve"> (functional after 6 months)</t>
    </r>
  </si>
  <si>
    <r>
      <t>OUTPUT Job creation in vulnerable areas fostered through labour-intensive investments in productive public infrastructure and environmental assets</t>
    </r>
    <r>
      <rPr>
        <b/>
        <sz val="12"/>
        <rFont val="Times New Roman"/>
        <family val="1"/>
      </rPr>
      <t xml:space="preserve">
In Activity Info: Job creation through investment in infrastructures and assets</t>
    </r>
  </si>
  <si>
    <r>
      <rPr>
        <b/>
        <sz val="12"/>
        <rFont val="Times New Roman"/>
        <family val="1"/>
      </rPr>
      <t>cadaster</t>
    </r>
    <r>
      <rPr>
        <sz val="12"/>
        <rFont val="Times New Roman"/>
        <family val="2"/>
      </rPr>
      <t xml:space="preserve"> (in each 251 vulnerable cadastre average of 4 cycles of 3 months of 50 beneficiaries for 10 days average/months @ 20$ per day, 40% total cost going to labour) - 37,650 beneficiaries total</t>
    </r>
  </si>
  <si>
    <r>
      <t xml:space="preserve"> OUTPUT  </t>
    </r>
    <r>
      <rPr>
        <b/>
        <sz val="12"/>
        <rFont val="Times New Roman"/>
        <family val="1"/>
      </rPr>
      <t>Technical support to vulnerable people in marketable skills provided</t>
    </r>
  </si>
  <si>
    <t xml:space="preserve"># of decent work regulations amended and/or proposed approved by the Government
# awareness-raising/advocacy material on labour regulations and decent work developed
</t>
  </si>
  <si>
    <t># of decent work regulations amended and/or proposed approved by the Government
# awareness-raising/advocacy material on labour regulations and decent work developed</t>
  </si>
  <si>
    <t>Support employment policy and labour market strategy, support MoET on implementation SME Strategy, Establish SME observatory, Development of National Liveilhoods Plan, Development of LED Plans, Support MOL in labour market database &amp; analysis, support MEHE in review of TVET, Livelihoods Sector Surveys, Support MSMEs ecosystem, Industrial Zones</t>
  </si>
  <si>
    <t xml:space="preserve">Go here for the full reporting guide of the livelihoods sector: </t>
  </si>
  <si>
    <t>Activity Info Form</t>
  </si>
  <si>
    <t>Indicators</t>
  </si>
  <si>
    <t>Description</t>
  </si>
  <si>
    <t>Description Arabic</t>
  </si>
  <si>
    <r>
      <rPr>
        <sz val="8"/>
        <rFont val="Arial"/>
        <family val="2"/>
      </rPr>
      <t># new commercial linkages for existing Lebanese MSMEs/cooperatives (new contract(s), client(s), market(s) accessed)</t>
    </r>
    <r>
      <rPr>
        <sz val="8"/>
        <color indexed="10"/>
        <rFont val="Arial"/>
        <family val="2"/>
      </rPr>
      <t xml:space="preserve">
</t>
    </r>
    <r>
      <rPr>
        <sz val="8"/>
        <color indexed="57"/>
        <rFont val="Arial"/>
        <family val="2"/>
      </rPr>
      <t>In Activity Info:# of new commercial linkages for MSMEs</t>
    </r>
  </si>
  <si>
    <t>Linkages</t>
  </si>
  <si>
    <r>
      <t xml:space="preserve">Supported Lebanese MSMEs, cooperatives who report accessing new contract(s), client(s), market(s), 6 and 12  months after receiving support. 
Indicator for all partners supporting MSMEs. It includes, but is not limited to, businesses directly supported by Value Chain interventions. 
Partners who are unable to report against this outcome indicator 6 months after providing support will be able to do so in a 12 months period instead.
Supported businesses include: 
</t>
    </r>
    <r>
      <rPr>
        <b/>
        <sz val="8"/>
        <rFont val="Arial"/>
        <family val="2"/>
      </rPr>
      <t>MSMEs</t>
    </r>
    <r>
      <rPr>
        <sz val="8"/>
        <rFont val="Arial"/>
        <family val="2"/>
      </rPr>
      <t xml:space="preserve">: As per MoET SME strategy:
*Nano enterprises are below 4 employees, below LBP 50mn annual turnover.
*Micro-enterprises are below 10 employees, below LBP 500mn annual turnover.
*SMEs are between 10 and 100 employees, LBP 500Mn to 25Bn annual turnover (Small: less than LBP 5 billion and less than 50 employees. Medium: less than LBP 25 billion and less than 100 employees).
</t>
    </r>
    <r>
      <rPr>
        <b/>
        <sz val="8"/>
        <rFont val="Arial"/>
        <family val="2"/>
      </rPr>
      <t>Cooperatives</t>
    </r>
    <r>
      <rPr>
        <sz val="8"/>
        <rFont val="Arial"/>
        <family val="2"/>
      </rPr>
      <t xml:space="preserve">: an enterprise or organization owned by, controlled and operated for the benefit of those using its services. Typically, agricultural but can be related to handicraft or other types of products. 
</t>
    </r>
    <r>
      <rPr>
        <b/>
        <sz val="8"/>
        <rFont val="Arial"/>
        <family val="2"/>
      </rPr>
      <t>Start up</t>
    </r>
    <r>
      <rPr>
        <sz val="8"/>
        <rFont val="Arial"/>
        <family val="2"/>
      </rPr>
      <t xml:space="preserve">: early stage in the life cycle of a company (first year of existence)  where the entrepreneur moves from the idea stage to securing financing, laying down the basis structure of the business, and initiating operations or trading (Business dictionary).
</t>
    </r>
  </si>
  <si>
    <r>
      <t xml:space="preserve"># target Lebanese MSMEs/cooperatives that report increased revenues/ profitability, improved production or services as a result of programme activities
</t>
    </r>
    <r>
      <rPr>
        <sz val="8"/>
        <color indexed="57"/>
        <rFont val="Arial"/>
        <family val="2"/>
      </rPr>
      <t>In Activity Info: # of MSMEs with increased revenues / improved production</t>
    </r>
  </si>
  <si>
    <t>MSMEs</t>
  </si>
  <si>
    <r>
      <t xml:space="preserve">Indicator for all partners supporting MSMEs. It includes, but is not limited to, businesses directly supported by Value Chain interventions. 
Supported Lebanese MSMEs &amp; cooperatives who report increasing profits and improving production or services as a result of support, 6 &amp; 12 months after start of support.
Partners who are unable to report against this outcome indicator 6 months after providing support will be able to do so in a 12 months period instead.
</t>
    </r>
    <r>
      <rPr>
        <b/>
        <sz val="8"/>
        <color indexed="8"/>
        <rFont val="Arial"/>
        <family val="2"/>
      </rPr>
      <t xml:space="preserve">Profitability </t>
    </r>
    <r>
      <rPr>
        <sz val="8"/>
        <color indexed="8"/>
        <rFont val="Arial"/>
        <family val="2"/>
      </rPr>
      <t xml:space="preserve">is understood either as increasing profits and savings and/or decreasing production costs thanks to efficiency gain: It could be return on sales that measures the operating profit margin, calculated by Net income / Sales. If some partners target Medium enterprises, other indicators could be Return on Equity or Return on Assets. </t>
    </r>
  </si>
  <si>
    <t>Output 1.1 # of new Lebanese MSMEs/cooperatives established</t>
  </si>
  <si>
    <t>“Established” means businesses that did not exist previously, were established because of the support provided by partners and are operational after 6 months (with income being accrued).</t>
  </si>
  <si>
    <t>Output 1.2: # of VCs valorized and/or being upgraded</t>
  </si>
  <si>
    <t>Value Chains</t>
  </si>
  <si>
    <t xml:space="preserve">*Value chains are defined by ILO as the full range of activities, restricted or not to the local market, that are required to bring a product or service from its conception to the final consumers (including design, production, marketing, distribution, support and export services). 
*Upgraded: One value chain is considered upgraded when all the prioritized interventions identified in the assessment are addressed. As per the M4P approach, interventions may address constraints in supporting functions and rules and regulations in addition to the value chain.
</t>
  </si>
  <si>
    <t>USD</t>
  </si>
  <si>
    <t>Output 1.2 (optional): USD value of additional sales in the target sectors and area</t>
  </si>
  <si>
    <t>Additional optional indicators: partners are only advised to track these and to report here if they do.</t>
  </si>
  <si>
    <t xml:space="preserve">Output 1.2 (optional): USD Value of additional public and private investment in the target sectors and areas leveraged as a result of VC investment </t>
  </si>
  <si>
    <t>Output 1.2 (optional): # of new female-headed business start-ups in the target sectors and area</t>
  </si>
  <si>
    <t>Start-ups</t>
  </si>
  <si>
    <t>Output 1.2 (optional): # of new male-headed business start-ups in the target sectors and area</t>
  </si>
  <si>
    <t>Individuals</t>
  </si>
  <si>
    <r>
      <t xml:space="preserve">Total number of job seekers offered employment after receiving employment services and / or trainings and/or internship schemes.
</t>
    </r>
    <r>
      <rPr>
        <u val="single"/>
        <sz val="8"/>
        <color indexed="8"/>
        <rFont val="Arial"/>
        <family val="2"/>
      </rPr>
      <t>Specifications</t>
    </r>
    <r>
      <rPr>
        <sz val="8"/>
        <color indexed="8"/>
        <rFont val="Arial"/>
        <family val="2"/>
      </rPr>
      <t xml:space="preserve">: Partners should report a total number, not a percentage, but they should track only a sample of their trainees / beneficiaries caseloads (both male and female to report by gender) 6 to 12 months maximum after completion of the employability programme and assess how many of them have been offered employment or currently employed, formally or informally, through paid employment or self-employment (the later to be also reported in 1.1 as new business). They should then apply this % of people to their entire caseload: for example a partner who trained 200 people can track 20% of the beneficiaries – i.e. 40 people. If out of this 40, 10 found employment, this is a 25% ratio – which they can apply back to the 200 caseload and report 0.25*200 = 50.  
</t>
    </r>
    <r>
      <rPr>
        <u val="single"/>
        <sz val="8"/>
        <color indexed="8"/>
        <rFont val="Arial"/>
        <family val="2"/>
      </rPr>
      <t>NB:</t>
    </r>
    <r>
      <rPr>
        <sz val="8"/>
        <color indexed="8"/>
        <rFont val="Arial"/>
        <family val="2"/>
      </rPr>
      <t xml:space="preserve"> If projects have shorter life span, partners should report upon the project’s completion. If feasible, they still need to be assessed after 6 months if funding is available. Ideally there needs to be a post assessment cost budgeted in all training projects leading to employment.
</t>
    </r>
  </si>
  <si>
    <r>
      <t xml:space="preserve">Output-1.1: Capacity of the MSMEs sector to create jobs is improved
Output - 1.2: Value Chain Upgraded
</t>
    </r>
    <r>
      <rPr>
        <b/>
        <sz val="10"/>
        <color indexed="57"/>
        <rFont val="Arial"/>
        <family val="2"/>
      </rPr>
      <t>In Activity Info : MSME/Cooperatives Support and Value Chains</t>
    </r>
  </si>
  <si>
    <r>
      <rPr>
        <b/>
        <u val="single"/>
        <sz val="10"/>
        <color indexed="8"/>
        <rFont val="Arial"/>
        <family val="2"/>
      </rPr>
      <t>Output 1.1 Indicators</t>
    </r>
    <r>
      <rPr>
        <b/>
        <sz val="8"/>
        <color indexed="8"/>
        <rFont val="Arial"/>
        <family val="2"/>
      </rPr>
      <t xml:space="preserve"> (indicators are grouped with value chain programmes so that VC programmes can also report support to MSMEs and cooperatives delivered through their programmes. There are two forms for these programmes: one at cadastre level for local programmes and one grouped with the outcome&amp;output indicators at governorate level for regional/national programmes)</t>
    </r>
  </si>
  <si>
    <t xml:space="preserve">See above for output and outcome indicators and report in the first form. </t>
  </si>
  <si>
    <t>Put '1' in each month for which your programme will be ongoing in this location</t>
  </si>
  <si>
    <t xml:space="preserve">Partners to put a '1' in each month where there programmes will be ongoing in this location so as to be able to caputre planned activities and ongoing programmes for which there are not results to report yet. Ex: If you are funded to implement any of the activities under this output until March, you should enter 1 under Jan, 1 under Feb and 1 under March.  </t>
  </si>
  <si>
    <r>
      <t xml:space="preserve">Activity-1.1.1: Provision of business management training and business development services
</t>
    </r>
    <r>
      <rPr>
        <b/>
        <sz val="8"/>
        <color indexed="57"/>
        <rFont val="Arial"/>
        <family val="2"/>
      </rPr>
      <t xml:space="preserve">
In Activity Info: Business management trainings</t>
    </r>
  </si>
  <si>
    <t>1.1.1.1:# of female (youth) entrepreneurs &amp; employees who benefitted from business management training and / or business development services</t>
  </si>
  <si>
    <t xml:space="preserve">It includes marketing, book keeping, working conditions, accounting, legal support, community-based management training, procurement support, team management, project management, planning, finance management or decision making.  </t>
  </si>
  <si>
    <t>1.1.1.1:# of female (non-youth) entrepreneurs &amp; employees who benefitted from business management training and / or business development services</t>
  </si>
  <si>
    <t>1.1.1.1:# of male (youth) entrepreneurs &amp; employees who benefitted from business management training and / or business development services</t>
  </si>
  <si>
    <t>1.1.1.1: # of male (non-youth) entrepreneurs &amp; employees who benefitted from business management training and / or business development services</t>
  </si>
  <si>
    <r>
      <t xml:space="preserve">Activity-1.1.2: Expansion of financial services programs targeting vulnerable Lebanese MSMEs
</t>
    </r>
    <r>
      <rPr>
        <b/>
        <sz val="8"/>
        <color indexed="57"/>
        <rFont val="Arial"/>
        <family val="2"/>
      </rPr>
      <t xml:space="preserve">
In Activity Info: Financial Services for MSMEs</t>
    </r>
  </si>
  <si>
    <t>1.1.2.1:: # of Lebanese MSMEs accessing financial services</t>
  </si>
  <si>
    <t>Micro-enterprises</t>
  </si>
  <si>
    <t>Support to enhance the access of Lebanese businesses to services and products provided by financial institutions (such as banks, microfinance institutions, investment or insurance companies), including deposit-taking, loans and investment services.</t>
  </si>
  <si>
    <t>1.1.2.1: USD value of loans disbursed</t>
  </si>
  <si>
    <r>
      <t xml:space="preserve">Activity-1.1.3: Provision of (start-up) grants (cash / in-kind) to Lebanese MSMEs / Cooperatives
</t>
    </r>
    <r>
      <rPr>
        <b/>
        <sz val="8"/>
        <color indexed="57"/>
        <rFont val="Arial"/>
        <family val="2"/>
      </rPr>
      <t xml:space="preserve">
In Activity Info: Start-up (cash/in-kind) grants to MSMEs/Cooperatives</t>
    </r>
  </si>
  <si>
    <t>1.1.3.1: # of nano-enterprises supported through cash grants</t>
  </si>
  <si>
    <t>Nano-enterprises</t>
  </si>
  <si>
    <r>
      <t>Please find definitions above.</t>
    </r>
    <r>
      <rPr>
        <b/>
        <sz val="8"/>
        <color indexed="8"/>
        <rFont val="Arial"/>
        <family val="2"/>
      </rPr>
      <t xml:space="preserve">
*In-kind grants</t>
    </r>
    <r>
      <rPr>
        <sz val="8"/>
        <color indexed="8"/>
        <rFont val="Arial"/>
        <family val="2"/>
      </rPr>
      <t>: provision of goods, commodities or services to support newly established MSMEs.
*</t>
    </r>
    <r>
      <rPr>
        <b/>
        <sz val="8"/>
        <color indexed="8"/>
        <rFont val="Arial"/>
        <family val="2"/>
      </rPr>
      <t>Cash grants</t>
    </r>
    <r>
      <rPr>
        <sz val="8"/>
        <color indexed="8"/>
        <rFont val="Arial"/>
        <family val="2"/>
      </rPr>
      <t>: provision of financial support (non-repayable funds or products) to identified start-ups. 
We refer to start-ups/cooperatives which are still operational after 6 months.</t>
    </r>
  </si>
  <si>
    <t>1.1.3.1: # of nano-enterprises supported through in-kind grants</t>
  </si>
  <si>
    <t>1.1.3.1: # of micro-enterprises supported through cash grants</t>
  </si>
  <si>
    <t>1.1.3.1: # of micro-enterprises upported through in-kind grants</t>
  </si>
  <si>
    <t>1.1.3.1: # of SMEs supported through cash grants</t>
  </si>
  <si>
    <t>SMEs</t>
  </si>
  <si>
    <t>1.1.3.1: # of SMEs supported through in-kind grants</t>
  </si>
  <si>
    <t>1.1.3.1: # of Cooperatives supported through cash grants</t>
  </si>
  <si>
    <t>1.1.3.1: # of Cooperatives supported through in-kind grants</t>
  </si>
  <si>
    <r>
      <t>1.1.3.2: # USD value of grant(s) disbursed to  nano-enterprises/ micro-enterprises / SMEs</t>
    </r>
    <r>
      <rPr>
        <sz val="8"/>
        <rFont val="Arial"/>
        <family val="2"/>
      </rPr>
      <t xml:space="preserve"> / Cooperatives</t>
    </r>
  </si>
  <si>
    <r>
      <t xml:space="preserve">Activity-1.1.4: Provide (green) technology transfers to Lebanese MSMEs/cooperatives, where possible involving research centers and universities, to support innovation
</t>
    </r>
    <r>
      <rPr>
        <b/>
        <sz val="8"/>
        <color indexed="57"/>
        <rFont val="Arial"/>
        <family val="2"/>
      </rPr>
      <t>In Activity Info: MSMEs technology transfer</t>
    </r>
  </si>
  <si>
    <t>1.1.4.1: # of nano-enterprises upgraded through technology transfers</t>
  </si>
  <si>
    <t>Activities aimed at converting scientific and technological advances into marketable goods or services to support economic development and environmental protection.</t>
  </si>
  <si>
    <t>1.1.4.1: # of micro-enterprises upgraded through technology transfers</t>
  </si>
  <si>
    <t>1.1.4.1: # of SMEs upgraded through technology transfers</t>
  </si>
  <si>
    <t>1.1.4.1: # of Cooperatives upgraded through technology transfers</t>
  </si>
  <si>
    <t>1.1.4.2: # of nano-enterprises with increased green energy efficiency</t>
  </si>
  <si>
    <t>We also refer here to increased environmentally friendly practices or processes.</t>
  </si>
  <si>
    <t>1.1.4.2: # of micro-enterprises with increased green energy efficiency</t>
  </si>
  <si>
    <t>1.1.4.2: # of SMEs with increased green energy efficiency</t>
  </si>
  <si>
    <t>1.1.4.2: # of  Cooperatives with increased green energy efficiency</t>
  </si>
  <si>
    <r>
      <t xml:space="preserve">Activity-1.1.5: Provide incubation services to Lebanese start-ups and MSMEs
</t>
    </r>
    <r>
      <rPr>
        <b/>
        <sz val="8"/>
        <color indexed="57"/>
        <rFont val="Arial"/>
        <family val="2"/>
      </rPr>
      <t>In Activity Info: MSMEs incubation services</t>
    </r>
  </si>
  <si>
    <t>1.1.5.1: # of new/start-up businesses supported through incubation services</t>
  </si>
  <si>
    <t>Provision of business support resources and services designed to accelerate the growth and success of new/start-up companies (including physical space coaching, networking connection…).</t>
  </si>
  <si>
    <r>
      <rPr>
        <b/>
        <u val="single"/>
        <sz val="10"/>
        <color indexed="8"/>
        <rFont val="Arial"/>
        <family val="2"/>
      </rPr>
      <t xml:space="preserve">Output 1.2 Indicators </t>
    </r>
    <r>
      <rPr>
        <b/>
        <sz val="8"/>
        <color indexed="8"/>
        <rFont val="Arial"/>
        <family val="2"/>
      </rPr>
      <t>(indicators are grouped with MSMEs programmes so that VC programmes can also report support to MSMEs and cooperatives delivered through their programmes. There are two forms for these programmes: one at cadastre level for local programmes and one grouped with the outcome&amp;output indicators at governorate level for regional/national programmes)</t>
    </r>
  </si>
  <si>
    <r>
      <t xml:space="preserve">Activity-1.2.1: Assessments to identify value chains in need of support at the territorial level (focusing on strategic pro-poor value chains/sectors) as well as gaps or constraints in these value chains
</t>
    </r>
    <r>
      <rPr>
        <b/>
        <sz val="8"/>
        <color indexed="57"/>
        <rFont val="Arial"/>
        <family val="2"/>
      </rPr>
      <t xml:space="preserve">
In Activity Info: VC assessment &amp; gap identification</t>
    </r>
  </si>
  <si>
    <t>1.2.1.1: # of assessments carried out</t>
  </si>
  <si>
    <t>Assessment</t>
  </si>
  <si>
    <t>It refers to the assessments conducted to identify key value chains and the main limitations to their effective strengthening and development.
Each VC assessment should identify several priority gaps.</t>
  </si>
  <si>
    <t>1.2.1.2: # of value chain interventions prioritized</t>
  </si>
  <si>
    <t>VC interventions</t>
  </si>
  <si>
    <r>
      <t xml:space="preserve">Activity-1.2.2:Implement value chain interventions addressing main constraints and their root causes
</t>
    </r>
    <r>
      <rPr>
        <b/>
        <sz val="8"/>
        <color indexed="57"/>
        <rFont val="Arial"/>
        <family val="2"/>
      </rPr>
      <t xml:space="preserve">
In Activity Info: Value Chain interventions </t>
    </r>
  </si>
  <si>
    <t>1.2.2.1: # of VC interventions implemented (by type)</t>
  </si>
  <si>
    <t>Targeted interventions are aimed at supporting the formation of groups/legal entities, providing business development support &amp; training, strengthening connection/networking throughout the VC cycle, providing policy development support, infrastructure/equipment and technical expertise to scale up production and expand market opportunities, support to organizations providing supporting functions (i.e. extension, business development or financial services), or support to influence change in formal or informal rules and regulations. 
Please detail the intervention in comments section.</t>
  </si>
  <si>
    <r>
      <t>Output-1.3: Job creation is fostered through labor-intensive investments in productive public infrastructure and environmental assets
On Activity Info: Job creation through investment in infrastructures and assets</t>
    </r>
    <r>
      <rPr>
        <b/>
        <sz val="10"/>
        <color indexed="57"/>
        <rFont val="Arial"/>
        <family val="2"/>
      </rPr>
      <t xml:space="preserve">
In Activity Info: Job creation through</t>
    </r>
    <r>
      <rPr>
        <b/>
        <u val="single"/>
        <sz val="10"/>
        <color indexed="57"/>
        <rFont val="Arial"/>
        <family val="2"/>
      </rPr>
      <t xml:space="preserve"> labour intensive</t>
    </r>
    <r>
      <rPr>
        <b/>
        <sz val="10"/>
        <color indexed="57"/>
        <rFont val="Arial"/>
        <family val="2"/>
      </rPr>
      <t xml:space="preserve"> investment in infrastructures and assets</t>
    </r>
  </si>
  <si>
    <t>Output 1.3 indicators (cadastre level)</t>
  </si>
  <si>
    <t>No need to report in the outcome/output form</t>
  </si>
  <si>
    <t>1.3: # of targeted villages benefiting from improved infrastructure and environmental assets</t>
  </si>
  <si>
    <t>Villages</t>
  </si>
  <si>
    <t>1.3: # of female LEB employed through public infrastructure and environmental assets improvement</t>
  </si>
  <si>
    <t>We refer to the number of vulerable people hired for the project (disaggregated by cohorts and gender).</t>
  </si>
  <si>
    <t>1.3: # of male LEB employed through public infrastructure and environmental assets improvement</t>
  </si>
  <si>
    <t>1.3: # of  female SYR employed through public infrastructure and environmental assets improvement</t>
  </si>
  <si>
    <t>1.3: # of  male SYR employed through public infrastructure and environmental assets improvement</t>
  </si>
  <si>
    <t>1.3: # of female PRS employed through public infrastructure and environmental assets improvement</t>
  </si>
  <si>
    <t>1.3: # of male PRS employed through public infrastructure and environmental assets improvement</t>
  </si>
  <si>
    <t>1.3: # of female PRL employed through public infrastructure and environmental assets improvement</t>
  </si>
  <si>
    <t>1.3: # of male PRL employed through public infrastructure and environmental assets improvement</t>
  </si>
  <si>
    <t>Activity-1.3.1: Upgrade public and municipal infrastructure</t>
  </si>
  <si>
    <t>Irrigation canals, agricultural roads, streets/roads rehabilitation, public infrastructure upgrading, cleaning services and garbage collection.</t>
  </si>
  <si>
    <t>1.3.1.1: # workmen day created</t>
  </si>
  <si>
    <t>Workmen days</t>
  </si>
  <si>
    <t>Total number of workmen days (i.e. sum of all days of all workers)</t>
  </si>
  <si>
    <t>1.3.1.2: USD value invested in infrastructure rehabilitation (incl. labour costs)</t>
  </si>
  <si>
    <t>It should be understood as the value of investment (including equipment, material and labour – contracted to public/private sector).</t>
  </si>
  <si>
    <t>1.3.1.3: # of kilometers of canals/networks rehabilitated and /or maintained</t>
  </si>
  <si>
    <t>Kms</t>
  </si>
  <si>
    <t>Additional indicators (if relevant to partners interventions) – these indicators will help inform relevant sector on the nature of such interventions (i.e. Water on irrigation, etc…) but should only be reported against by livelihoods partners implementing labour-intensive projects</t>
  </si>
  <si>
    <t>1.3.1.4: # of water catchment systems constructed</t>
  </si>
  <si>
    <t>Systems</t>
  </si>
  <si>
    <t>1.3.1.5: # of square kilometers or arable land reclaimed AND slopes protected created by terracing</t>
  </si>
  <si>
    <t>Square kms</t>
  </si>
  <si>
    <t>1.3.1.6: # of sewage systems established or rehabilitated</t>
  </si>
  <si>
    <t>Sewage systems</t>
  </si>
  <si>
    <t>1.3.1.7: # of public parks, playgrounds and other public social infrastructure created</t>
  </si>
  <si>
    <t>Public social infrastructure</t>
  </si>
  <si>
    <t>1.3.1.8: # of public buildings constructed, rehabilitated and/or maintained</t>
  </si>
  <si>
    <t>Public buildings</t>
  </si>
  <si>
    <t>1.3.1.9: # of retaining wall constructed, rehabilitated and/or maintained</t>
  </si>
  <si>
    <t>Retaining walls</t>
  </si>
  <si>
    <t>1.3.1.10: # of kilometers of roads cleaned</t>
  </si>
  <si>
    <t>1.3.1.11: # of kilometers of roads paved</t>
  </si>
  <si>
    <t>1.3.1.12 # of kilometers of roads/sidewalks rehabilitated</t>
  </si>
  <si>
    <t>Activity-1.3.2: Improve environmental assets</t>
  </si>
  <si>
    <t>Rainwater harvesting, forestation, reforestation, cleaning, pruning, felling, cleaning of drainage, replenishment of nurseries, canals and rivers for flood prevention, construction of flood mitigation reservoirs and structures such as contour walls, check dams, and plant green areas in order to reduce flood risk...</t>
  </si>
  <si>
    <t>1.3.2.1:  # workmen day created</t>
  </si>
  <si>
    <t>1.3.2.2: USD value invested in infrastructure rehabilitation (incl. labour costs)</t>
  </si>
  <si>
    <t>1.3.2.3: # of hectares of forest reforested and/or maintained</t>
  </si>
  <si>
    <t>Hectares</t>
  </si>
  <si>
    <t>1.3.2.4: # hectares of green areas planted</t>
  </si>
  <si>
    <t>1.3.2.5: # of kilometers of canals constructed /rehabilitated for flood prevention and/or rainwater harvesting</t>
  </si>
  <si>
    <t>1.3.2.6: # of kilometers of canals cleaned</t>
  </si>
  <si>
    <t>1.3.2.7: # of reservoirs or other structures (contour walls, check dams, etc.) constructed/rehabilitated to reduce flood risks</t>
  </si>
  <si>
    <t>Reservoirs/structures</t>
  </si>
  <si>
    <t>Includes access to labour market information, career guidance, counseling and job matching</t>
  </si>
  <si>
    <t>Centers</t>
  </si>
  <si>
    <t>Training programmes</t>
  </si>
  <si>
    <r>
      <rPr>
        <b/>
        <sz val="8"/>
        <color indexed="8"/>
        <rFont val="Arial"/>
        <family val="2"/>
      </rPr>
      <t>*Internships</t>
    </r>
    <r>
      <rPr>
        <sz val="8"/>
        <color indexed="8"/>
        <rFont val="Arial"/>
        <family val="2"/>
      </rPr>
      <t xml:space="preserve"> defined as supervised practical trainings undergone in a company or organization to gain professional experience;
</t>
    </r>
    <r>
      <rPr>
        <b/>
        <sz val="8"/>
        <color indexed="8"/>
        <rFont val="Arial"/>
        <family val="2"/>
      </rPr>
      <t>*Apprenticeships</t>
    </r>
    <r>
      <rPr>
        <sz val="8"/>
        <color indexed="8"/>
        <rFont val="Arial"/>
        <family val="2"/>
      </rPr>
      <t xml:space="preserve"> defined as hands-on experience to learn a craft or trade, acquired while working with a skilled worker (usually under a written or implied apprenticeship agreement).
</t>
    </r>
  </si>
  <si>
    <t>Output indicators are not in activity info</t>
  </si>
  <si>
    <r>
      <rPr>
        <b/>
        <sz val="8"/>
        <color indexed="8"/>
        <rFont val="Arial"/>
        <family val="2"/>
      </rPr>
      <t xml:space="preserve">*Informal employment </t>
    </r>
    <r>
      <rPr>
        <sz val="8"/>
        <color indexed="8"/>
        <rFont val="Arial"/>
        <family val="2"/>
      </rPr>
      <t>encompasses all employment opportunities which are not recognized as normal income sources, and on which taxes are not paid. It is often characterized, according to the ILO, by a lack of protection in the event of non-payment of wages, compulsory overtime or extra shifts, lay-offs without notice or compensation, unsafe working conditions and the absence of social benefits. Informal employment can be self-employment or employment in an informal business, as well as informal employment in a formal business.
*</t>
    </r>
    <r>
      <rPr>
        <b/>
        <sz val="8"/>
        <color indexed="8"/>
        <rFont val="Arial"/>
        <family val="2"/>
      </rPr>
      <t>Child labour</t>
    </r>
    <r>
      <rPr>
        <sz val="8"/>
        <color indexed="8"/>
        <rFont val="Arial"/>
        <family val="2"/>
      </rPr>
      <t xml:space="preserve"> is defined as a work that deprives children of their childhood, their potential and their dignity, and that is harmful to their physical and mental development following the definitions and regulations of the Ministry of Labour. The focus of the sector should be on eliminating the worst forms of child labour: http://ilo.org/ipec/facts/WorstFormsofChildLabour/lang--en/index.htm.  Partners are invited to consult the following documents which provide additional information/guidance: ILO Conventions No. 138 on minimum age and No. 182 on WFCL (both ratified by Lebanon), the latest decrees related to the elimination of child labour, as well as the National Action Plan on the WFCL.</t>
    </r>
  </si>
  <si>
    <t>Regulations</t>
  </si>
  <si>
    <t>Provide additional details in the comments section</t>
  </si>
  <si>
    <t>Response refers to strategy/project implemented by livelihoods/child protection partners on behalf of the sectors in one of the three areas identified above (working conditions, WFCL, informality).</t>
  </si>
  <si>
    <t>Interventions</t>
  </si>
  <si>
    <t>Vulnerable companies refer to businesses which are at risk of /or already engaged in child labor and /or are struggling to ensure satisfactory working conditions to their employees (either because of their size, lack of resources and/or lack of awareness).
These companies will be supported to introduce concrete measures/mechanisms to improve working conditions and/or counter child-labour practices.</t>
  </si>
  <si>
    <t xml:space="preserve">Support provided to enhance the capacities of the labour administration/inspection services including, but not limited to: 1) secure the enforcement of the legal provisions relating to working conditions; 2) supply technical information and advice to employers and workers, and; 3) bring to the notice of the relevant authority defects or abuses not specifically covered by existing legal provisions. </t>
  </si>
  <si>
    <t>Inspectors</t>
  </si>
  <si>
    <t>Officials</t>
  </si>
  <si>
    <t>Workshops / trainings</t>
  </si>
  <si>
    <t>Programmatic interventions (including technical workshops) implemented to strengthen the employment policy and job market strategy.</t>
  </si>
  <si>
    <t>SME observatory</t>
  </si>
  <si>
    <t>Activities involving notably the setting up of the SME database &amp; IT system (to be linked with MoI, MoF, MoL, CDR, ALI, Chambers of Commerce).</t>
  </si>
  <si>
    <t>Plan</t>
  </si>
  <si>
    <t>Support MoSA in the organization of a national workshop to initiate the development of a livelihoods plan with all relevant line ministries</t>
  </si>
  <si>
    <t>Plans</t>
  </si>
  <si>
    <t>Activities ensuring that LED plans (which aim at enhancing competitiveness and sustainable/inclusive growth), are formulated and readily available</t>
  </si>
  <si>
    <t>Software</t>
  </si>
  <si>
    <t>Relevant hardware and software are available and installed based on jointly agreed specifications</t>
  </si>
  <si>
    <t>Trainings</t>
  </si>
  <si>
    <t>Support in the acquisition of practical skills, attitudes, understanding and knowledge which address labour market needs and gaps.</t>
  </si>
  <si>
    <t>Surveys</t>
  </si>
  <si>
    <r>
      <t xml:space="preserve">Surveys aimed at filling the main information gaps of the sector.
</t>
    </r>
    <r>
      <rPr>
        <u val="single"/>
        <sz val="8"/>
        <color indexed="8"/>
        <rFont val="Arial"/>
        <family val="2"/>
      </rPr>
      <t>Specification</t>
    </r>
    <r>
      <rPr>
        <sz val="8"/>
        <color indexed="8"/>
        <rFont val="Arial"/>
        <family val="2"/>
      </rPr>
      <t>: they could be part of a project but shouldn’t specifically focus on informing/guiding the project’s implementation modalities.</t>
    </r>
  </si>
  <si>
    <t>Institutions</t>
  </si>
  <si>
    <t>It refers to government agencies or economic/business development entities which create a conducive environment for the sustainable economic growth of local companies.</t>
  </si>
  <si>
    <t>Agreements</t>
  </si>
  <si>
    <t>Feasibility studies / master plans</t>
  </si>
  <si>
    <t>Support to the creation of industrial zones, defined by UNIDO as an area of land developed and subdivided into plots according to a comprehensive plan with or without built-up factories, sometimes with common facilities for the use of a group of industries and clusters, which aim at reducing production costs, attracting investments, fostering skilled manpower, facilitating industrial innovation and economic development.</t>
  </si>
  <si>
    <r>
      <t xml:space="preserve">Activity-2.2.1: Implementation of (paid) internship, on-the-job training or apprenticeship programmes for youth within Lebanese entities
</t>
    </r>
    <r>
      <rPr>
        <b/>
        <sz val="8"/>
        <color indexed="57"/>
        <rFont val="Arial"/>
        <family val="2"/>
      </rPr>
      <t>In Activity Info: Internship, on-the-job training/placement &amp; apprenticeship</t>
    </r>
  </si>
  <si>
    <t>2.2.1.1: # of female LEB benefitting from internships, on-the-job trainings or apprenticeships</t>
  </si>
  <si>
    <t>2.2.1.1: # of male LEB benefitting from internships, on-the-job trainings or apprenticeships</t>
  </si>
  <si>
    <t>2.2.1.1: # of female SYR benefitting from internships, on-the-job trainings or apprenticeships</t>
  </si>
  <si>
    <t>2.2.1.1: # of male SYR benefitting from internships, on-the-job trainings or apprenticeships</t>
  </si>
  <si>
    <t>2.2.1.1: # of female PRS benefitting from internships, on-the-job trainings or apprenticeships</t>
  </si>
  <si>
    <t>2.2.1.1: # of male PRS benefitting from internships, on-the-job trainings or apprenticeships</t>
  </si>
  <si>
    <t>2.2.1.1: # of female PRL benefitting from internships, on-the-job trainings or apprenticeships</t>
  </si>
  <si>
    <t>2.2.1.1: # of male PRL benefitting from internships, on-the-job trainings or apprenticeships</t>
  </si>
  <si>
    <r>
      <t xml:space="preserve">Activity-3.1.1: Address decent work deficits (such as lack of sufficient regulations and enforcement of existing ones) that safeguard labor rights in informal work, improve working conditions and reduce the worst forms of child labour through capacity support and policy development to the Ministry of Labour
</t>
    </r>
    <r>
      <rPr>
        <b/>
        <sz val="8"/>
        <color indexed="57"/>
        <rFont val="Arial"/>
        <family val="2"/>
      </rPr>
      <t>In Activity Info: Address decent work deficits</t>
    </r>
  </si>
  <si>
    <t>3.1.1.1: # of regulations amended, formulated and/or proposed to the Government</t>
  </si>
  <si>
    <t>3.1.1.2: # of regulations enforced with the support of partners</t>
  </si>
  <si>
    <t>Activity-3.1.2: Support selected responses aiming at improving working conditions, preventing and responding to the worst forms of child labor and mitigating growing informality
In Activity Info: Selected responses improving work conditions/countering child labour</t>
  </si>
  <si>
    <t>3.1.2.1: # of interventions aiming at improving working conditions and at addressing child labour and informality</t>
  </si>
  <si>
    <t xml:space="preserve"> Activity-3.1.3: Strengthen vulnerable enterprises through provision of measures to improve working conditions and/or counter child-labour</t>
  </si>
  <si>
    <t>3.1.3.1: # of MSMES strengthened with measures/mechanisms aimed at improving working conditions/countering child-labour</t>
  </si>
  <si>
    <t xml:space="preserve"> Activity-3.1.4: Support the MoL in areas of labor administration, implementation of a decent work country programme, and labour inspection capacity
In Activity Info: Support MoL on labor administration and inspection</t>
  </si>
  <si>
    <t>3.1.4.1: # of additional inspectors supported</t>
  </si>
  <si>
    <t>3.1.4.2: # of officials trained</t>
  </si>
  <si>
    <t>3.1.4.3: # of interventions aiming at enhancing labour administration &amp; inspection</t>
  </si>
  <si>
    <t xml:space="preserve"> Activity-3.1.5: Conduct research and surveys on decent work</t>
  </si>
  <si>
    <t>3.1.5.1: # of research and surveys conducted</t>
  </si>
  <si>
    <t xml:space="preserve">research </t>
  </si>
  <si>
    <t xml:space="preserve">3.1.6.1: # of advocacy/awareness-raising campaigns conducted </t>
  </si>
  <si>
    <t xml:space="preserve">3.1.6.2: # of advocacy/awareness-raising material developed </t>
  </si>
  <si>
    <t xml:space="preserve"> Activity-3.1.6: Develop advocacy/awareness-raising campaigns and material on labor standards and regulations</t>
  </si>
  <si>
    <t>Campaigns</t>
  </si>
  <si>
    <t xml:space="preserve">Material </t>
  </si>
  <si>
    <t>Output 3.2 indicators (national level, same form as 3.1)</t>
  </si>
  <si>
    <t>Activity-3.2.1: Support employment policy and labour market strategy</t>
  </si>
  <si>
    <t>3.2.1.1: # of technical workshops / trainings to support national employment policy and/ or labor market strategy</t>
  </si>
  <si>
    <t xml:space="preserve"> Activity-3.2.2: Establish SME observatory as per MoET strategy</t>
  </si>
  <si>
    <t>3.2.2.1: SME observatory established</t>
  </si>
  <si>
    <t>Activity-3.2.3: Development of National Livelihoods Plan</t>
  </si>
  <si>
    <t>3.2.3.1: National Livelihoods Plan developed</t>
  </si>
  <si>
    <t>Activity-3.2.4: Development of participatory local economic development plans with public and private sector actors</t>
  </si>
  <si>
    <t>3.2.4.1: # of LED plans</t>
  </si>
  <si>
    <t>Activity-3.2.5: Support MOL and NEO in the development of in-house automation and database management to allow for the efficiency of work process and the analysis &amp; control of labor data
In Activity info: Support MoL development of IM system</t>
  </si>
  <si>
    <t>3.2.5.1: # of Hardware and Software provided</t>
  </si>
  <si>
    <t>Activity-3.2.6: Support to strengthen Technical and Vocational Education and Training (TVET) and improve quality of skills training curricula to reflect market needs (with the Education Sector and relevant ministries)
In Activity info: Support MEHE development of VT</t>
  </si>
  <si>
    <t>3.2.6.1: # of interventions to strengthen the formal and non-formal TVET or to improve quality of training</t>
  </si>
  <si>
    <t>Activity-3.2.7: Conduct Livelihoods sector surveys and set up data collection systems for knowledge management
In Activity info: Livelihoods assessments</t>
  </si>
  <si>
    <t>3.2.7.1: # of sector surveys conducted</t>
  </si>
  <si>
    <t>Activity-3.2.8: Strengthen/expand current effective institutions that support the existing ecosystem for MSMEs (Business Development Centers, LEDAs, MFI, Equity Financers, etc.)
In Activity info: Support MSMEs ecosystem</t>
  </si>
  <si>
    <t>3.2.8.1: # of institutions supported</t>
  </si>
  <si>
    <t>3.2.8.2: # of workshops/ trainings conducted</t>
  </si>
  <si>
    <t>3.2.8.3: # of agreements signed</t>
  </si>
  <si>
    <t>Activity-3.2.9: Development of identified industrial zones to enhance the competitiveness of the national industrial sector
In Activity Info: Development of Industrial zones</t>
  </si>
  <si>
    <t xml:space="preserve"> 3.2.9.1: # of feasibility studies and master-plans for industrial zones developed</t>
  </si>
  <si>
    <r>
      <t xml:space="preserve">Activity-1.1.7:  Fill identified financing gaps by supporting development of financing alternatives (debt, equity, grants) at the growth stage of SMEs
</t>
    </r>
    <r>
      <rPr>
        <b/>
        <sz val="8"/>
        <color indexed="57"/>
        <rFont val="Arial"/>
        <family val="2"/>
      </rPr>
      <t xml:space="preserve">In Activity Info: </t>
    </r>
  </si>
  <si>
    <t>Output 2.1 Indicators</t>
  </si>
  <si>
    <t>2.1.1.1: # of vocational skills training programmes developed</t>
  </si>
  <si>
    <t>Activity-2.2.2: Support the activities and strengthen the capacity of employment services centers as well as the establishment of new centers (where needed)
In Activity Info: Employment services &amp; career guidance</t>
  </si>
  <si>
    <t>2.2.2.1: : # of female LEB supported with employment services, counseling services, jobs &amp; employment referrals, and career guidance</t>
  </si>
  <si>
    <t>2.2.2.1: : # of male LEB supported with employment services, counseling services, jobs &amp; employment referrals, and career guidance</t>
  </si>
  <si>
    <t>2.2.2.1: : # of female SYR supported with employment services, counseling services, jobs &amp; employment referrals, and career guidance</t>
  </si>
  <si>
    <t>2.2.2.1: : # of male SYR supported with employment services, counseling services, jobs &amp; employment referrals, and career guidance</t>
  </si>
  <si>
    <t>2.2.2.1: : # of female PRS supported with employment services, counseling services, jobs &amp; employment referrals, and career guidance</t>
  </si>
  <si>
    <t>2.2.2.1: : # of male PRS supported with employment services, counseling services, jobs &amp; employment referrals, and career guidance</t>
  </si>
  <si>
    <t>2.2.2.1: : # of female PRL supported with employment services, counseling services, jobs &amp; employment referrals, and career guidance</t>
  </si>
  <si>
    <t>2.2.2.1: : # of male PRL supported with employment services, counseling services, jobs &amp; employment referrals, and career guidance</t>
  </si>
  <si>
    <t>2.2.2.3:# of male LEB sensetized on decent work, minimum standards, and labour laws and regulations</t>
  </si>
  <si>
    <t>2.2.2.3:# of female LEB sensetized on decent work, minimum standards, and labour laws and regulations</t>
  </si>
  <si>
    <t>2.2.2.3:# of male SYR sensetized on decent work, minimum standards, and labour laws and regulations</t>
  </si>
  <si>
    <t>2.2.2.3:# of female SYR sensetized on decent work, minimum standards, and labour laws and regulations</t>
  </si>
  <si>
    <t>2.2.2.3:# of male PRS sensetized on decent work, minimum standards, and labour laws and regulations</t>
  </si>
  <si>
    <t>2.2.2.3:# of female PRS sensetized on decent work, minimum standards, and labour laws and regulations</t>
  </si>
  <si>
    <t>2.2.2.3:# of male PRL sensetized on decent work, minimum standards, and labour laws and regulations</t>
  </si>
  <si>
    <t>2.2.2.3:# of female PRL sensetized on decent work, minimum standards, and labour laws and regulations</t>
  </si>
  <si>
    <r>
      <t xml:space="preserve">Activity-2.1.1: Provision of vocational skills (re-) training programmes
</t>
    </r>
    <r>
      <rPr>
        <b/>
        <sz val="8"/>
        <color indexed="57"/>
        <rFont val="Arial"/>
        <family val="2"/>
      </rPr>
      <t xml:space="preserve">
In Activity Info: Vocational skills training</t>
    </r>
  </si>
  <si>
    <t>Output 3.1 indicators (national level, same form as 3.2)</t>
  </si>
  <si>
    <t>Output 2.2  Indicator</t>
  </si>
  <si>
    <t xml:space="preserve">2018 Livelihoods Activity Info Indicators </t>
  </si>
  <si>
    <t>Reporting of Outcome, Output indicators should be done at Governorate level (same activity info form as regional MSMEs &amp; Value Chain development programmes). All outcome and output indicators are regrouped in the same activity info form for the sake of clarity</t>
  </si>
  <si>
    <t># of jobs created in supported MSMEs/cooperatives &amp; Value chains</t>
  </si>
  <si>
    <t># of jobs maintained in supported MSMEs/cooperatives &amp; value chains</t>
  </si>
  <si>
    <t># of jobs improved in supported MSMEs/cooperatives &amp; value chains</t>
  </si>
  <si>
    <r>
      <rPr>
        <b/>
        <sz val="8"/>
        <color indexed="8"/>
        <rFont val="Arial"/>
        <family val="2"/>
      </rPr>
      <t>*Jobs</t>
    </r>
    <r>
      <rPr>
        <sz val="8"/>
        <color indexed="8"/>
        <rFont val="Arial"/>
        <family val="2"/>
      </rPr>
      <t>: include seasonal, part-time and full-time jobs.
*</t>
    </r>
    <r>
      <rPr>
        <b/>
        <sz val="8"/>
        <color indexed="8"/>
        <rFont val="Arial"/>
        <family val="2"/>
      </rPr>
      <t>New jobs</t>
    </r>
    <r>
      <rPr>
        <sz val="8"/>
        <color indexed="8"/>
        <rFont val="Arial"/>
        <family val="2"/>
      </rPr>
      <t xml:space="preserve"> created: businesses who have hired new employees for a minimum duration of three months since the support was provided – this includes individual who works part-time or full-time, formally or informally. 
*Includes businesses directly supported by Value Chain interventions and overall results of value chain programmes
*</t>
    </r>
    <r>
      <rPr>
        <b/>
        <sz val="8"/>
        <color indexed="8"/>
        <rFont val="Arial"/>
        <family val="2"/>
      </rPr>
      <t>Jobs maintained/improved</t>
    </r>
    <r>
      <rPr>
        <sz val="8"/>
        <color indexed="8"/>
        <rFont val="Arial"/>
        <family val="2"/>
      </rPr>
      <t xml:space="preserve">: for micro-businesses, we consider that any support provided helps to maintain/retain jobs. This will include the number of jobs which improved as a result of support, understood as improved employment conditions and status (i.e. from part to full-time jobs, promotion to higher positions or better pay, improved working conditions with higher health and safety standards…).
To be reported on 6 to 12 months after support is provided. Partners who are unable to report against this outcome indicator 6 months after providing support will be able to do so in a 12 months period instead. 
</t>
    </r>
    <r>
      <rPr>
        <b/>
        <sz val="8"/>
        <color indexed="8"/>
        <rFont val="Arial"/>
        <family val="2"/>
      </rPr>
      <t>Includes jobs created through Value Chain programmes</t>
    </r>
    <r>
      <rPr>
        <sz val="8"/>
        <color indexed="8"/>
        <rFont val="Arial"/>
        <family val="2"/>
      </rPr>
      <t> </t>
    </r>
  </si>
  <si>
    <r>
      <t>Outcome 1 outcome &amp; output indicators</t>
    </r>
    <r>
      <rPr>
        <b/>
        <sz val="10"/>
        <color indexed="8"/>
        <rFont val="Arial"/>
        <family val="2"/>
      </rPr>
      <t xml:space="preserve"> (Governorate level)</t>
    </r>
  </si>
  <si>
    <t>Output 2.2: # of male targeted job seekers supported to start their own businesses</t>
  </si>
  <si>
    <t>Output 2.2: # of female targeted job seekers supported to start their own businesses</t>
  </si>
  <si>
    <t>Output 1.2: (optional) USD value of investment to support VC development</t>
  </si>
  <si>
    <t>Outcome 2: # of female job seekers supported who access employment</t>
  </si>
  <si>
    <t>Outcome 2: # of male job seekers supported who access employment</t>
  </si>
  <si>
    <t>Outcome 2: # of female beneficiaries engaged in home-based income generation</t>
  </si>
  <si>
    <t>Outcome 2: # of male beneficiaries engaged in home-based income generation</t>
  </si>
  <si>
    <t>Outcome and Output Indicators</t>
  </si>
  <si>
    <t>Individuals receiving entrepreneurship support (through start-up grants, incubation services…) after benefitting from employability support (skills training, internship, etc…)</t>
  </si>
  <si>
    <r>
      <t>Outcome 2 outcome &amp; output indicators</t>
    </r>
    <r>
      <rPr>
        <b/>
        <sz val="10"/>
        <color indexed="8"/>
        <rFont val="Arial"/>
        <family val="2"/>
      </rPr>
      <t xml:space="preserve"> (Governorate level)</t>
    </r>
  </si>
  <si>
    <t xml:space="preserve">Reporting to include an attribute: ‘Does your programme specifically/primarily target one of these beneficiary groups: [Women/Youth/PWD/No]’.
Reporting to include an attribute: Government Strategy Supported [MoET SME Strategy; MoAg Strategy: MoIndustry Strategy; MEHE TVET Roadmap].
Reporting to include an attribute: Economic Sector Targeted by intervention [Agriculture, forestry and fishing; Hospitality &amp; Tourism; Hairdressing &amp; Other Beauty; Handicraft;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IT, Information and communication; Financial and insurance activities; Administrative and support service activities; Arts, entertainment and recreation; Home based activities; Other service activities]
</t>
  </si>
  <si>
    <t>Put '1' in This line each month for which your programme will be ongoing in this location</t>
  </si>
  <si>
    <t>Reporting to include an attribute: Government Strategy Supported [MoET SME Strategy; MoAg Strategy: MoIndustry Strategy; MEHE TVET Roadmap].
Reporting to include an attribute: Economic Sector Targeted by intervention [Agriculture, forestry and fishing; Hospitality &amp; Tourism; Hairdressing &amp; Other Beauty; Handicraft;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IT, Information and communication; Financial and insurance activities; Administrative and support service activities; Arts, entertainment and recreation; Home based activities; Other service activities]</t>
  </si>
  <si>
    <t>"Reporting to include an attribute: ‘Does your programme specifically/primarily target one of these beneficiary groups: [Women/Youth/PWD/No]’.
Reporting to include an attribute: Government Strategy Supported [MoET SME Strategy; MoAg Strategy: MoIndustry Strategy; MEHE TVET Roadmap].
Reporting to include an attribute: Economic Sector Targeted by intervention [Agriculture, forestry and fishing; Hospitality &amp; Tourism; Hairdressing &amp; Other Beauty; Handicraft;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IT, Information and communication; Financial and insurance activities; Administrative and support service activities; Arts, entertainment and recreation; Home based activities; Other service activities]</t>
  </si>
  <si>
    <r>
      <rPr>
        <b/>
        <sz val="8"/>
        <color indexed="10"/>
        <rFont val="Arial"/>
        <family val="2"/>
      </rPr>
      <t>"Reporting to include an attribute: ‘Does your programme specifically/primarily target one of these beneficiary groups: [Women/Youth/PWD/No]’.
Reporting to include an attribute: Government Strategy Supported [MoET SME Strategy; MoAg Strategy: MoIndustry Strategy; MEHE TVET Roadmap].
Reporting to include an attribute: Economic Sector Targeted by intervention [Agriculture, forestry and fishing; Hospitality &amp; Tourism; Hairdressing &amp; Other Beauty; Handicraft;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IT, Information and communication; Financial and insurance activities; Administrative and support service activities; Arts, entertainment and recreation; Home based activities; Other service activities]
Reporting to include: training certified/accredited [ tick boxes: Yes – MEHE/ Yes – MOSA/ Yes- MOL – Yes/ MOA – Yes / other - No].</t>
    </r>
    <r>
      <rPr>
        <sz val="8"/>
        <rFont val="Arial"/>
        <family val="2"/>
      </rPr>
      <t xml:space="preserve">
*The</t>
    </r>
    <r>
      <rPr>
        <b/>
        <sz val="8"/>
        <rFont val="Arial"/>
        <family val="2"/>
      </rPr>
      <t xml:space="preserve"> workforce </t>
    </r>
    <r>
      <rPr>
        <sz val="8"/>
        <rFont val="Arial"/>
        <family val="2"/>
      </rPr>
      <t xml:space="preserve">comprises all persons of working age who constitute the supply of labor for the production of goods and services (whether employed or unemployed).
* </t>
    </r>
    <r>
      <rPr>
        <b/>
        <sz val="8"/>
        <rFont val="Arial"/>
        <family val="2"/>
      </rPr>
      <t>Employability</t>
    </r>
    <r>
      <rPr>
        <sz val="8"/>
        <rFont val="Arial"/>
        <family val="2"/>
      </rPr>
      <t xml:space="preserve"> refers to a set of capacities/abilities – that may include the skills, understandings and personal attributes - that allow individuals to gain employment and to be successful in their occupations.</t>
    </r>
  </si>
  <si>
    <t xml:space="preserve">Social entreprises are entreprise whose primary purpose is to drive social change. They aim at having a lasting, transformational benefit to society, which sets this business model and its practitioners apart from more traditional corporate entities. They are different from NGOs as they do generate income and profits. </t>
  </si>
  <si>
    <t>Activity 3: Provision of entrepreneurship services to job seekers (including the provision of financial / technical support, etc.)</t>
  </si>
  <si>
    <t>Activity-1.1.6: Support social enterprise projects</t>
  </si>
  <si>
    <t xml:space="preserve">OUTCOME 2: Improve workforce employability      </t>
  </si>
  <si>
    <t>Put '1' in each line month for which your programme will be ongoing in this location</t>
  </si>
  <si>
    <t>2.1.1.2: # of female LEB completing market based skills training</t>
  </si>
  <si>
    <t>2.1.1.2: # of male LEB completing market based skills training</t>
  </si>
  <si>
    <t>2.1.1.2: # of female SYR completing market based skills training</t>
  </si>
  <si>
    <t>2.1.1.2: # of male SYR completing market based skills training</t>
  </si>
  <si>
    <t>2.1.1.2: # of female PRS completing market based skills training</t>
  </si>
  <si>
    <t>2.1.1.2: # of male PRS completing market based skills training</t>
  </si>
  <si>
    <t>2.1.1.2: # of female PRL completing market based skills training</t>
  </si>
  <si>
    <t>2.1.1.2: # of male PRL completing market based skills training</t>
  </si>
  <si>
    <t>Activity 1: Provision of market based skills (re-) training programmes, in particular for women and youth, based on market demand and supply.</t>
  </si>
  <si>
    <r>
      <t>These skills trainings are typically of short</t>
    </r>
    <r>
      <rPr>
        <sz val="8"/>
        <color indexed="8"/>
        <rFont val="Noteworthy Light"/>
        <family val="2"/>
      </rPr>
      <t>‐</t>
    </r>
    <r>
      <rPr>
        <sz val="8"/>
        <color indexed="8"/>
        <rFont val="Arial"/>
        <family val="2"/>
      </rPr>
      <t>term, accelerated nature, and are therefore not labelled ‘vocational training’ as they do not fall within the formal technical education system, aiming to target precisely beneficiaries who are unable or unwilling to engage in longer terms curricula and yet need support to become employable. Moreover, as their aim is to foster access to income opportunities and jobs for beneficiaries from vulnerable groups, they also differ from life</t>
    </r>
    <r>
      <rPr>
        <sz val="8"/>
        <color indexed="8"/>
        <rFont val="Noteworthy Light"/>
        <family val="2"/>
      </rPr>
      <t>‐</t>
    </r>
    <r>
      <rPr>
        <sz val="8"/>
        <color indexed="8"/>
        <rFont val="Arial"/>
        <family val="2"/>
      </rPr>
      <t>skills training or other skills training aiming at empowering beneficiaries without necessarily aiming at increasing their access to employment (for example from protection partners). Finally, as the denomination indicates, market based skills training are based on a market analysis and are therefore addressing a skill gap in the labour market.</t>
    </r>
  </si>
  <si>
    <t>2.2.2.2:# of employment / livelihoods centers created</t>
  </si>
  <si>
    <t>Output 1 indicators  (Governorate level)</t>
  </si>
  <si>
    <t>Output 2 indicators  (Governorate level)</t>
  </si>
  <si>
    <t>1.1.6.1:#of social enterprises supported</t>
  </si>
  <si>
    <t>1.1.7.1:# SMEs accessing financing alternatives at growth stage</t>
  </si>
  <si>
    <r>
      <rPr>
        <b/>
        <sz val="8"/>
        <color indexed="10"/>
        <rFont val="Arial"/>
        <family val="2"/>
      </rPr>
      <t>"Reporting to include an attribute: ‘Does your programme specifically/primarily target one of these beneficiary groups: [Women/Youth/PWD/No]’.
Reporting to include an attribute: Government Strategy Supported [MoET SME Strategy; MoAg Strategy: MoIndustry Strategy; MEHE TVET Roadmap].
Reporting to include an attribute: Economic Sector Targeted by intervention [Agriculture, forestry and fishing; Hospitality &amp; Tourism; Hairdressing &amp; Other Beauty; Handicraft; Manufacturing; Electricity, gas, steam and air conditioning supply;  Water supply; sewerage, waste management and remediation activities; Construction; Wholesale and retail trade; repair of motor vehicles and motorcycles; Transportation and storage; Accommodation and food service activities; IT, Information and communication; Financial and insurance activities; Administrative and support service activities; Arts, entertainment and recreation; Home based activities; Other service activities]</t>
    </r>
    <r>
      <rPr>
        <b/>
        <sz val="8"/>
        <color indexed="8"/>
        <rFont val="Arial"/>
        <family val="2"/>
      </rPr>
      <t xml:space="preserve">
*Vulnerable areas</t>
    </r>
    <r>
      <rPr>
        <sz val="8"/>
        <color indexed="8"/>
        <rFont val="Arial"/>
        <family val="2"/>
      </rPr>
      <t xml:space="preserve"> refer to the cadastres such as the ones identified as most vulnerable cadasters through the inter-agency vulnerability map (i.e. concentration of poverty and refugees). 
*</t>
    </r>
    <r>
      <rPr>
        <b/>
        <sz val="8"/>
        <color indexed="8"/>
        <rFont val="Arial"/>
        <family val="2"/>
      </rPr>
      <t>Labor intensive investments</t>
    </r>
    <r>
      <rPr>
        <sz val="8"/>
        <color indexed="8"/>
        <rFont val="Arial"/>
        <family val="2"/>
      </rPr>
      <t xml:space="preserve"> require a large amount of labor to produce goods or services and are typically measured in proportion to the amount of capital required to produce them - the higher the proportion of labor costs required, the more labor intensive the business (i.e. the agriculture or construction sectors).
*</t>
    </r>
    <r>
      <rPr>
        <b/>
        <sz val="8"/>
        <color indexed="8"/>
        <rFont val="Arial"/>
        <family val="2"/>
      </rPr>
      <t>Productive infrastructure</t>
    </r>
    <r>
      <rPr>
        <sz val="8"/>
        <color indexed="8"/>
        <rFont val="Arial"/>
        <family val="2"/>
      </rPr>
      <t xml:space="preserve"> is infrastructure considered as critical for public and private production which encourages investments and contributes to economic development (i.e. transport, communication and energy).
*</t>
    </r>
    <r>
      <rPr>
        <b/>
        <sz val="8"/>
        <color indexed="8"/>
        <rFont val="Arial"/>
        <family val="2"/>
      </rPr>
      <t xml:space="preserve">An asset </t>
    </r>
    <r>
      <rPr>
        <sz val="8"/>
        <color indexed="8"/>
        <rFont val="Arial"/>
        <family val="2"/>
      </rPr>
      <t>is a resource with economic value that an entity owns, benefits from or has use of in generating income.</t>
    </r>
  </si>
  <si>
    <t>http://data.unhcr.org/syrianrefugees/download.php?id=15305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</si>
</sst>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_(* #,##0_);_(* \(#,##0\);_(* &quot;-&quot;??_);_(@_)"/>
    <numFmt numFmtId="168" formatCode="&quot;$&quot;#,##0.00"/>
    <numFmt numFmtId="169" formatCode="&quot;$&quot;#,##0"/>
    <numFmt numFmtId="170" formatCode="0.0"/>
    <numFmt numFmtId="171" formatCode="_(&quot;$&quot;* #,##0_);_(&quot;$&quot;* \(#,##0\);_(&quot;$&quot;* &quot;-&quot;??_);_(@_)"/>
    <numFmt numFmtId="172" formatCode="0_);\(0\)"/>
    <numFmt numFmtId="173" formatCode="#,##0.0000"/>
    <numFmt numFmtId="174" formatCode="#,##0.000"/>
    <numFmt numFmtId="175" formatCode="0.0000"/>
  </numFmts>
  <fonts count="121">
    <font>
      <sz val="11"/>
      <color theme="1"/>
      <name val="Calibri"/>
      <family val="2"/>
    </font>
    <font>
      <sz val="11"/>
      <color indexed="8"/>
      <name val="Calibri"/>
      <family val="2"/>
    </font>
    <font>
      <b/>
      <sz val="11"/>
      <color indexed="8"/>
      <name val="Calibri"/>
      <family val="2"/>
    </font>
    <font>
      <sz val="10"/>
      <name val="Arial"/>
      <family val="2"/>
    </font>
    <font>
      <sz val="18"/>
      <name val="Calibri"/>
      <family val="2"/>
    </font>
    <font>
      <b/>
      <sz val="11"/>
      <name val="Calibri"/>
      <family val="2"/>
    </font>
    <font>
      <sz val="18"/>
      <color indexed="62"/>
      <name val="Calibri"/>
      <family val="2"/>
    </font>
    <font>
      <sz val="11"/>
      <color indexed="62"/>
      <name val="Calibri"/>
      <family val="2"/>
    </font>
    <font>
      <b/>
      <sz val="18"/>
      <color indexed="62"/>
      <name val="Calibri"/>
      <family val="2"/>
    </font>
    <font>
      <sz val="10"/>
      <name val="Calibri Light"/>
      <family val="2"/>
    </font>
    <font>
      <sz val="14"/>
      <color indexed="9"/>
      <name val="Calibri Light"/>
      <family val="2"/>
    </font>
    <font>
      <b/>
      <sz val="18"/>
      <name val="Calibri"/>
      <family val="2"/>
    </font>
    <font>
      <b/>
      <sz val="16"/>
      <name val="Calibri"/>
      <family val="2"/>
    </font>
    <font>
      <b/>
      <sz val="10"/>
      <name val="Calibri Light"/>
      <family val="2"/>
    </font>
    <font>
      <b/>
      <sz val="12"/>
      <name val="Calibri Light"/>
      <family val="2"/>
    </font>
    <font>
      <b/>
      <sz val="16"/>
      <name val="Calibri Light"/>
      <family val="2"/>
    </font>
    <font>
      <sz val="11"/>
      <name val="Calibri"/>
      <family val="2"/>
    </font>
    <font>
      <sz val="14"/>
      <name val="Calibri Light"/>
      <family val="2"/>
    </font>
    <font>
      <sz val="12"/>
      <name val="Calibri Light"/>
      <family val="2"/>
    </font>
    <font>
      <b/>
      <sz val="22"/>
      <color indexed="8"/>
      <name val="Calibri"/>
      <family val="2"/>
    </font>
    <font>
      <sz val="16"/>
      <name val="Calibri Light"/>
      <family val="2"/>
    </font>
    <font>
      <b/>
      <sz val="11"/>
      <name val="Calibri Light"/>
      <family val="2"/>
    </font>
    <font>
      <b/>
      <sz val="14"/>
      <color indexed="54"/>
      <name val="Calibri"/>
      <family val="2"/>
    </font>
    <font>
      <b/>
      <sz val="14"/>
      <name val="Calibri"/>
      <family val="2"/>
    </font>
    <font>
      <b/>
      <sz val="14"/>
      <color indexed="8"/>
      <name val="Calibri"/>
      <family val="2"/>
    </font>
    <font>
      <sz val="16"/>
      <name val="Calibri"/>
      <family val="2"/>
    </font>
    <font>
      <sz val="14"/>
      <name val="Calibri"/>
      <family val="2"/>
    </font>
    <font>
      <sz val="12"/>
      <color indexed="8"/>
      <name val="Times New Roman"/>
      <family val="2"/>
    </font>
    <font>
      <b/>
      <sz val="12"/>
      <color indexed="8"/>
      <name val="Times New Roman"/>
      <family val="1"/>
    </font>
    <font>
      <sz val="12"/>
      <name val="Times New Roman"/>
      <family val="2"/>
    </font>
    <font>
      <b/>
      <sz val="12"/>
      <name val="Times New Roman"/>
      <family val="1"/>
    </font>
    <font>
      <b/>
      <sz val="9"/>
      <name val="Tahoma"/>
      <family val="2"/>
    </font>
    <font>
      <sz val="9"/>
      <name val="Tahoma"/>
      <family val="2"/>
    </font>
    <font>
      <b/>
      <sz val="20"/>
      <color indexed="10"/>
      <name val="Calibri"/>
      <family val="2"/>
    </font>
    <font>
      <b/>
      <sz val="20"/>
      <name val="Calibri"/>
      <family val="2"/>
    </font>
    <font>
      <sz val="10"/>
      <name val="Calibri"/>
      <family val="2"/>
    </font>
    <font>
      <b/>
      <sz val="16"/>
      <color indexed="8"/>
      <name val="Times New Roman"/>
      <family val="1"/>
    </font>
    <font>
      <sz val="10"/>
      <color indexed="8"/>
      <name val="Calibri"/>
      <family val="2"/>
    </font>
    <font>
      <sz val="12"/>
      <color indexed="62"/>
      <name val="Calibri"/>
      <family val="2"/>
    </font>
    <font>
      <b/>
      <sz val="14"/>
      <color indexed="8"/>
      <name val="Times New Roman"/>
      <family val="1"/>
    </font>
    <font>
      <b/>
      <sz val="16"/>
      <name val="Times New Roman"/>
      <family val="1"/>
    </font>
    <font>
      <i/>
      <sz val="12"/>
      <name val="Times New Roman"/>
      <family val="2"/>
    </font>
    <font>
      <b/>
      <sz val="18"/>
      <color indexed="30"/>
      <name val="Arial"/>
      <family val="2"/>
    </font>
    <font>
      <b/>
      <sz val="10"/>
      <color indexed="30"/>
      <name val="Arial"/>
      <family val="2"/>
    </font>
    <font>
      <u val="single"/>
      <sz val="11"/>
      <color indexed="30"/>
      <name val="Calibri"/>
      <family val="2"/>
    </font>
    <font>
      <b/>
      <u val="single"/>
      <sz val="11"/>
      <color indexed="30"/>
      <name val="Calibri"/>
      <family val="2"/>
    </font>
    <font>
      <sz val="8"/>
      <color indexed="8"/>
      <name val="Arial"/>
      <family val="2"/>
    </font>
    <font>
      <b/>
      <sz val="10"/>
      <color indexed="57"/>
      <name val="Arial"/>
      <family val="2"/>
    </font>
    <font>
      <b/>
      <sz val="10"/>
      <color indexed="8"/>
      <name val="Arial"/>
      <family val="2"/>
    </font>
    <font>
      <b/>
      <sz val="8"/>
      <color indexed="8"/>
      <name val="Arial"/>
      <family val="2"/>
    </font>
    <font>
      <b/>
      <u val="single"/>
      <sz val="10"/>
      <color indexed="8"/>
      <name val="Arial"/>
      <family val="2"/>
    </font>
    <font>
      <sz val="8"/>
      <color indexed="10"/>
      <name val="Arial"/>
      <family val="2"/>
    </font>
    <font>
      <sz val="8"/>
      <name val="Arial"/>
      <family val="2"/>
    </font>
    <font>
      <sz val="8"/>
      <color indexed="57"/>
      <name val="Arial"/>
      <family val="2"/>
    </font>
    <font>
      <b/>
      <sz val="8"/>
      <name val="Arial"/>
      <family val="2"/>
    </font>
    <font>
      <b/>
      <sz val="8"/>
      <color indexed="10"/>
      <name val="Arial"/>
      <family val="2"/>
    </font>
    <font>
      <u val="single"/>
      <sz val="8"/>
      <color indexed="8"/>
      <name val="Arial"/>
      <family val="2"/>
    </font>
    <font>
      <b/>
      <sz val="8"/>
      <color indexed="57"/>
      <name val="Arial"/>
      <family val="2"/>
    </font>
    <font>
      <sz val="12"/>
      <color indexed="8"/>
      <name val="Arial"/>
      <family val="2"/>
    </font>
    <font>
      <b/>
      <u val="single"/>
      <sz val="10"/>
      <color indexed="57"/>
      <name val="Arial"/>
      <family val="2"/>
    </font>
    <font>
      <b/>
      <sz val="12"/>
      <color indexed="8"/>
      <name val="Arial"/>
      <family val="2"/>
    </font>
    <font>
      <sz val="8"/>
      <color indexed="8"/>
      <name val="Noteworthy Light"/>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0"/>
      <name val="Calibri Light"/>
      <family val="2"/>
    </font>
    <font>
      <b/>
      <sz val="22"/>
      <color theme="1"/>
      <name val="Calibri"/>
      <family val="2"/>
    </font>
    <font>
      <sz val="11"/>
      <color theme="8"/>
      <name val="Calibri"/>
      <family val="2"/>
    </font>
    <font>
      <sz val="18"/>
      <color theme="8"/>
      <name val="Calibri"/>
      <family val="2"/>
    </font>
    <font>
      <b/>
      <sz val="18"/>
      <color theme="8"/>
      <name val="Calibri"/>
      <family val="2"/>
    </font>
    <font>
      <b/>
      <sz val="14"/>
      <color theme="3"/>
      <name val="Calibri"/>
      <family val="2"/>
    </font>
    <font>
      <sz val="10"/>
      <color theme="1"/>
      <name val="Calibri"/>
      <family val="2"/>
    </font>
    <font>
      <b/>
      <sz val="12"/>
      <color theme="1"/>
      <name val="Times New Roman"/>
      <family val="1"/>
    </font>
    <font>
      <sz val="12"/>
      <color theme="8"/>
      <name val="Calibri"/>
      <family val="2"/>
    </font>
    <font>
      <b/>
      <sz val="14"/>
      <color theme="1"/>
      <name val="Times New Roman"/>
      <family val="1"/>
    </font>
    <font>
      <b/>
      <sz val="20"/>
      <color rgb="FFFF0000"/>
      <name val="Calibri"/>
      <family val="2"/>
    </font>
    <font>
      <b/>
      <sz val="16"/>
      <color theme="1"/>
      <name val="Times New Roman"/>
      <family val="1"/>
    </font>
    <font>
      <b/>
      <sz val="10"/>
      <color rgb="FF0072BC"/>
      <name val="Arial"/>
      <family val="2"/>
    </font>
    <font>
      <b/>
      <u val="single"/>
      <sz val="11"/>
      <color theme="10"/>
      <name val="Calibri"/>
      <family val="2"/>
    </font>
    <font>
      <sz val="8"/>
      <color theme="1"/>
      <name val="Arial"/>
      <family val="2"/>
    </font>
    <font>
      <b/>
      <sz val="10"/>
      <color theme="9" tint="-0.24997000396251678"/>
      <name val="Arial"/>
      <family val="2"/>
    </font>
    <font>
      <b/>
      <sz val="10"/>
      <color theme="1"/>
      <name val="Arial"/>
      <family val="2"/>
    </font>
    <font>
      <b/>
      <sz val="8"/>
      <color theme="1"/>
      <name val="Arial"/>
      <family val="2"/>
    </font>
    <font>
      <b/>
      <sz val="8"/>
      <color rgb="FFFF0000"/>
      <name val="Arial"/>
      <family val="2"/>
    </font>
    <font>
      <sz val="12"/>
      <color theme="1"/>
      <name val="Arial"/>
      <family val="2"/>
    </font>
    <font>
      <b/>
      <sz val="12"/>
      <color theme="1"/>
      <name val="Arial"/>
      <family val="2"/>
    </font>
    <font>
      <b/>
      <sz val="18"/>
      <color rgb="FF0072BC"/>
      <name val="Arial"/>
      <family val="2"/>
    </font>
    <font>
      <b/>
      <u val="single"/>
      <sz val="10"/>
      <color theme="1"/>
      <name val="Arial"/>
      <family val="2"/>
    </font>
    <font>
      <b/>
      <sz val="14"/>
      <color theme="1"/>
      <name val="Calibri"/>
      <family val="2"/>
    </font>
    <font>
      <b/>
      <sz val="8"/>
      <name val="Calibri"/>
      <family val="2"/>
    </font>
  </fonts>
  <fills count="50">
    <fill>
      <patternFill/>
    </fill>
    <fill>
      <patternFill patternType="gray125"/>
    </fill>
    <fill>
      <patternFill patternType="solid">
        <fgColor theme="8" tint="0.799979984760284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9" tint="0.39998000860214233"/>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style="thin"/>
      <right style="thin"/>
      <top/>
      <bottom style="thin"/>
    </border>
    <border>
      <left style="thin"/>
      <right style="thin"/>
      <top style="thin"/>
      <bottom style="thin"/>
    </border>
    <border>
      <left/>
      <right/>
      <top style="thin"/>
      <bottom style="thin"/>
    </border>
    <border>
      <left style="thin"/>
      <right style="thin"/>
      <top style="thin"/>
      <bottom style="medium"/>
    </border>
    <border>
      <left/>
      <right style="thick">
        <color theme="0"/>
      </right>
      <top/>
      <bottom style="thin"/>
    </border>
    <border>
      <left style="thick">
        <color theme="0"/>
      </left>
      <right style="thick">
        <color theme="0"/>
      </right>
      <top/>
      <bottom style="thin"/>
    </border>
    <border>
      <left/>
      <right style="thick">
        <color theme="0"/>
      </right>
      <top/>
      <bottom/>
    </border>
    <border>
      <left style="thin"/>
      <right/>
      <top style="thin"/>
      <bottom style="thin"/>
    </border>
    <border>
      <left style="thin"/>
      <right style="thin"/>
      <top/>
      <bottom/>
    </border>
    <border>
      <left style="medium"/>
      <right style="medium"/>
      <top style="medium"/>
      <bottom style="medium"/>
    </border>
    <border>
      <left/>
      <right/>
      <top style="medium"/>
      <bottom style="medium"/>
    </border>
    <border>
      <left style="medium"/>
      <right style="medium"/>
      <top/>
      <bottom style="medium"/>
    </border>
    <border>
      <left style="medium"/>
      <right/>
      <top style="medium"/>
      <bottom style="medium"/>
    </border>
    <border>
      <left/>
      <right style="medium"/>
      <top style="medium"/>
      <bottom style="medium"/>
    </border>
    <border>
      <left style="thin"/>
      <right style="medium"/>
      <top style="thin"/>
      <bottom style="medium"/>
    </border>
    <border>
      <left style="medium"/>
      <right style="medium"/>
      <top style="thin"/>
      <bottom style="medium"/>
    </border>
    <border>
      <left style="medium"/>
      <right style="thin"/>
      <top style="thin"/>
      <bottom style="medium"/>
    </border>
    <border>
      <left style="thin"/>
      <right style="thin"/>
      <top style="thin"/>
      <bottom/>
    </border>
    <border>
      <left/>
      <right style="thin"/>
      <top style="thin"/>
      <bottom/>
    </border>
    <border>
      <left style="thin"/>
      <right/>
      <top style="thin"/>
      <bottom/>
    </border>
    <border>
      <left style="thick">
        <color theme="0"/>
      </left>
      <right style="thick">
        <color theme="0"/>
      </right>
      <top/>
      <bottom/>
    </border>
    <border>
      <left/>
      <right style="thick">
        <color theme="0"/>
      </right>
      <top style="thin"/>
      <bottom style="thin"/>
    </border>
    <border>
      <left style="thick">
        <color theme="0"/>
      </left>
      <right style="thick">
        <color theme="0"/>
      </right>
      <top style="thin"/>
      <bottom style="thin"/>
    </border>
    <border>
      <left/>
      <right style="thin"/>
      <top style="thin"/>
      <bottom style="thin"/>
    </border>
    <border>
      <left style="thin"/>
      <right/>
      <top style="thin"/>
      <bottom style="medium"/>
    </border>
    <border>
      <left style="thin"/>
      <right/>
      <top/>
      <bottom style="thin"/>
    </border>
    <border>
      <left/>
      <right style="thin"/>
      <top/>
      <bottom style="thin"/>
    </border>
    <border>
      <left style="thin"/>
      <right style="thin"/>
      <top style="medium"/>
      <bottom style="thin"/>
    </border>
    <border>
      <left style="thin"/>
      <right style="medium"/>
      <top style="medium"/>
      <bottom style="medium"/>
    </border>
    <border>
      <left style="medium"/>
      <right style="medium"/>
      <top style="medium"/>
      <bottom/>
    </border>
    <border>
      <left style="medium"/>
      <right style="medium"/>
      <top/>
      <bottom/>
    </border>
    <border>
      <left/>
      <right/>
      <top style="medium"/>
      <bottom style="thin"/>
    </border>
    <border>
      <left style="thin"/>
      <right/>
      <top style="medium"/>
      <bottom style="thin"/>
    </border>
    <border>
      <left/>
      <right style="medium"/>
      <top style="medium"/>
      <bottom style="thin"/>
    </border>
    <border>
      <left style="medium"/>
      <right style="medium"/>
      <top style="medium"/>
      <bottom style="thin"/>
    </border>
    <border>
      <left style="medium"/>
      <right style="thin"/>
      <top style="medium"/>
      <bottom style="thin"/>
    </border>
    <border>
      <left/>
      <right/>
      <top style="medium"/>
      <bottom/>
    </border>
    <border>
      <left style="medium"/>
      <right/>
      <top/>
      <bottom/>
    </border>
    <border>
      <left/>
      <right style="medium"/>
      <top/>
      <bottom/>
    </border>
    <border>
      <left style="medium"/>
      <right style="thin"/>
      <top/>
      <bottom style="thin"/>
    </border>
    <border>
      <left style="medium"/>
      <right style="thin"/>
      <top style="thin"/>
      <bottom style="thin"/>
    </border>
    <border>
      <left style="medium"/>
      <right/>
      <top style="thin"/>
      <bottom/>
    </border>
    <border>
      <left style="medium"/>
      <right/>
      <top/>
      <bottom style="medium"/>
    </border>
    <border>
      <left/>
      <right/>
      <top/>
      <bottom style="medium"/>
    </border>
    <border>
      <left/>
      <right style="medium"/>
      <top/>
      <bottom style="medium"/>
    </border>
    <border>
      <left/>
      <right style="medium"/>
      <top style="medium"/>
      <bottom/>
    </border>
    <border>
      <left style="thin"/>
      <right style="medium"/>
      <top style="thin"/>
      <bottom style="thin"/>
    </border>
    <border>
      <left style="medium"/>
      <right/>
      <top style="thin"/>
      <bottom style="thin"/>
    </border>
    <border>
      <left style="medium"/>
      <right/>
      <top/>
      <bottom style="thin"/>
    </border>
    <border>
      <left style="medium"/>
      <right/>
      <top style="medium"/>
      <bottom/>
    </border>
    <border>
      <left style="thin"/>
      <right/>
      <top/>
      <bottom/>
    </border>
    <border>
      <left/>
      <right style="thin"/>
      <top style="medium"/>
      <bottom style="thin"/>
    </border>
    <border>
      <left/>
      <right style="thin"/>
      <top/>
      <bottom/>
    </border>
    <border>
      <left style="medium"/>
      <right/>
      <top style="medium"/>
      <bottom style="thin"/>
    </border>
    <border>
      <left/>
      <right style="thin"/>
      <top style="thin"/>
      <bottom style="medium"/>
    </border>
    <border>
      <left/>
      <right/>
      <top style="thin"/>
      <bottom style="medium"/>
    </border>
    <border>
      <left/>
      <right style="medium"/>
      <top style="thin"/>
      <bottom style="medium"/>
    </border>
    <border>
      <left style="thin"/>
      <right/>
      <top style="medium"/>
      <bottom/>
    </border>
    <border>
      <left/>
      <right style="thin"/>
      <top style="medium"/>
      <bottom/>
    </border>
    <border>
      <left/>
      <right style="medium"/>
      <top style="thin"/>
      <bottom style="thin"/>
    </border>
    <border>
      <left/>
      <right style="medium"/>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6" fontId="3"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5" fontId="81"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3" fillId="0" borderId="0">
      <alignment/>
      <protection/>
    </xf>
    <xf numFmtId="0" fontId="81"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876">
    <xf numFmtId="0" fontId="0" fillId="0" borderId="0" xfId="0" applyFont="1" applyAlignment="1">
      <alignment/>
    </xf>
    <xf numFmtId="0" fontId="0" fillId="0" borderId="0" xfId="0" applyAlignment="1">
      <alignment wrapText="1"/>
    </xf>
    <xf numFmtId="0" fontId="9" fillId="0" borderId="10" xfId="60" applyFont="1" applyBorder="1" applyAlignment="1">
      <alignment horizontal="left" vertical="center"/>
      <protection/>
    </xf>
    <xf numFmtId="0" fontId="9" fillId="0" borderId="0" xfId="60" applyFont="1" applyFill="1" applyBorder="1" applyAlignment="1">
      <alignment vertical="center"/>
      <protection/>
    </xf>
    <xf numFmtId="0" fontId="14" fillId="0" borderId="0" xfId="60" applyFont="1" applyFill="1" applyBorder="1" applyAlignment="1">
      <alignment vertical="center"/>
      <protection/>
    </xf>
    <xf numFmtId="0" fontId="0" fillId="0" borderId="11" xfId="0" applyBorder="1" applyAlignment="1">
      <alignment horizontal="center" wrapText="1"/>
    </xf>
    <xf numFmtId="0" fontId="0" fillId="0" borderId="0" xfId="0" applyBorder="1" applyAlignment="1">
      <alignment wrapText="1"/>
    </xf>
    <xf numFmtId="167" fontId="96" fillId="0" borderId="0" xfId="45" applyNumberFormat="1" applyFont="1" applyFill="1" applyBorder="1" applyAlignment="1">
      <alignment vertical="center"/>
    </xf>
    <xf numFmtId="0" fontId="16" fillId="0" borderId="12" xfId="0" applyFont="1" applyFill="1" applyBorder="1" applyAlignment="1">
      <alignment vertical="top" wrapText="1"/>
    </xf>
    <xf numFmtId="0" fontId="16" fillId="33" borderId="13" xfId="0" applyFont="1" applyFill="1" applyBorder="1" applyAlignment="1">
      <alignment vertical="top" wrapText="1"/>
    </xf>
    <xf numFmtId="0" fontId="16" fillId="0" borderId="13" xfId="0" applyFont="1" applyFill="1" applyBorder="1" applyAlignment="1">
      <alignment vertical="top" wrapText="1"/>
    </xf>
    <xf numFmtId="0" fontId="0" fillId="0" borderId="0" xfId="0" applyFill="1" applyAlignment="1">
      <alignment wrapText="1"/>
    </xf>
    <xf numFmtId="0" fontId="9" fillId="0" borderId="0" xfId="60" applyFont="1" applyBorder="1" applyAlignment="1">
      <alignment horizontal="right" vertical="center"/>
      <protection/>
    </xf>
    <xf numFmtId="0" fontId="9" fillId="0" borderId="0" xfId="60" applyFont="1" applyBorder="1" applyAlignment="1">
      <alignment horizontal="left" vertical="center"/>
      <protection/>
    </xf>
    <xf numFmtId="0" fontId="97" fillId="0" borderId="0" xfId="0" applyFont="1" applyAlignment="1">
      <alignment wrapText="1"/>
    </xf>
    <xf numFmtId="0" fontId="20" fillId="0" borderId="0" xfId="60" applyFont="1" applyBorder="1" applyAlignment="1">
      <alignment vertical="center"/>
      <protection/>
    </xf>
    <xf numFmtId="0" fontId="0" fillId="0" borderId="0" xfId="0" applyFont="1" applyAlignment="1">
      <alignment wrapText="1"/>
    </xf>
    <xf numFmtId="0" fontId="15" fillId="34" borderId="0" xfId="60" applyFont="1" applyFill="1" applyBorder="1" applyAlignment="1">
      <alignment vertical="center"/>
      <protection/>
    </xf>
    <xf numFmtId="0" fontId="21" fillId="34" borderId="11" xfId="60" applyFont="1" applyFill="1" applyBorder="1" applyAlignment="1">
      <alignment vertical="center"/>
      <protection/>
    </xf>
    <xf numFmtId="0" fontId="21" fillId="34" borderId="14" xfId="60" applyFont="1" applyFill="1" applyBorder="1" applyAlignment="1">
      <alignment vertical="center"/>
      <protection/>
    </xf>
    <xf numFmtId="0" fontId="9" fillId="4" borderId="0" xfId="60" applyFont="1" applyFill="1" applyBorder="1" applyAlignment="1">
      <alignment horizontal="right" vertical="center"/>
      <protection/>
    </xf>
    <xf numFmtId="0" fontId="9" fillId="4" borderId="11" xfId="60" applyFont="1" applyFill="1" applyBorder="1" applyAlignment="1">
      <alignment vertical="center"/>
      <protection/>
    </xf>
    <xf numFmtId="0" fontId="9" fillId="4" borderId="14" xfId="60" applyFont="1" applyFill="1" applyBorder="1" applyAlignment="1">
      <alignment vertical="center"/>
      <protection/>
    </xf>
    <xf numFmtId="0" fontId="9" fillId="4" borderId="14" xfId="60" applyFont="1" applyFill="1" applyBorder="1" applyAlignment="1">
      <alignment horizontal="right" vertical="center" wrapText="1"/>
      <protection/>
    </xf>
    <xf numFmtId="0" fontId="0" fillId="4" borderId="0" xfId="0" applyFill="1" applyBorder="1" applyAlignment="1">
      <alignment/>
    </xf>
    <xf numFmtId="0" fontId="9" fillId="4" borderId="0" xfId="60" applyFont="1" applyFill="1" applyBorder="1" applyAlignment="1">
      <alignment horizontal="right" vertical="center" wrapText="1"/>
      <protection/>
    </xf>
    <xf numFmtId="167" fontId="9" fillId="4" borderId="0" xfId="45" applyNumberFormat="1" applyFont="1" applyFill="1" applyBorder="1" applyAlignment="1">
      <alignment vertical="center"/>
    </xf>
    <xf numFmtId="0" fontId="94" fillId="34" borderId="11" xfId="0" applyFont="1" applyFill="1" applyBorder="1" applyAlignment="1">
      <alignment horizontal="right"/>
    </xf>
    <xf numFmtId="0" fontId="5" fillId="35" borderId="15" xfId="0" applyFont="1" applyFill="1" applyBorder="1" applyAlignment="1">
      <alignment horizontal="center" vertical="top"/>
    </xf>
    <xf numFmtId="0" fontId="5" fillId="36" borderId="15" xfId="0" applyFont="1" applyFill="1" applyBorder="1" applyAlignment="1">
      <alignment horizontal="center" vertical="top"/>
    </xf>
    <xf numFmtId="0" fontId="5" fillId="36" borderId="15" xfId="0" applyFont="1" applyFill="1" applyBorder="1" applyAlignment="1">
      <alignment horizontal="center" vertical="top" wrapText="1"/>
    </xf>
    <xf numFmtId="0" fontId="16" fillId="13" borderId="13" xfId="0" applyFont="1" applyFill="1" applyBorder="1" applyAlignment="1">
      <alignment vertical="top" wrapText="1"/>
    </xf>
    <xf numFmtId="0" fontId="16" fillId="13" borderId="12" xfId="0" applyFont="1" applyFill="1" applyBorder="1" applyAlignment="1">
      <alignment vertical="top" wrapText="1"/>
    </xf>
    <xf numFmtId="0" fontId="16" fillId="7" borderId="12" xfId="0" applyFont="1" applyFill="1" applyBorder="1" applyAlignment="1">
      <alignment vertical="top" wrapText="1"/>
    </xf>
    <xf numFmtId="0" fontId="5" fillId="37" borderId="15" xfId="0" applyFont="1" applyFill="1" applyBorder="1" applyAlignment="1">
      <alignment horizontal="left" vertical="center"/>
    </xf>
    <xf numFmtId="3" fontId="16" fillId="13" borderId="13" xfId="0" applyNumberFormat="1" applyFont="1" applyFill="1" applyBorder="1" applyAlignment="1">
      <alignment vertical="top" wrapText="1"/>
    </xf>
    <xf numFmtId="3" fontId="16" fillId="7" borderId="13" xfId="0" applyNumberFormat="1" applyFont="1" applyFill="1" applyBorder="1" applyAlignment="1">
      <alignment vertical="top" wrapText="1"/>
    </xf>
    <xf numFmtId="0" fontId="5" fillId="38" borderId="15" xfId="0" applyFont="1" applyFill="1" applyBorder="1" applyAlignment="1">
      <alignment horizontal="center" vertical="top"/>
    </xf>
    <xf numFmtId="3" fontId="16" fillId="8" borderId="13" xfId="0" applyNumberFormat="1" applyFont="1" applyFill="1" applyBorder="1" applyAlignment="1">
      <alignment vertical="top" wrapText="1"/>
    </xf>
    <xf numFmtId="0" fontId="16" fillId="8" borderId="12" xfId="0" applyFont="1" applyFill="1" applyBorder="1" applyAlignment="1">
      <alignment vertical="top" wrapText="1"/>
    </xf>
    <xf numFmtId="0" fontId="5" fillId="39" borderId="15" xfId="0" applyFont="1" applyFill="1" applyBorder="1" applyAlignment="1">
      <alignment horizontal="center" vertical="top"/>
    </xf>
    <xf numFmtId="0" fontId="16" fillId="3" borderId="12" xfId="0" applyFont="1" applyFill="1" applyBorder="1" applyAlignment="1">
      <alignment vertical="top" wrapText="1"/>
    </xf>
    <xf numFmtId="3" fontId="16" fillId="3" borderId="13" xfId="0" applyNumberFormat="1" applyFont="1" applyFill="1" applyBorder="1" applyAlignment="1">
      <alignment vertical="top" wrapText="1"/>
    </xf>
    <xf numFmtId="0" fontId="5" fillId="38" borderId="15" xfId="0" applyFont="1" applyFill="1" applyBorder="1" applyAlignment="1">
      <alignment horizontal="center" vertical="top" wrapText="1"/>
    </xf>
    <xf numFmtId="0" fontId="16" fillId="8" borderId="13" xfId="0" applyFont="1" applyFill="1" applyBorder="1" applyAlignment="1">
      <alignment vertical="top" wrapText="1"/>
    </xf>
    <xf numFmtId="3" fontId="0" fillId="13" borderId="13" xfId="0" applyNumberFormat="1" applyFont="1" applyFill="1" applyBorder="1" applyAlignment="1">
      <alignment vertical="center" wrapText="1"/>
    </xf>
    <xf numFmtId="0" fontId="0" fillId="0" borderId="0" xfId="0" applyBorder="1" applyAlignment="1">
      <alignment horizontal="center" wrapText="1"/>
    </xf>
    <xf numFmtId="0" fontId="0" fillId="0" borderId="0" xfId="0" applyBorder="1" applyAlignment="1">
      <alignment/>
    </xf>
    <xf numFmtId="0" fontId="94" fillId="34" borderId="16" xfId="0" applyFont="1" applyFill="1" applyBorder="1" applyAlignment="1">
      <alignment horizontal="right"/>
    </xf>
    <xf numFmtId="0" fontId="14" fillId="8" borderId="17" xfId="60" applyFont="1" applyFill="1" applyBorder="1" applyAlignment="1">
      <alignment horizontal="right" vertical="center"/>
      <protection/>
    </xf>
    <xf numFmtId="167" fontId="9" fillId="13" borderId="18" xfId="45" applyNumberFormat="1" applyFont="1" applyFill="1" applyBorder="1" applyAlignment="1">
      <alignment vertical="center"/>
    </xf>
    <xf numFmtId="167" fontId="14" fillId="8" borderId="17" xfId="45" applyNumberFormat="1" applyFont="1" applyFill="1" applyBorder="1" applyAlignment="1" quotePrefix="1">
      <alignment horizontal="right" vertical="center" wrapText="1"/>
    </xf>
    <xf numFmtId="0" fontId="98" fillId="0" borderId="19"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xf>
    <xf numFmtId="0" fontId="99" fillId="0" borderId="0" xfId="0" applyFont="1" applyFill="1" applyBorder="1" applyAlignment="1">
      <alignment horizontal="left" wrapText="1"/>
    </xf>
    <xf numFmtId="0" fontId="0" fillId="0" borderId="0" xfId="0" applyBorder="1" applyAlignment="1">
      <alignment vertical="top" wrapText="1"/>
    </xf>
    <xf numFmtId="0" fontId="100" fillId="4" borderId="0" xfId="0" applyFont="1" applyFill="1" applyBorder="1" applyAlignment="1">
      <alignment wrapText="1"/>
    </xf>
    <xf numFmtId="0" fontId="0" fillId="4" borderId="0" xfId="0" applyFill="1" applyBorder="1" applyAlignment="1">
      <alignment wrapText="1"/>
    </xf>
    <xf numFmtId="0" fontId="100" fillId="0" borderId="0" xfId="0" applyFont="1" applyFill="1" applyBorder="1" applyAlignment="1">
      <alignment horizontal="left" wrapText="1"/>
    </xf>
    <xf numFmtId="0" fontId="100" fillId="0" borderId="0" xfId="0" applyFont="1" applyFill="1" applyBorder="1" applyAlignment="1">
      <alignment wrapText="1"/>
    </xf>
    <xf numFmtId="0" fontId="101" fillId="0" borderId="0" xfId="0" applyFont="1" applyBorder="1" applyAlignment="1">
      <alignment/>
    </xf>
    <xf numFmtId="9" fontId="26" fillId="13" borderId="13" xfId="64" applyFont="1" applyFill="1" applyBorder="1" applyAlignment="1">
      <alignment horizontal="right" wrapText="1"/>
    </xf>
    <xf numFmtId="9" fontId="26" fillId="8" borderId="13" xfId="64" applyFont="1" applyFill="1" applyBorder="1" applyAlignment="1">
      <alignment horizontal="right" wrapText="1"/>
    </xf>
    <xf numFmtId="0" fontId="101" fillId="0" borderId="0" xfId="0" applyFont="1" applyFill="1" applyBorder="1" applyAlignment="1">
      <alignment/>
    </xf>
    <xf numFmtId="0" fontId="0" fillId="0" borderId="0" xfId="0" applyFill="1" applyBorder="1" applyAlignment="1">
      <alignment horizontal="center" wrapText="1"/>
    </xf>
    <xf numFmtId="0" fontId="98" fillId="0" borderId="0" xfId="0" applyFont="1" applyFill="1" applyBorder="1" applyAlignment="1">
      <alignment vertical="top" wrapText="1"/>
    </xf>
    <xf numFmtId="0" fontId="0" fillId="0" borderId="0" xfId="0" applyFont="1" applyFill="1" applyBorder="1" applyAlignment="1">
      <alignment vertical="center" wrapText="1"/>
    </xf>
    <xf numFmtId="3" fontId="0" fillId="0" borderId="0" xfId="0" applyNumberFormat="1" applyFont="1" applyFill="1" applyBorder="1" applyAlignment="1">
      <alignment vertical="center" wrapText="1"/>
    </xf>
    <xf numFmtId="0" fontId="23" fillId="0" borderId="0" xfId="0" applyFont="1" applyFill="1" applyBorder="1" applyAlignment="1">
      <alignment vertical="center"/>
    </xf>
    <xf numFmtId="3" fontId="16" fillId="0" borderId="0" xfId="0" applyNumberFormat="1" applyFont="1" applyFill="1" applyBorder="1" applyAlignment="1">
      <alignment vertical="top" wrapText="1"/>
    </xf>
    <xf numFmtId="0" fontId="16" fillId="0" borderId="0" xfId="0" applyFont="1" applyFill="1" applyBorder="1" applyAlignment="1">
      <alignment vertical="top" wrapText="1"/>
    </xf>
    <xf numFmtId="0" fontId="0" fillId="0" borderId="0" xfId="0" applyBorder="1" applyAlignment="1">
      <alignment horizontal="center" wrapText="1"/>
    </xf>
    <xf numFmtId="3" fontId="16" fillId="40" borderId="0" xfId="0" applyNumberFormat="1" applyFont="1" applyFill="1" applyBorder="1" applyAlignment="1">
      <alignment vertical="top" wrapText="1"/>
    </xf>
    <xf numFmtId="0" fontId="0" fillId="40" borderId="0" xfId="0" applyFill="1" applyBorder="1" applyAlignment="1">
      <alignment/>
    </xf>
    <xf numFmtId="0" fontId="98" fillId="40" borderId="0" xfId="0" applyFont="1" applyFill="1" applyBorder="1" applyAlignment="1">
      <alignment vertical="top" wrapText="1"/>
    </xf>
    <xf numFmtId="3" fontId="0" fillId="40" borderId="0" xfId="0" applyNumberFormat="1" applyFont="1" applyFill="1" applyBorder="1" applyAlignment="1">
      <alignment vertical="center" wrapText="1"/>
    </xf>
    <xf numFmtId="0" fontId="0" fillId="40" borderId="0" xfId="0" applyFill="1" applyAlignment="1">
      <alignment/>
    </xf>
    <xf numFmtId="0" fontId="0" fillId="0" borderId="13" xfId="0" applyFill="1" applyBorder="1" applyAlignment="1">
      <alignment wrapText="1"/>
    </xf>
    <xf numFmtId="0" fontId="0" fillId="0" borderId="13" xfId="0" applyBorder="1" applyAlignment="1">
      <alignment wrapText="1"/>
    </xf>
    <xf numFmtId="3" fontId="0" fillId="0" borderId="13" xfId="0" applyNumberFormat="1" applyBorder="1" applyAlignment="1">
      <alignment wrapText="1"/>
    </xf>
    <xf numFmtId="0" fontId="0" fillId="0" borderId="13" xfId="0" applyBorder="1" applyAlignment="1">
      <alignment horizontal="center" wrapText="1"/>
    </xf>
    <xf numFmtId="1" fontId="0" fillId="0" borderId="13" xfId="0" applyNumberFormat="1" applyBorder="1" applyAlignment="1">
      <alignment wrapText="1"/>
    </xf>
    <xf numFmtId="9" fontId="0" fillId="0" borderId="0" xfId="64" applyFont="1" applyBorder="1" applyAlignment="1">
      <alignment wrapText="1"/>
    </xf>
    <xf numFmtId="9" fontId="0" fillId="0" borderId="0" xfId="64" applyFont="1" applyFill="1" applyBorder="1" applyAlignment="1">
      <alignment wrapText="1"/>
    </xf>
    <xf numFmtId="9" fontId="0" fillId="0" borderId="0" xfId="64" applyFont="1" applyBorder="1" applyAlignment="1">
      <alignment horizontal="center" wrapText="1"/>
    </xf>
    <xf numFmtId="0" fontId="0" fillId="0" borderId="0" xfId="0" applyFill="1"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81" fillId="0" borderId="0" xfId="61">
      <alignment/>
      <protection/>
    </xf>
    <xf numFmtId="0" fontId="81" fillId="0" borderId="0" xfId="61" applyFont="1" applyAlignment="1">
      <alignment vertical="center"/>
      <protection/>
    </xf>
    <xf numFmtId="0" fontId="81" fillId="0" borderId="0" xfId="61" applyAlignment="1">
      <alignment vertical="center"/>
      <protection/>
    </xf>
    <xf numFmtId="0" fontId="81" fillId="0" borderId="0" xfId="61" applyAlignment="1">
      <alignment horizontal="right" vertical="center"/>
      <protection/>
    </xf>
    <xf numFmtId="0" fontId="81" fillId="0" borderId="0" xfId="61" applyAlignment="1">
      <alignment horizontal="center" vertical="center"/>
      <protection/>
    </xf>
    <xf numFmtId="1" fontId="81" fillId="0" borderId="0" xfId="61" applyNumberFormat="1">
      <alignment/>
      <protection/>
    </xf>
    <xf numFmtId="1" fontId="81" fillId="0" borderId="13" xfId="61" applyNumberFormat="1" applyBorder="1">
      <alignment/>
      <protection/>
    </xf>
    <xf numFmtId="167" fontId="9" fillId="13" borderId="0" xfId="45" applyNumberFormat="1" applyFont="1" applyFill="1" applyBorder="1" applyAlignment="1">
      <alignment vertical="center"/>
    </xf>
    <xf numFmtId="167" fontId="9" fillId="13" borderId="0" xfId="45" applyNumberFormat="1" applyFont="1" applyFill="1" applyBorder="1" applyAlignment="1">
      <alignment vertical="center" wrapText="1"/>
    </xf>
    <xf numFmtId="0" fontId="5" fillId="41" borderId="15" xfId="0" applyFont="1" applyFill="1" applyBorder="1" applyAlignment="1">
      <alignment horizontal="center" vertical="top"/>
    </xf>
    <xf numFmtId="3" fontId="16" fillId="13" borderId="13" xfId="0" applyNumberFormat="1" applyFont="1" applyFill="1" applyBorder="1" applyAlignment="1">
      <alignment vertical="center" wrapText="1"/>
    </xf>
    <xf numFmtId="0" fontId="12" fillId="0" borderId="0" xfId="0" applyFont="1" applyFill="1" applyBorder="1" applyAlignment="1">
      <alignment horizontal="center" vertical="center"/>
    </xf>
    <xf numFmtId="0" fontId="12" fillId="0" borderId="0" xfId="0" applyFont="1" applyFill="1" applyBorder="1" applyAlignment="1">
      <alignment/>
    </xf>
    <xf numFmtId="0" fontId="23" fillId="0" borderId="0" xfId="0" applyFont="1" applyFill="1" applyBorder="1" applyAlignment="1">
      <alignment horizontal="center" vertical="center"/>
    </xf>
    <xf numFmtId="0" fontId="0" fillId="0" borderId="0" xfId="0" applyFill="1" applyAlignment="1">
      <alignment/>
    </xf>
    <xf numFmtId="0" fontId="100" fillId="0" borderId="0" xfId="0" applyFont="1" applyFill="1" applyBorder="1" applyAlignment="1">
      <alignment horizontal="left" vertical="center" wrapText="1"/>
    </xf>
    <xf numFmtId="0" fontId="100" fillId="0" borderId="0" xfId="0" applyFont="1" applyFill="1" applyBorder="1" applyAlignment="1">
      <alignment vertical="center" wrapText="1"/>
    </xf>
    <xf numFmtId="0" fontId="16" fillId="0" borderId="0" xfId="0" applyFont="1" applyFill="1" applyBorder="1" applyAlignment="1">
      <alignment horizontal="left" vertical="top" wrapText="1"/>
    </xf>
    <xf numFmtId="0" fontId="16" fillId="0" borderId="20" xfId="0" applyFont="1" applyFill="1" applyBorder="1" applyAlignment="1">
      <alignment vertical="top" wrapText="1"/>
    </xf>
    <xf numFmtId="0" fontId="0" fillId="0" borderId="0" xfId="0" applyBorder="1" applyAlignment="1">
      <alignment horizontal="center" wrapText="1"/>
    </xf>
    <xf numFmtId="0" fontId="12" fillId="0" borderId="0" xfId="0" applyFont="1" applyFill="1" applyBorder="1" applyAlignment="1">
      <alignment horizontal="center" vertical="center"/>
    </xf>
    <xf numFmtId="0" fontId="16" fillId="0" borderId="0" xfId="0" applyFont="1" applyBorder="1" applyAlignment="1">
      <alignment/>
    </xf>
    <xf numFmtId="0" fontId="16" fillId="0" borderId="0" xfId="0" applyFont="1" applyAlignment="1">
      <alignment/>
    </xf>
    <xf numFmtId="0" fontId="11" fillId="4" borderId="0" xfId="0" applyFont="1" applyFill="1" applyBorder="1" applyAlignment="1">
      <alignment wrapText="1"/>
    </xf>
    <xf numFmtId="0" fontId="16" fillId="0" borderId="0" xfId="0" applyFont="1" applyFill="1" applyBorder="1" applyAlignment="1">
      <alignment wrapText="1"/>
    </xf>
    <xf numFmtId="0" fontId="16" fillId="0" borderId="0" xfId="0" applyFont="1" applyFill="1" applyBorder="1" applyAlignment="1">
      <alignment/>
    </xf>
    <xf numFmtId="0" fontId="11" fillId="0" borderId="0" xfId="0" applyFont="1" applyFill="1" applyBorder="1" applyAlignment="1">
      <alignment horizontal="left" wrapText="1"/>
    </xf>
    <xf numFmtId="0" fontId="11" fillId="0" borderId="0" xfId="0" applyFont="1" applyFill="1" applyBorder="1" applyAlignment="1">
      <alignment wrapText="1"/>
    </xf>
    <xf numFmtId="0" fontId="4" fillId="0" borderId="0" xfId="0" applyFont="1" applyFill="1" applyBorder="1" applyAlignment="1">
      <alignment horizontal="left" wrapText="1"/>
    </xf>
    <xf numFmtId="0" fontId="16" fillId="0" borderId="0" xfId="0" applyFont="1" applyBorder="1" applyAlignment="1">
      <alignment wrapText="1"/>
    </xf>
    <xf numFmtId="0" fontId="16" fillId="0" borderId="0" xfId="0" applyFont="1" applyBorder="1" applyAlignment="1">
      <alignment horizontal="center" wrapText="1"/>
    </xf>
    <xf numFmtId="0" fontId="23" fillId="0" borderId="0" xfId="0" applyFont="1" applyBorder="1" applyAlignment="1">
      <alignment/>
    </xf>
    <xf numFmtId="0" fontId="16" fillId="0" borderId="11" xfId="0" applyFont="1" applyBorder="1" applyAlignment="1">
      <alignment horizontal="center" wrapText="1"/>
    </xf>
    <xf numFmtId="3" fontId="16" fillId="0" borderId="0" xfId="0" applyNumberFormat="1" applyFont="1" applyFill="1" applyBorder="1" applyAlignment="1">
      <alignment vertical="center" wrapText="1"/>
    </xf>
    <xf numFmtId="3" fontId="11" fillId="0" borderId="0" xfId="0" applyNumberFormat="1" applyFont="1" applyFill="1" applyBorder="1" applyAlignment="1">
      <alignment horizontal="left" wrapText="1"/>
    </xf>
    <xf numFmtId="0" fontId="16" fillId="0" borderId="0" xfId="0" applyFont="1" applyFill="1" applyBorder="1" applyAlignment="1">
      <alignment vertical="center" wrapText="1"/>
    </xf>
    <xf numFmtId="3" fontId="16" fillId="13" borderId="14" xfId="0" applyNumberFormat="1" applyFont="1" applyFill="1" applyBorder="1" applyAlignment="1">
      <alignment/>
    </xf>
    <xf numFmtId="9" fontId="16" fillId="13" borderId="14" xfId="0" applyNumberFormat="1" applyFont="1" applyFill="1" applyBorder="1" applyAlignment="1">
      <alignment/>
    </xf>
    <xf numFmtId="3" fontId="16" fillId="8" borderId="14" xfId="0" applyNumberFormat="1" applyFont="1" applyFill="1" applyBorder="1" applyAlignment="1">
      <alignment/>
    </xf>
    <xf numFmtId="9" fontId="16" fillId="8" borderId="14" xfId="0" applyNumberFormat="1" applyFont="1" applyFill="1" applyBorder="1" applyAlignment="1">
      <alignment/>
    </xf>
    <xf numFmtId="167" fontId="9" fillId="8" borderId="18" xfId="45" applyNumberFormat="1" applyFont="1" applyFill="1" applyBorder="1" applyAlignment="1">
      <alignment vertical="center"/>
    </xf>
    <xf numFmtId="167" fontId="9" fillId="8" borderId="18" xfId="45" applyNumberFormat="1" applyFont="1" applyFill="1" applyBorder="1" applyAlignment="1">
      <alignment vertical="center" wrapText="1"/>
    </xf>
    <xf numFmtId="173" fontId="16" fillId="0" borderId="0" xfId="0" applyNumberFormat="1" applyFont="1" applyFill="1" applyBorder="1" applyAlignment="1">
      <alignment vertical="top" wrapText="1"/>
    </xf>
    <xf numFmtId="9" fontId="26" fillId="33" borderId="13" xfId="64" applyFont="1" applyFill="1" applyBorder="1" applyAlignment="1">
      <alignment horizontal="right" wrapText="1"/>
    </xf>
    <xf numFmtId="3" fontId="16" fillId="0" borderId="0" xfId="0" applyNumberFormat="1" applyFont="1" applyFill="1" applyBorder="1" applyAlignment="1">
      <alignment wrapText="1"/>
    </xf>
    <xf numFmtId="174" fontId="16" fillId="0" borderId="0" xfId="0" applyNumberFormat="1" applyFont="1" applyFill="1" applyBorder="1" applyAlignment="1">
      <alignment wrapText="1"/>
    </xf>
    <xf numFmtId="3" fontId="11" fillId="0" borderId="0" xfId="0" applyNumberFormat="1" applyFont="1" applyFill="1" applyBorder="1" applyAlignment="1">
      <alignment wrapText="1"/>
    </xf>
    <xf numFmtId="0" fontId="16" fillId="2" borderId="12" xfId="0" applyFont="1" applyFill="1" applyBorder="1" applyAlignment="1">
      <alignment vertical="top" wrapText="1"/>
    </xf>
    <xf numFmtId="0" fontId="81" fillId="42" borderId="0" xfId="61" applyFill="1">
      <alignment/>
      <protection/>
    </xf>
    <xf numFmtId="0" fontId="29" fillId="43" borderId="21" xfId="61" applyFont="1" applyFill="1" applyBorder="1" applyAlignment="1">
      <alignment horizontal="left" vertical="center"/>
      <protection/>
    </xf>
    <xf numFmtId="0" fontId="29" fillId="43" borderId="22" xfId="61" applyFont="1" applyFill="1" applyBorder="1" applyAlignment="1">
      <alignment horizontal="left" vertical="center"/>
      <protection/>
    </xf>
    <xf numFmtId="0" fontId="29" fillId="43" borderId="21" xfId="61" applyFont="1" applyFill="1" applyBorder="1" applyAlignment="1">
      <alignment horizontal="left" vertical="center" wrapText="1"/>
      <protection/>
    </xf>
    <xf numFmtId="1" fontId="29" fillId="43" borderId="21" xfId="61" applyNumberFormat="1" applyFont="1" applyFill="1" applyBorder="1" applyAlignment="1">
      <alignment horizontal="center" vertical="center" wrapText="1"/>
      <protection/>
    </xf>
    <xf numFmtId="1" fontId="30" fillId="43" borderId="23" xfId="61" applyNumberFormat="1" applyFont="1" applyFill="1" applyBorder="1" applyAlignment="1">
      <alignment horizontal="center" vertical="center" wrapText="1"/>
      <protection/>
    </xf>
    <xf numFmtId="0" fontId="81" fillId="43" borderId="0" xfId="61" applyFill="1">
      <alignment/>
      <protection/>
    </xf>
    <xf numFmtId="0" fontId="81" fillId="34" borderId="0" xfId="61" applyFill="1">
      <alignment/>
      <protection/>
    </xf>
    <xf numFmtId="0" fontId="29" fillId="43" borderId="24" xfId="61" applyFont="1" applyFill="1" applyBorder="1" applyAlignment="1">
      <alignment horizontal="left" vertical="center" wrapText="1"/>
      <protection/>
    </xf>
    <xf numFmtId="1" fontId="29" fillId="43" borderId="25" xfId="61" applyNumberFormat="1" applyFont="1" applyFill="1" applyBorder="1" applyAlignment="1">
      <alignment horizontal="center" vertical="center" wrapText="1"/>
      <protection/>
    </xf>
    <xf numFmtId="0" fontId="29" fillId="43" borderId="26" xfId="61" applyFont="1" applyFill="1" applyBorder="1" applyAlignment="1">
      <alignment horizontal="left" vertical="center" wrapText="1"/>
      <protection/>
    </xf>
    <xf numFmtId="0" fontId="29" fillId="43" borderId="27" xfId="61" applyFont="1" applyFill="1" applyBorder="1" applyAlignment="1">
      <alignment horizontal="left" vertical="center" wrapText="1"/>
      <protection/>
    </xf>
    <xf numFmtId="1" fontId="29" fillId="43" borderId="28" xfId="61" applyNumberFormat="1" applyFont="1" applyFill="1" applyBorder="1" applyAlignment="1">
      <alignment horizontal="center" vertical="center" wrapText="1"/>
      <protection/>
    </xf>
    <xf numFmtId="0" fontId="0" fillId="0" borderId="0" xfId="0" applyBorder="1" applyAlignment="1">
      <alignment horizontal="center" wrapText="1"/>
    </xf>
    <xf numFmtId="0" fontId="16" fillId="3" borderId="13" xfId="0" applyFont="1" applyFill="1" applyBorder="1" applyAlignment="1">
      <alignment vertical="top" wrapText="1"/>
    </xf>
    <xf numFmtId="168" fontId="81" fillId="0" borderId="0" xfId="61" applyNumberFormat="1">
      <alignment/>
      <protection/>
    </xf>
    <xf numFmtId="165" fontId="81" fillId="0" borderId="0" xfId="61" applyNumberFormat="1">
      <alignment/>
      <protection/>
    </xf>
    <xf numFmtId="1" fontId="100" fillId="0" borderId="0" xfId="0" applyNumberFormat="1" applyFont="1" applyFill="1" applyBorder="1" applyAlignment="1">
      <alignment wrapText="1"/>
    </xf>
    <xf numFmtId="175" fontId="100" fillId="4" borderId="0" xfId="0" applyNumberFormat="1" applyFont="1" applyFill="1" applyBorder="1" applyAlignment="1">
      <alignment wrapText="1"/>
    </xf>
    <xf numFmtId="175" fontId="99" fillId="0" borderId="0" xfId="0" applyNumberFormat="1" applyFont="1" applyFill="1" applyBorder="1" applyAlignment="1">
      <alignment horizontal="left" wrapText="1"/>
    </xf>
    <xf numFmtId="1" fontId="16" fillId="3" borderId="13" xfId="0" applyNumberFormat="1" applyFont="1" applyFill="1" applyBorder="1" applyAlignment="1">
      <alignment vertical="top" wrapText="1"/>
    </xf>
    <xf numFmtId="4" fontId="100" fillId="0" borderId="0" xfId="0" applyNumberFormat="1" applyFont="1" applyFill="1" applyBorder="1" applyAlignment="1">
      <alignment wrapText="1"/>
    </xf>
    <xf numFmtId="1" fontId="100" fillId="4" borderId="0" xfId="0" applyNumberFormat="1" applyFont="1" applyFill="1" applyBorder="1" applyAlignment="1">
      <alignment wrapText="1"/>
    </xf>
    <xf numFmtId="1" fontId="16" fillId="8" borderId="12" xfId="0" applyNumberFormat="1" applyFont="1" applyFill="1" applyBorder="1" applyAlignment="1">
      <alignment vertical="top" wrapText="1"/>
    </xf>
    <xf numFmtId="1" fontId="16" fillId="8" borderId="13" xfId="0" applyNumberFormat="1" applyFont="1" applyFill="1" applyBorder="1" applyAlignment="1">
      <alignment vertical="top" wrapText="1"/>
    </xf>
    <xf numFmtId="1" fontId="99" fillId="0" borderId="0" xfId="0" applyNumberFormat="1" applyFont="1" applyFill="1" applyBorder="1" applyAlignment="1">
      <alignment horizontal="left" wrapText="1"/>
    </xf>
    <xf numFmtId="3" fontId="81" fillId="0" borderId="0" xfId="61" applyNumberFormat="1">
      <alignment/>
      <protection/>
    </xf>
    <xf numFmtId="3" fontId="0" fillId="0" borderId="0" xfId="0" applyNumberFormat="1" applyBorder="1" applyAlignment="1">
      <alignment/>
    </xf>
    <xf numFmtId="3" fontId="16" fillId="2" borderId="13" xfId="0" applyNumberFormat="1" applyFont="1" applyFill="1" applyBorder="1" applyAlignment="1">
      <alignment vertical="top" wrapText="1"/>
    </xf>
    <xf numFmtId="0" fontId="16" fillId="42" borderId="13" xfId="0" applyFont="1" applyFill="1" applyBorder="1" applyAlignment="1">
      <alignment vertical="top" wrapText="1"/>
    </xf>
    <xf numFmtId="3" fontId="16" fillId="42" borderId="13" xfId="0" applyNumberFormat="1" applyFont="1" applyFill="1" applyBorder="1" applyAlignment="1">
      <alignment vertical="top" wrapText="1"/>
    </xf>
    <xf numFmtId="0" fontId="5" fillId="36" borderId="29" xfId="0" applyFont="1" applyFill="1" applyBorder="1" applyAlignment="1">
      <alignment horizontal="center" vertical="center"/>
    </xf>
    <xf numFmtId="0" fontId="16" fillId="7" borderId="13" xfId="0" applyFont="1" applyFill="1" applyBorder="1" applyAlignment="1">
      <alignment vertical="top" wrapText="1"/>
    </xf>
    <xf numFmtId="0" fontId="0" fillId="7" borderId="13" xfId="0" applyFont="1" applyFill="1" applyBorder="1" applyAlignment="1">
      <alignment vertical="center" wrapText="1"/>
    </xf>
    <xf numFmtId="0" fontId="5" fillId="44" borderId="15" xfId="0" applyFont="1" applyFill="1" applyBorder="1" applyAlignment="1">
      <alignment horizontal="center" vertical="top"/>
    </xf>
    <xf numFmtId="0" fontId="5" fillId="45" borderId="15" xfId="0" applyFont="1" applyFill="1" applyBorder="1" applyAlignment="1">
      <alignment horizontal="center" vertical="top"/>
    </xf>
    <xf numFmtId="0" fontId="16" fillId="12" borderId="12" xfId="0" applyFont="1" applyFill="1" applyBorder="1" applyAlignment="1">
      <alignment vertical="top" wrapText="1"/>
    </xf>
    <xf numFmtId="3" fontId="16" fillId="12" borderId="13" xfId="0" applyNumberFormat="1" applyFont="1" applyFill="1" applyBorder="1" applyAlignment="1">
      <alignment vertical="top" wrapText="1"/>
    </xf>
    <xf numFmtId="0" fontId="0" fillId="42" borderId="0" xfId="0" applyFill="1" applyBorder="1" applyAlignment="1">
      <alignment/>
    </xf>
    <xf numFmtId="0" fontId="11" fillId="42" borderId="0" xfId="0" applyFont="1" applyFill="1" applyBorder="1" applyAlignment="1">
      <alignment vertical="center" wrapText="1"/>
    </xf>
    <xf numFmtId="0" fontId="100" fillId="42" borderId="0" xfId="0" applyFont="1" applyFill="1" applyBorder="1" applyAlignment="1">
      <alignment vertical="center" wrapText="1"/>
    </xf>
    <xf numFmtId="0" fontId="5" fillId="36" borderId="30"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31" xfId="0" applyFont="1" applyFill="1" applyBorder="1" applyAlignment="1">
      <alignment horizontal="center" vertical="center"/>
    </xf>
    <xf numFmtId="0" fontId="5" fillId="45" borderId="15" xfId="0" applyFont="1" applyFill="1" applyBorder="1" applyAlignment="1">
      <alignment horizontal="center" vertical="top" wrapText="1"/>
    </xf>
    <xf numFmtId="0" fontId="12" fillId="46" borderId="13" xfId="0" applyFont="1" applyFill="1" applyBorder="1" applyAlignment="1">
      <alignment horizontal="right" vertical="top"/>
    </xf>
    <xf numFmtId="0" fontId="12" fillId="36" borderId="13" xfId="0" applyFont="1" applyFill="1" applyBorder="1" applyAlignment="1">
      <alignment horizontal="right" vertical="top" wrapText="1"/>
    </xf>
    <xf numFmtId="0" fontId="12" fillId="38" borderId="13" xfId="0" applyFont="1" applyFill="1" applyBorder="1" applyAlignment="1">
      <alignment horizontal="right" vertical="top" wrapText="1"/>
    </xf>
    <xf numFmtId="3" fontId="26" fillId="33" borderId="13" xfId="0" applyNumberFormat="1" applyFont="1" applyFill="1" applyBorder="1" applyAlignment="1">
      <alignment horizontal="right" wrapText="1"/>
    </xf>
    <xf numFmtId="3" fontId="26" fillId="13" borderId="13" xfId="0" applyNumberFormat="1" applyFont="1" applyFill="1" applyBorder="1" applyAlignment="1">
      <alignment horizontal="right" wrapText="1"/>
    </xf>
    <xf numFmtId="3" fontId="26" fillId="8" borderId="13" xfId="0" applyNumberFormat="1" applyFont="1" applyFill="1" applyBorder="1" applyAlignment="1">
      <alignment horizontal="right" wrapText="1"/>
    </xf>
    <xf numFmtId="0" fontId="16" fillId="40" borderId="13" xfId="0" applyFont="1" applyFill="1" applyBorder="1" applyAlignment="1">
      <alignment vertical="top" wrapText="1"/>
    </xf>
    <xf numFmtId="0" fontId="12" fillId="36" borderId="13" xfId="0" applyFont="1" applyFill="1" applyBorder="1" applyAlignment="1">
      <alignment horizontal="right" vertical="top"/>
    </xf>
    <xf numFmtId="0" fontId="12" fillId="45" borderId="13" xfId="0" applyFont="1" applyFill="1" applyBorder="1" applyAlignment="1">
      <alignment horizontal="right" vertical="top" wrapText="1"/>
    </xf>
    <xf numFmtId="3" fontId="26" fillId="12" borderId="13" xfId="0" applyNumberFormat="1" applyFont="1" applyFill="1" applyBorder="1" applyAlignment="1">
      <alignment horizontal="right" wrapText="1"/>
    </xf>
    <xf numFmtId="0" fontId="16" fillId="40" borderId="12" xfId="0" applyFont="1" applyFill="1" applyBorder="1" applyAlignment="1">
      <alignment vertical="top" wrapText="1"/>
    </xf>
    <xf numFmtId="0" fontId="0" fillId="0" borderId="13" xfId="0" applyBorder="1" applyAlignment="1">
      <alignment/>
    </xf>
    <xf numFmtId="0" fontId="98" fillId="0" borderId="13" xfId="0" applyFont="1" applyFill="1" applyBorder="1" applyAlignment="1">
      <alignment vertical="top" wrapText="1"/>
    </xf>
    <xf numFmtId="3" fontId="26" fillId="12" borderId="13" xfId="0" applyNumberFormat="1" applyFont="1" applyFill="1" applyBorder="1" applyAlignment="1">
      <alignment wrapText="1"/>
    </xf>
    <xf numFmtId="0" fontId="12" fillId="45" borderId="13" xfId="0" applyFont="1" applyFill="1" applyBorder="1" applyAlignment="1">
      <alignment vertical="top" wrapText="1"/>
    </xf>
    <xf numFmtId="9" fontId="26" fillId="12" borderId="13" xfId="64" applyFont="1" applyFill="1" applyBorder="1" applyAlignment="1">
      <alignment wrapText="1"/>
    </xf>
    <xf numFmtId="0" fontId="25" fillId="0" borderId="0" xfId="0" applyFont="1" applyFill="1" applyBorder="1" applyAlignment="1">
      <alignment horizontal="center" vertical="top" wrapText="1"/>
    </xf>
    <xf numFmtId="3" fontId="26" fillId="0" borderId="0" xfId="0" applyNumberFormat="1" applyFont="1" applyFill="1" applyBorder="1" applyAlignment="1">
      <alignment horizontal="center" wrapText="1"/>
    </xf>
    <xf numFmtId="0" fontId="5" fillId="39" borderId="15" xfId="0" applyFont="1" applyFill="1" applyBorder="1" applyAlignment="1">
      <alignment horizontal="center" vertical="top" wrapText="1"/>
    </xf>
    <xf numFmtId="3" fontId="16" fillId="8" borderId="12" xfId="0" applyNumberFormat="1" applyFont="1" applyFill="1" applyBorder="1" applyAlignment="1">
      <alignment vertical="top" wrapText="1"/>
    </xf>
    <xf numFmtId="3" fontId="16" fillId="13" borderId="12" xfId="0" applyNumberFormat="1" applyFont="1" applyFill="1" applyBorder="1" applyAlignment="1">
      <alignment vertical="top" wrapText="1"/>
    </xf>
    <xf numFmtId="3" fontId="16" fillId="7" borderId="12" xfId="0" applyNumberFormat="1" applyFont="1" applyFill="1" applyBorder="1" applyAlignment="1">
      <alignment vertical="top" wrapText="1"/>
    </xf>
    <xf numFmtId="1" fontId="16" fillId="12" borderId="12" xfId="0" applyNumberFormat="1" applyFont="1" applyFill="1" applyBorder="1" applyAlignment="1">
      <alignment vertical="top" wrapText="1"/>
    </xf>
    <xf numFmtId="0" fontId="5" fillId="41" borderId="15" xfId="0" applyFont="1" applyFill="1" applyBorder="1" applyAlignment="1">
      <alignment horizontal="center" vertical="top" wrapText="1"/>
    </xf>
    <xf numFmtId="0" fontId="16" fillId="4" borderId="0" xfId="0" applyFont="1" applyFill="1" applyBorder="1" applyAlignment="1">
      <alignment vertical="top" wrapText="1"/>
    </xf>
    <xf numFmtId="0" fontId="16" fillId="4" borderId="0" xfId="0" applyFont="1" applyFill="1" applyBorder="1" applyAlignment="1">
      <alignment/>
    </xf>
    <xf numFmtId="3" fontId="16" fillId="4" borderId="0" xfId="0" applyNumberFormat="1" applyFont="1" applyFill="1" applyBorder="1" applyAlignment="1">
      <alignment wrapText="1"/>
    </xf>
    <xf numFmtId="0" fontId="16" fillId="4" borderId="0" xfId="0" applyFont="1" applyFill="1" applyBorder="1" applyAlignment="1">
      <alignment wrapText="1"/>
    </xf>
    <xf numFmtId="3" fontId="16" fillId="4" borderId="0" xfId="0" applyNumberFormat="1" applyFont="1" applyFill="1" applyBorder="1" applyAlignment="1">
      <alignment/>
    </xf>
    <xf numFmtId="3" fontId="0" fillId="4" borderId="0" xfId="0" applyNumberFormat="1" applyFill="1" applyBorder="1" applyAlignment="1">
      <alignment/>
    </xf>
    <xf numFmtId="0" fontId="0" fillId="4" borderId="0" xfId="0" applyFill="1" applyAlignment="1">
      <alignment/>
    </xf>
    <xf numFmtId="0" fontId="23" fillId="4" borderId="0" xfId="0" applyFont="1" applyFill="1" applyBorder="1" applyAlignment="1">
      <alignment horizontal="center" vertical="center"/>
    </xf>
    <xf numFmtId="0" fontId="29" fillId="33" borderId="22" xfId="61" applyFont="1" applyFill="1" applyBorder="1" applyAlignment="1">
      <alignment horizontal="left" vertical="center"/>
      <protection/>
    </xf>
    <xf numFmtId="0" fontId="29" fillId="33" borderId="21" xfId="61" applyFont="1" applyFill="1" applyBorder="1" applyAlignment="1">
      <alignment horizontal="left" vertical="center" wrapText="1"/>
      <protection/>
    </xf>
    <xf numFmtId="0" fontId="81" fillId="33" borderId="0" xfId="61" applyFill="1">
      <alignment/>
      <protection/>
    </xf>
    <xf numFmtId="3" fontId="29" fillId="33" borderId="21" xfId="61" applyNumberFormat="1" applyFont="1" applyFill="1" applyBorder="1" applyAlignment="1">
      <alignment horizontal="left" vertical="center" wrapText="1"/>
      <protection/>
    </xf>
    <xf numFmtId="1" fontId="29" fillId="33" borderId="21" xfId="61" applyNumberFormat="1" applyFont="1" applyFill="1" applyBorder="1" applyAlignment="1">
      <alignment horizontal="center" vertical="center" wrapText="1"/>
      <protection/>
    </xf>
    <xf numFmtId="1" fontId="30" fillId="33" borderId="23" xfId="61" applyNumberFormat="1" applyFont="1" applyFill="1" applyBorder="1" applyAlignment="1">
      <alignment horizontal="center" vertical="center" wrapText="1"/>
      <protection/>
    </xf>
    <xf numFmtId="1" fontId="16" fillId="13" borderId="12" xfId="0" applyNumberFormat="1" applyFont="1" applyFill="1" applyBorder="1" applyAlignment="1">
      <alignment vertical="top" wrapText="1"/>
    </xf>
    <xf numFmtId="1" fontId="81" fillId="0" borderId="0" xfId="61" applyNumberFormat="1" applyBorder="1">
      <alignment/>
      <protection/>
    </xf>
    <xf numFmtId="9" fontId="26" fillId="12" borderId="13" xfId="64" applyFont="1" applyFill="1" applyBorder="1" applyAlignment="1">
      <alignment horizontal="right" wrapText="1"/>
    </xf>
    <xf numFmtId="0" fontId="12" fillId="47" borderId="13" xfId="0" applyFont="1" applyFill="1" applyBorder="1" applyAlignment="1">
      <alignment horizontal="right" vertical="top"/>
    </xf>
    <xf numFmtId="3" fontId="16" fillId="12" borderId="14" xfId="0" applyNumberFormat="1" applyFont="1" applyFill="1" applyBorder="1" applyAlignment="1">
      <alignment/>
    </xf>
    <xf numFmtId="9" fontId="16" fillId="12" borderId="14" xfId="0" applyNumberFormat="1" applyFont="1" applyFill="1" applyBorder="1" applyAlignment="1">
      <alignment/>
    </xf>
    <xf numFmtId="9" fontId="17" fillId="2" borderId="32" xfId="64" applyFont="1" applyFill="1" applyBorder="1" applyAlignment="1">
      <alignment vertical="center"/>
    </xf>
    <xf numFmtId="9" fontId="17" fillId="13" borderId="32" xfId="64" applyFont="1" applyFill="1" applyBorder="1" applyAlignment="1">
      <alignment vertical="center"/>
    </xf>
    <xf numFmtId="0" fontId="14" fillId="19" borderId="17" xfId="60" applyFont="1" applyFill="1" applyBorder="1" applyAlignment="1">
      <alignment horizontal="right" vertical="center"/>
      <protection/>
    </xf>
    <xf numFmtId="9" fontId="17" fillId="3" borderId="32" xfId="64" applyFont="1" applyFill="1" applyBorder="1" applyAlignment="1">
      <alignment vertical="center"/>
    </xf>
    <xf numFmtId="0" fontId="14" fillId="12" borderId="11" xfId="60" applyFont="1" applyFill="1" applyBorder="1" applyAlignment="1">
      <alignment horizontal="right" vertical="center"/>
      <protection/>
    </xf>
    <xf numFmtId="172" fontId="14" fillId="12" borderId="17" xfId="45" applyNumberFormat="1" applyFont="1" applyFill="1" applyBorder="1" applyAlignment="1">
      <alignment horizontal="right" vertical="center" wrapText="1"/>
    </xf>
    <xf numFmtId="167" fontId="9" fillId="12" borderId="18" xfId="45" applyNumberFormat="1" applyFont="1" applyFill="1" applyBorder="1" applyAlignment="1">
      <alignment vertical="center"/>
    </xf>
    <xf numFmtId="167" fontId="102" fillId="8" borderId="32" xfId="43" applyNumberFormat="1" applyFont="1" applyFill="1" applyBorder="1" applyAlignment="1">
      <alignment/>
    </xf>
    <xf numFmtId="167" fontId="102" fillId="12" borderId="32" xfId="43" applyNumberFormat="1" applyFont="1" applyFill="1" applyBorder="1" applyAlignment="1">
      <alignment/>
    </xf>
    <xf numFmtId="167" fontId="13" fillId="4" borderId="0" xfId="45" applyNumberFormat="1" applyFont="1" applyFill="1" applyBorder="1" applyAlignment="1">
      <alignment vertical="center"/>
    </xf>
    <xf numFmtId="167" fontId="14" fillId="13" borderId="18" xfId="45" applyNumberFormat="1" applyFont="1" applyFill="1" applyBorder="1" applyAlignment="1">
      <alignment horizontal="right" vertical="center"/>
    </xf>
    <xf numFmtId="0" fontId="14" fillId="4" borderId="14" xfId="60" applyFont="1" applyFill="1" applyBorder="1" applyAlignment="1">
      <alignment vertical="center"/>
      <protection/>
    </xf>
    <xf numFmtId="167" fontId="13" fillId="4" borderId="14" xfId="45" applyNumberFormat="1" applyFont="1" applyFill="1" applyBorder="1" applyAlignment="1">
      <alignment vertical="center"/>
    </xf>
    <xf numFmtId="167" fontId="13" fillId="13" borderId="33" xfId="45" applyNumberFormat="1" applyFont="1" applyFill="1" applyBorder="1" applyAlignment="1">
      <alignment vertical="center"/>
    </xf>
    <xf numFmtId="167" fontId="13" fillId="8" borderId="34" xfId="45" applyNumberFormat="1" applyFont="1" applyFill="1" applyBorder="1" applyAlignment="1">
      <alignment vertical="center"/>
    </xf>
    <xf numFmtId="0" fontId="29" fillId="43" borderId="23" xfId="61" applyFont="1" applyFill="1" applyBorder="1" applyAlignment="1">
      <alignment horizontal="left" vertical="center" wrapText="1"/>
      <protection/>
    </xf>
    <xf numFmtId="1" fontId="29" fillId="43" borderId="23" xfId="61" applyNumberFormat="1" applyFont="1" applyFill="1" applyBorder="1" applyAlignment="1">
      <alignment horizontal="center" vertical="center" wrapText="1"/>
      <protection/>
    </xf>
    <xf numFmtId="1" fontId="103" fillId="42" borderId="13" xfId="61" applyNumberFormat="1" applyFont="1" applyFill="1" applyBorder="1">
      <alignment/>
      <protection/>
    </xf>
    <xf numFmtId="1" fontId="81" fillId="33" borderId="13" xfId="61" applyNumberFormat="1" applyFill="1" applyBorder="1">
      <alignment/>
      <protection/>
    </xf>
    <xf numFmtId="0" fontId="30" fillId="43" borderId="13" xfId="61" applyFont="1" applyFill="1" applyBorder="1" applyAlignment="1">
      <alignment horizontal="left" vertical="center" wrapText="1"/>
      <protection/>
    </xf>
    <xf numFmtId="1" fontId="81" fillId="0" borderId="35" xfId="61" applyNumberFormat="1" applyBorder="1">
      <alignment/>
      <protection/>
    </xf>
    <xf numFmtId="0" fontId="81" fillId="0" borderId="0" xfId="61" applyBorder="1">
      <alignment/>
      <protection/>
    </xf>
    <xf numFmtId="0" fontId="30" fillId="43" borderId="29" xfId="61" applyFont="1" applyFill="1" applyBorder="1" applyAlignment="1">
      <alignment horizontal="left" vertical="center" wrapText="1"/>
      <protection/>
    </xf>
    <xf numFmtId="0" fontId="103" fillId="43" borderId="31" xfId="61" applyFont="1" applyFill="1" applyBorder="1" applyAlignment="1">
      <alignment horizontal="left" vertical="center"/>
      <protection/>
    </xf>
    <xf numFmtId="1" fontId="103" fillId="34" borderId="13" xfId="61" applyNumberFormat="1" applyFont="1" applyFill="1" applyBorder="1" applyAlignment="1">
      <alignment horizontal="left"/>
      <protection/>
    </xf>
    <xf numFmtId="1" fontId="81" fillId="0" borderId="13" xfId="61" applyNumberFormat="1" applyBorder="1" applyAlignment="1">
      <alignment horizontal="left"/>
      <protection/>
    </xf>
    <xf numFmtId="0" fontId="103" fillId="43" borderId="13" xfId="61" applyFont="1" applyFill="1" applyBorder="1" applyAlignment="1">
      <alignment vertical="center"/>
      <protection/>
    </xf>
    <xf numFmtId="0" fontId="30" fillId="43" borderId="35" xfId="61" applyFont="1" applyFill="1" applyBorder="1" applyAlignment="1">
      <alignment horizontal="left" vertical="center" wrapText="1"/>
      <protection/>
    </xf>
    <xf numFmtId="3" fontId="16" fillId="42" borderId="12" xfId="0" applyNumberFormat="1" applyFont="1" applyFill="1" applyBorder="1" applyAlignment="1">
      <alignment vertical="top" wrapText="1"/>
    </xf>
    <xf numFmtId="3" fontId="0" fillId="42" borderId="13" xfId="0" applyNumberFormat="1" applyFill="1" applyBorder="1" applyAlignment="1">
      <alignment vertical="top"/>
    </xf>
    <xf numFmtId="3" fontId="23" fillId="0" borderId="0" xfId="0" applyNumberFormat="1" applyFont="1" applyFill="1" applyBorder="1" applyAlignment="1">
      <alignment vertical="center"/>
    </xf>
    <xf numFmtId="1" fontId="98" fillId="0" borderId="0" xfId="0" applyNumberFormat="1" applyFont="1" applyFill="1" applyBorder="1" applyAlignment="1">
      <alignment vertical="top" wrapText="1"/>
    </xf>
    <xf numFmtId="1" fontId="0" fillId="0" borderId="0" xfId="0" applyNumberFormat="1" applyBorder="1" applyAlignment="1">
      <alignment wrapText="1"/>
    </xf>
    <xf numFmtId="0" fontId="0" fillId="42" borderId="13" xfId="0" applyFill="1" applyBorder="1" applyAlignment="1">
      <alignment/>
    </xf>
    <xf numFmtId="0" fontId="94" fillId="42" borderId="15" xfId="0" applyFont="1" applyFill="1" applyBorder="1" applyAlignment="1">
      <alignment/>
    </xf>
    <xf numFmtId="3" fontId="0" fillId="42" borderId="13" xfId="0" applyNumberFormat="1" applyFill="1" applyBorder="1" applyAlignment="1">
      <alignment horizontal="left" vertical="top"/>
    </xf>
    <xf numFmtId="0" fontId="0" fillId="42" borderId="12" xfId="0" applyFill="1" applyBorder="1" applyAlignment="1">
      <alignment horizontal="left" vertical="top"/>
    </xf>
    <xf numFmtId="1" fontId="0" fillId="0" borderId="13" xfId="0" applyNumberFormat="1" applyBorder="1" applyAlignment="1">
      <alignment horizontal="right" wrapText="1"/>
    </xf>
    <xf numFmtId="3" fontId="0" fillId="0" borderId="13" xfId="0" applyNumberFormat="1" applyBorder="1" applyAlignment="1">
      <alignment horizontal="right" wrapText="1"/>
    </xf>
    <xf numFmtId="0" fontId="0" fillId="42" borderId="12" xfId="0" applyFill="1" applyBorder="1" applyAlignment="1">
      <alignment vertical="top"/>
    </xf>
    <xf numFmtId="3" fontId="16" fillId="3" borderId="12" xfId="0" applyNumberFormat="1" applyFont="1" applyFill="1" applyBorder="1" applyAlignment="1">
      <alignment vertical="top" wrapText="1"/>
    </xf>
    <xf numFmtId="3" fontId="16" fillId="12" borderId="12" xfId="0" applyNumberFormat="1" applyFont="1" applyFill="1" applyBorder="1" applyAlignment="1">
      <alignment vertical="top" wrapText="1"/>
    </xf>
    <xf numFmtId="3" fontId="16" fillId="2" borderId="12" xfId="0" applyNumberFormat="1" applyFont="1" applyFill="1" applyBorder="1" applyAlignment="1">
      <alignment vertical="top" wrapText="1"/>
    </xf>
    <xf numFmtId="3" fontId="0" fillId="42" borderId="12" xfId="0" applyNumberFormat="1" applyFill="1" applyBorder="1" applyAlignment="1">
      <alignment vertical="top"/>
    </xf>
    <xf numFmtId="3" fontId="0" fillId="42" borderId="13" xfId="0" applyNumberFormat="1" applyFill="1" applyBorder="1" applyAlignment="1">
      <alignment horizontal="right" vertical="top"/>
    </xf>
    <xf numFmtId="169" fontId="0" fillId="42" borderId="13" xfId="0" applyNumberFormat="1" applyFill="1" applyBorder="1" applyAlignment="1">
      <alignment vertical="top"/>
    </xf>
    <xf numFmtId="169" fontId="0" fillId="8" borderId="13" xfId="0" applyNumberFormat="1" applyFill="1" applyBorder="1" applyAlignment="1">
      <alignment vertical="top"/>
    </xf>
    <xf numFmtId="169" fontId="16" fillId="12" borderId="13" xfId="0" applyNumberFormat="1" applyFont="1" applyFill="1" applyBorder="1" applyAlignment="1">
      <alignment vertical="top" wrapText="1"/>
    </xf>
    <xf numFmtId="4" fontId="0" fillId="0" borderId="0" xfId="0" applyNumberFormat="1" applyFont="1" applyFill="1" applyBorder="1" applyAlignment="1">
      <alignment vertical="center" wrapText="1"/>
    </xf>
    <xf numFmtId="0" fontId="12" fillId="34" borderId="0" xfId="0" applyFont="1" applyFill="1" applyBorder="1" applyAlignment="1">
      <alignment horizontal="left" vertical="center"/>
    </xf>
    <xf numFmtId="0" fontId="5" fillId="41" borderId="15" xfId="0" applyFont="1" applyFill="1" applyBorder="1" applyAlignment="1">
      <alignment horizontal="left" vertical="center" wrapText="1"/>
    </xf>
    <xf numFmtId="0" fontId="5" fillId="37" borderId="29" xfId="0" applyFont="1" applyFill="1" applyBorder="1" applyAlignment="1">
      <alignment horizontal="left" vertical="center" wrapText="1"/>
    </xf>
    <xf numFmtId="0" fontId="5" fillId="41" borderId="31" xfId="0" applyFont="1" applyFill="1" applyBorder="1" applyAlignment="1">
      <alignment horizontal="left" vertical="center" wrapText="1"/>
    </xf>
    <xf numFmtId="0" fontId="5" fillId="41" borderId="36" xfId="0" applyFont="1" applyFill="1" applyBorder="1" applyAlignment="1">
      <alignment horizontal="left" vertical="center" wrapText="1"/>
    </xf>
    <xf numFmtId="0" fontId="16" fillId="42" borderId="37" xfId="0" applyFont="1" applyFill="1" applyBorder="1" applyAlignment="1">
      <alignment horizontal="left" vertical="top" wrapText="1"/>
    </xf>
    <xf numFmtId="0" fontId="104" fillId="0" borderId="0" xfId="0" applyFont="1" applyFill="1" applyBorder="1" applyAlignment="1">
      <alignment horizontal="left" wrapText="1"/>
    </xf>
    <xf numFmtId="0" fontId="98" fillId="0" borderId="0" xfId="0" applyFont="1" applyFill="1" applyBorder="1" applyAlignment="1">
      <alignment horizontal="left" wrapText="1"/>
    </xf>
    <xf numFmtId="0" fontId="16" fillId="42" borderId="13" xfId="0" applyFont="1" applyFill="1" applyBorder="1" applyAlignment="1">
      <alignment horizontal="left" vertical="top" wrapText="1"/>
    </xf>
    <xf numFmtId="164" fontId="13" fillId="12" borderId="34" xfId="45" applyNumberFormat="1" applyFont="1" applyFill="1" applyBorder="1" applyAlignment="1">
      <alignment vertical="center"/>
    </xf>
    <xf numFmtId="166" fontId="81" fillId="0" borderId="0" xfId="61" applyNumberFormat="1">
      <alignment/>
      <protection/>
    </xf>
    <xf numFmtId="0" fontId="23" fillId="37" borderId="13" xfId="0" applyFont="1" applyFill="1" applyBorder="1" applyAlignment="1">
      <alignment vertical="center"/>
    </xf>
    <xf numFmtId="0" fontId="103" fillId="43" borderId="13" xfId="61" applyFont="1" applyFill="1" applyBorder="1" applyAlignment="1">
      <alignment horizontal="left" vertical="center"/>
      <protection/>
    </xf>
    <xf numFmtId="2" fontId="81" fillId="0" borderId="0" xfId="61" applyNumberFormat="1">
      <alignment/>
      <protection/>
    </xf>
    <xf numFmtId="167" fontId="9" fillId="12" borderId="0" xfId="45" applyNumberFormat="1" applyFont="1" applyFill="1" applyBorder="1" applyAlignment="1">
      <alignment vertical="center"/>
    </xf>
    <xf numFmtId="167" fontId="9" fillId="12" borderId="0" xfId="45" applyNumberFormat="1" applyFont="1" applyFill="1" applyBorder="1" applyAlignment="1">
      <alignment vertical="center" wrapText="1"/>
    </xf>
    <xf numFmtId="1" fontId="103" fillId="42" borderId="30" xfId="61" applyNumberFormat="1" applyFont="1" applyFill="1" applyBorder="1">
      <alignment/>
      <protection/>
    </xf>
    <xf numFmtId="1" fontId="103" fillId="42" borderId="29" xfId="61" applyNumberFormat="1" applyFont="1" applyFill="1" applyBorder="1">
      <alignment/>
      <protection/>
    </xf>
    <xf numFmtId="0" fontId="103" fillId="43" borderId="38" xfId="61" applyFont="1" applyFill="1" applyBorder="1" applyAlignment="1">
      <alignment horizontal="left" vertical="center"/>
      <protection/>
    </xf>
    <xf numFmtId="0" fontId="30" fillId="43" borderId="12" xfId="61" applyFont="1" applyFill="1" applyBorder="1" applyAlignment="1">
      <alignment horizontal="left" vertical="center" wrapText="1"/>
      <protection/>
    </xf>
    <xf numFmtId="1" fontId="29" fillId="34" borderId="39" xfId="61" applyNumberFormat="1" applyFont="1" applyFill="1" applyBorder="1">
      <alignment/>
      <protection/>
    </xf>
    <xf numFmtId="1" fontId="29" fillId="34" borderId="15" xfId="61" applyNumberFormat="1" applyFont="1" applyFill="1" applyBorder="1">
      <alignment/>
      <protection/>
    </xf>
    <xf numFmtId="0" fontId="103" fillId="43" borderId="13" xfId="61" applyFont="1" applyFill="1" applyBorder="1">
      <alignment/>
      <protection/>
    </xf>
    <xf numFmtId="1" fontId="103" fillId="43" borderId="13" xfId="61" applyNumberFormat="1" applyFont="1" applyFill="1" applyBorder="1">
      <alignment/>
      <protection/>
    </xf>
    <xf numFmtId="1" fontId="105" fillId="0" borderId="0" xfId="61" applyNumberFormat="1" applyFont="1">
      <alignment/>
      <protection/>
    </xf>
    <xf numFmtId="0" fontId="105" fillId="0" borderId="0" xfId="61" applyFont="1">
      <alignment/>
      <protection/>
    </xf>
    <xf numFmtId="0" fontId="103" fillId="43" borderId="0" xfId="61" applyFont="1" applyFill="1">
      <alignment/>
      <protection/>
    </xf>
    <xf numFmtId="1" fontId="103" fillId="43" borderId="0" xfId="61" applyNumberFormat="1" applyFont="1" applyFill="1">
      <alignment/>
      <protection/>
    </xf>
    <xf numFmtId="0" fontId="12" fillId="34" borderId="10" xfId="0" applyFont="1" applyFill="1" applyBorder="1" applyAlignment="1">
      <alignment/>
    </xf>
    <xf numFmtId="0" fontId="12" fillId="34" borderId="30" xfId="0" applyFont="1" applyFill="1" applyBorder="1" applyAlignment="1">
      <alignment/>
    </xf>
    <xf numFmtId="0" fontId="16" fillId="33" borderId="11" xfId="0" applyFont="1" applyFill="1" applyBorder="1" applyAlignment="1">
      <alignment/>
    </xf>
    <xf numFmtId="0" fontId="16" fillId="33" borderId="38" xfId="0" applyFont="1" applyFill="1" applyBorder="1" applyAlignment="1">
      <alignment/>
    </xf>
    <xf numFmtId="0" fontId="29" fillId="33" borderId="21" xfId="61" applyFont="1" applyFill="1" applyBorder="1" applyAlignment="1">
      <alignment horizontal="left" vertical="center" wrapText="1"/>
      <protection/>
    </xf>
    <xf numFmtId="0" fontId="29" fillId="40" borderId="0" xfId="61" applyFont="1" applyFill="1" applyBorder="1" applyAlignment="1">
      <alignment horizontal="left" vertical="center" wrapText="1"/>
      <protection/>
    </xf>
    <xf numFmtId="0" fontId="81" fillId="40" borderId="0" xfId="61" applyFill="1" applyBorder="1">
      <alignment/>
      <protection/>
    </xf>
    <xf numFmtId="1" fontId="81" fillId="40" borderId="0" xfId="61" applyNumberFormat="1" applyFill="1" applyBorder="1">
      <alignment/>
      <protection/>
    </xf>
    <xf numFmtId="0" fontId="30" fillId="40" borderId="0" xfId="61" applyFont="1" applyFill="1" applyBorder="1" applyAlignment="1">
      <alignment horizontal="left" vertical="center" wrapText="1"/>
      <protection/>
    </xf>
    <xf numFmtId="1" fontId="81" fillId="34" borderId="13" xfId="61" applyNumberFormat="1" applyFill="1" applyBorder="1">
      <alignment/>
      <protection/>
    </xf>
    <xf numFmtId="3" fontId="103" fillId="42" borderId="13" xfId="61" applyNumberFormat="1" applyFont="1" applyFill="1" applyBorder="1" applyAlignment="1">
      <alignment/>
      <protection/>
    </xf>
    <xf numFmtId="0" fontId="103" fillId="42" borderId="13" xfId="61" applyFont="1" applyFill="1" applyBorder="1">
      <alignment/>
      <protection/>
    </xf>
    <xf numFmtId="1" fontId="16" fillId="7" borderId="12" xfId="0" applyNumberFormat="1" applyFont="1" applyFill="1" applyBorder="1" applyAlignment="1">
      <alignment vertical="top" wrapText="1"/>
    </xf>
    <xf numFmtId="1" fontId="16" fillId="42" borderId="13" xfId="0" applyNumberFormat="1" applyFont="1" applyFill="1" applyBorder="1" applyAlignment="1">
      <alignment vertical="top" wrapText="1"/>
    </xf>
    <xf numFmtId="1" fontId="16" fillId="12" borderId="13" xfId="0" applyNumberFormat="1" applyFont="1" applyFill="1" applyBorder="1" applyAlignment="1">
      <alignment vertical="top" wrapText="1"/>
    </xf>
    <xf numFmtId="0" fontId="16" fillId="12" borderId="13" xfId="0" applyFont="1" applyFill="1" applyBorder="1" applyAlignment="1">
      <alignment vertical="top" wrapText="1"/>
    </xf>
    <xf numFmtId="0" fontId="5" fillId="44" borderId="15" xfId="0" applyFont="1" applyFill="1" applyBorder="1" applyAlignment="1">
      <alignment horizontal="center" vertical="top" wrapText="1"/>
    </xf>
    <xf numFmtId="1" fontId="16" fillId="2" borderId="13" xfId="0" applyNumberFormat="1" applyFont="1" applyFill="1" applyBorder="1" applyAlignment="1">
      <alignment vertical="top" wrapText="1"/>
    </xf>
    <xf numFmtId="0" fontId="16" fillId="2" borderId="13" xfId="0" applyFont="1" applyFill="1" applyBorder="1" applyAlignment="1">
      <alignment vertical="top" wrapText="1"/>
    </xf>
    <xf numFmtId="1" fontId="29" fillId="33" borderId="13" xfId="61" applyNumberFormat="1" applyFont="1" applyFill="1" applyBorder="1">
      <alignment/>
      <protection/>
    </xf>
    <xf numFmtId="3" fontId="0" fillId="0" borderId="0" xfId="0" applyNumberFormat="1" applyFill="1" applyBorder="1" applyAlignment="1">
      <alignment wrapText="1"/>
    </xf>
    <xf numFmtId="3" fontId="0" fillId="42" borderId="12" xfId="0" applyNumberFormat="1" applyFill="1" applyBorder="1" applyAlignment="1">
      <alignment horizontal="right" vertical="top" wrapText="1"/>
    </xf>
    <xf numFmtId="3" fontId="16" fillId="13" borderId="14" xfId="0" applyNumberFormat="1" applyFont="1" applyFill="1" applyBorder="1" applyAlignment="1">
      <alignment vertical="top" wrapText="1"/>
    </xf>
    <xf numFmtId="1" fontId="16" fillId="0" borderId="0" xfId="0" applyNumberFormat="1" applyFont="1" applyFill="1" applyBorder="1" applyAlignment="1">
      <alignment vertical="top" wrapText="1"/>
    </xf>
    <xf numFmtId="1" fontId="0" fillId="0" borderId="0" xfId="0" applyNumberFormat="1" applyFill="1" applyBorder="1" applyAlignment="1">
      <alignment/>
    </xf>
    <xf numFmtId="0" fontId="30" fillId="34" borderId="24" xfId="61" applyFont="1" applyFill="1" applyBorder="1" applyAlignment="1">
      <alignment vertical="center" wrapText="1"/>
      <protection/>
    </xf>
    <xf numFmtId="0" fontId="30" fillId="33" borderId="21" xfId="61" applyFont="1" applyFill="1" applyBorder="1" applyAlignment="1">
      <alignment vertical="center" wrapText="1"/>
      <protection/>
    </xf>
    <xf numFmtId="0" fontId="29" fillId="33" borderId="22" xfId="61" applyFont="1" applyFill="1" applyBorder="1" applyAlignment="1">
      <alignment horizontal="left" vertical="center"/>
      <protection/>
    </xf>
    <xf numFmtId="0" fontId="40" fillId="48" borderId="21" xfId="61" applyFont="1" applyFill="1" applyBorder="1" applyAlignment="1">
      <alignment horizontal="right" vertical="center"/>
      <protection/>
    </xf>
    <xf numFmtId="168" fontId="40" fillId="48" borderId="22" xfId="61" applyNumberFormat="1" applyFont="1" applyFill="1" applyBorder="1" applyAlignment="1">
      <alignment horizontal="right" vertical="center"/>
      <protection/>
    </xf>
    <xf numFmtId="168" fontId="40" fillId="48" borderId="21" xfId="61" applyNumberFormat="1" applyFont="1" applyFill="1" applyBorder="1" applyAlignment="1">
      <alignment horizontal="right" vertical="center"/>
      <protection/>
    </xf>
    <xf numFmtId="1" fontId="16" fillId="42" borderId="12" xfId="0" applyNumberFormat="1" applyFont="1" applyFill="1" applyBorder="1" applyAlignment="1">
      <alignment horizontal="right" vertical="top" wrapText="1"/>
    </xf>
    <xf numFmtId="0" fontId="12" fillId="0" borderId="0" xfId="0" applyFont="1" applyFill="1" applyBorder="1" applyAlignment="1">
      <alignment horizontal="center" vertical="center"/>
    </xf>
    <xf numFmtId="0" fontId="0" fillId="0" borderId="0" xfId="0" applyBorder="1" applyAlignment="1">
      <alignment horizontal="center" wrapText="1"/>
    </xf>
    <xf numFmtId="0" fontId="12" fillId="49" borderId="13" xfId="0" applyFont="1" applyFill="1" applyBorder="1" applyAlignment="1">
      <alignment horizontal="center" vertical="center"/>
    </xf>
    <xf numFmtId="0" fontId="16" fillId="0" borderId="0" xfId="0" applyFont="1" applyFill="1" applyBorder="1" applyAlignment="1">
      <alignment horizontal="left" vertical="center" wrapText="1"/>
    </xf>
    <xf numFmtId="0" fontId="5" fillId="37" borderId="15" xfId="0" applyFont="1" applyFill="1" applyBorder="1" applyAlignment="1">
      <alignment horizontal="left" vertical="center" wrapText="1"/>
    </xf>
    <xf numFmtId="0" fontId="12" fillId="34" borderId="14" xfId="0" applyFont="1" applyFill="1" applyBorder="1" applyAlignment="1">
      <alignment/>
    </xf>
    <xf numFmtId="0" fontId="12" fillId="34" borderId="35" xfId="0" applyFont="1" applyFill="1" applyBorder="1" applyAlignment="1">
      <alignment/>
    </xf>
    <xf numFmtId="0" fontId="16" fillId="0" borderId="0" xfId="0" applyFont="1" applyBorder="1" applyAlignment="1">
      <alignment horizontal="center" wrapText="1"/>
    </xf>
    <xf numFmtId="0" fontId="23" fillId="36" borderId="19" xfId="0" applyFont="1" applyFill="1" applyBorder="1" applyAlignment="1">
      <alignment vertical="center"/>
    </xf>
    <xf numFmtId="0" fontId="30" fillId="34" borderId="21" xfId="61" applyFont="1" applyFill="1" applyBorder="1" applyAlignment="1">
      <alignment horizontal="center" vertical="center"/>
      <protection/>
    </xf>
    <xf numFmtId="0" fontId="30" fillId="34" borderId="22" xfId="61" applyFont="1" applyFill="1" applyBorder="1" applyAlignment="1">
      <alignment vertical="center" wrapText="1"/>
      <protection/>
    </xf>
    <xf numFmtId="0" fontId="30" fillId="34" borderId="22" xfId="61" applyFont="1" applyFill="1" applyBorder="1" applyAlignment="1">
      <alignment horizontal="left" vertical="center" wrapText="1"/>
      <protection/>
    </xf>
    <xf numFmtId="0" fontId="30" fillId="34" borderId="40" xfId="61" applyFont="1" applyFill="1" applyBorder="1" applyAlignment="1">
      <alignment horizontal="left" vertical="center" wrapText="1"/>
      <protection/>
    </xf>
    <xf numFmtId="168" fontId="30" fillId="34" borderId="21" xfId="48" applyNumberFormat="1" applyFont="1" applyFill="1" applyBorder="1" applyAlignment="1">
      <alignment horizontal="left" vertical="center" wrapText="1"/>
    </xf>
    <xf numFmtId="169" fontId="30" fillId="34" borderId="21" xfId="48" applyNumberFormat="1" applyFont="1" applyFill="1" applyBorder="1" applyAlignment="1">
      <alignment horizontal="left" vertical="center" wrapText="1"/>
    </xf>
    <xf numFmtId="169" fontId="30" fillId="34" borderId="24" xfId="48" applyNumberFormat="1" applyFont="1" applyFill="1" applyBorder="1" applyAlignment="1">
      <alignment horizontal="left" vertical="center" wrapText="1"/>
    </xf>
    <xf numFmtId="0" fontId="29" fillId="43" borderId="24" xfId="61" applyFont="1" applyFill="1" applyBorder="1" applyAlignment="1">
      <alignment horizontal="left" vertical="center"/>
      <protection/>
    </xf>
    <xf numFmtId="0" fontId="29" fillId="33" borderId="41" xfId="61" applyFont="1" applyFill="1" applyBorder="1" applyAlignment="1">
      <alignment horizontal="left" vertical="center" wrapText="1"/>
      <protection/>
    </xf>
    <xf numFmtId="0" fontId="29" fillId="33" borderId="21" xfId="61" applyFont="1" applyFill="1" applyBorder="1" applyAlignment="1">
      <alignment vertical="center" wrapText="1"/>
      <protection/>
    </xf>
    <xf numFmtId="165" fontId="16" fillId="33" borderId="21" xfId="48" applyFont="1" applyFill="1" applyBorder="1" applyAlignment="1">
      <alignment vertical="center" wrapText="1"/>
    </xf>
    <xf numFmtId="170" fontId="29" fillId="33" borderId="21" xfId="61" applyNumberFormat="1" applyFont="1" applyFill="1" applyBorder="1" applyAlignment="1">
      <alignment horizontal="center" vertical="center" wrapText="1"/>
      <protection/>
    </xf>
    <xf numFmtId="0" fontId="29" fillId="33" borderId="42" xfId="61" applyFont="1" applyFill="1" applyBorder="1" applyAlignment="1">
      <alignment horizontal="left" vertical="center" wrapText="1"/>
      <protection/>
    </xf>
    <xf numFmtId="0" fontId="29" fillId="33" borderId="23" xfId="61" applyFont="1" applyFill="1" applyBorder="1" applyAlignment="1">
      <alignment horizontal="left" vertical="center" wrapText="1"/>
      <protection/>
    </xf>
    <xf numFmtId="0" fontId="29" fillId="33" borderId="23" xfId="61" applyFont="1" applyFill="1" applyBorder="1" applyAlignment="1">
      <alignment horizontal="center" vertical="center"/>
      <protection/>
    </xf>
    <xf numFmtId="0" fontId="29" fillId="33" borderId="24" xfId="61" applyFont="1" applyFill="1" applyBorder="1" applyAlignment="1">
      <alignment horizontal="left" vertical="center" wrapText="1"/>
      <protection/>
    </xf>
    <xf numFmtId="0" fontId="29" fillId="33" borderId="22" xfId="61" applyFont="1" applyFill="1" applyBorder="1" applyAlignment="1">
      <alignment horizontal="left" vertical="center" wrapText="1"/>
      <protection/>
    </xf>
    <xf numFmtId="0" fontId="30" fillId="33" borderId="22" xfId="61" applyFont="1" applyFill="1" applyBorder="1" applyAlignment="1">
      <alignment vertical="center" wrapText="1"/>
      <protection/>
    </xf>
    <xf numFmtId="165" fontId="30" fillId="33" borderId="21" xfId="48" applyFont="1" applyFill="1" applyBorder="1" applyAlignment="1">
      <alignment vertical="center" wrapText="1"/>
    </xf>
    <xf numFmtId="1" fontId="30" fillId="33" borderId="21" xfId="61" applyNumberFormat="1" applyFont="1" applyFill="1" applyBorder="1" applyAlignment="1">
      <alignment horizontal="center" vertical="center" wrapText="1"/>
      <protection/>
    </xf>
    <xf numFmtId="1" fontId="30" fillId="33" borderId="25" xfId="61" applyNumberFormat="1" applyFont="1" applyFill="1" applyBorder="1" applyAlignment="1">
      <alignment horizontal="center" vertical="center" wrapText="1"/>
      <protection/>
    </xf>
    <xf numFmtId="165" fontId="30" fillId="33" borderId="25" xfId="48" applyFont="1" applyFill="1" applyBorder="1" applyAlignment="1">
      <alignment vertical="center" wrapText="1"/>
    </xf>
    <xf numFmtId="0" fontId="30" fillId="33" borderId="22" xfId="61" applyFont="1" applyFill="1" applyBorder="1" applyAlignment="1">
      <alignment wrapText="1"/>
      <protection/>
    </xf>
    <xf numFmtId="171" fontId="16" fillId="33" borderId="21" xfId="48" applyNumberFormat="1" applyFont="1" applyFill="1" applyBorder="1" applyAlignment="1">
      <alignment vertical="center" wrapText="1"/>
    </xf>
    <xf numFmtId="165" fontId="16" fillId="33" borderId="21" xfId="48" applyFont="1" applyFill="1" applyBorder="1" applyAlignment="1">
      <alignment horizontal="right" vertical="center"/>
    </xf>
    <xf numFmtId="0" fontId="30" fillId="33" borderId="21" xfId="61" applyFont="1" applyFill="1" applyBorder="1" applyAlignment="1">
      <alignment horizontal="center" vertical="center"/>
      <protection/>
    </xf>
    <xf numFmtId="165" fontId="5" fillId="33" borderId="21" xfId="48" applyFont="1" applyFill="1" applyBorder="1" applyAlignment="1">
      <alignment horizontal="right" vertical="center"/>
    </xf>
    <xf numFmtId="0" fontId="30" fillId="33" borderId="21" xfId="61" applyFont="1" applyFill="1" applyBorder="1" applyAlignment="1">
      <alignment horizontal="left" vertical="center" wrapText="1"/>
      <protection/>
    </xf>
    <xf numFmtId="0" fontId="29" fillId="33" borderId="21" xfId="61" applyFont="1" applyFill="1" applyBorder="1" applyAlignment="1">
      <alignment vertical="center" wrapText="1"/>
      <protection/>
    </xf>
    <xf numFmtId="39" fontId="16" fillId="33" borderId="21" xfId="48" applyNumberFormat="1" applyFont="1" applyFill="1" applyBorder="1" applyAlignment="1">
      <alignment horizontal="left" vertical="center" wrapText="1"/>
    </xf>
    <xf numFmtId="0" fontId="30" fillId="42" borderId="21" xfId="61" applyFont="1" applyFill="1" applyBorder="1" applyAlignment="1">
      <alignment horizontal="center" vertical="center"/>
      <protection/>
    </xf>
    <xf numFmtId="0" fontId="30" fillId="42" borderId="24" xfId="61" applyFont="1" applyFill="1" applyBorder="1" applyAlignment="1">
      <alignment vertical="center" wrapText="1"/>
      <protection/>
    </xf>
    <xf numFmtId="0" fontId="30" fillId="42" borderId="22" xfId="61" applyFont="1" applyFill="1" applyBorder="1" applyAlignment="1">
      <alignment vertical="center" wrapText="1"/>
      <protection/>
    </xf>
    <xf numFmtId="0" fontId="29" fillId="42" borderId="21" xfId="61" applyFont="1" applyFill="1" applyBorder="1" applyAlignment="1">
      <alignment horizontal="right" vertical="center" wrapText="1"/>
      <protection/>
    </xf>
    <xf numFmtId="165" fontId="29" fillId="42" borderId="21" xfId="48" applyFont="1" applyFill="1" applyBorder="1" applyAlignment="1">
      <alignment horizontal="left" vertical="center" wrapText="1"/>
    </xf>
    <xf numFmtId="1" fontId="29" fillId="42" borderId="21" xfId="48" applyNumberFormat="1" applyFont="1" applyFill="1" applyBorder="1" applyAlignment="1">
      <alignment horizontal="center" vertical="center" wrapText="1"/>
    </xf>
    <xf numFmtId="2" fontId="29" fillId="42" borderId="21" xfId="48" applyNumberFormat="1" applyFont="1" applyFill="1" applyBorder="1" applyAlignment="1">
      <alignment horizontal="center" vertical="center" wrapText="1"/>
    </xf>
    <xf numFmtId="1" fontId="29" fillId="42" borderId="21" xfId="61" applyNumberFormat="1" applyFont="1" applyFill="1" applyBorder="1" applyAlignment="1">
      <alignment horizontal="center" vertical="center" wrapText="1"/>
      <protection/>
    </xf>
    <xf numFmtId="165" fontId="16" fillId="42" borderId="21" xfId="48" applyFont="1" applyFill="1" applyBorder="1" applyAlignment="1">
      <alignment horizontal="right" vertical="center"/>
    </xf>
    <xf numFmtId="165" fontId="5" fillId="42" borderId="21" xfId="48" applyFont="1" applyFill="1" applyBorder="1" applyAlignment="1">
      <alignment horizontal="right" vertical="center"/>
    </xf>
    <xf numFmtId="0" fontId="30" fillId="33" borderId="24" xfId="61" applyFont="1" applyFill="1" applyBorder="1" applyAlignment="1">
      <alignment horizontal="left" vertical="center"/>
      <protection/>
    </xf>
    <xf numFmtId="0" fontId="30" fillId="33" borderId="21" xfId="61" applyFont="1" applyFill="1" applyBorder="1" applyAlignment="1">
      <alignment vertical="center" wrapText="1"/>
      <protection/>
    </xf>
    <xf numFmtId="169" fontId="29" fillId="33" borderId="21" xfId="61" applyNumberFormat="1" applyFont="1" applyFill="1" applyBorder="1" applyAlignment="1">
      <alignment horizontal="right" vertical="center" wrapText="1"/>
      <protection/>
    </xf>
    <xf numFmtId="166" fontId="29" fillId="33" borderId="21" xfId="48" applyNumberFormat="1" applyFont="1" applyFill="1" applyBorder="1" applyAlignment="1">
      <alignment horizontal="left" vertical="center" wrapText="1"/>
    </xf>
    <xf numFmtId="2" fontId="29" fillId="33" borderId="21" xfId="48" applyNumberFormat="1" applyFont="1" applyFill="1" applyBorder="1" applyAlignment="1">
      <alignment horizontal="center" vertical="center" wrapText="1"/>
    </xf>
    <xf numFmtId="165" fontId="16" fillId="33" borderId="24" xfId="48" applyFont="1" applyFill="1" applyBorder="1" applyAlignment="1">
      <alignment horizontal="right" vertical="center"/>
    </xf>
    <xf numFmtId="0" fontId="29" fillId="33" borderId="24" xfId="61" applyFont="1" applyFill="1" applyBorder="1" applyAlignment="1">
      <alignment horizontal="left" vertical="center"/>
      <protection/>
    </xf>
    <xf numFmtId="0" fontId="30" fillId="34" borderId="21" xfId="61" applyFont="1" applyFill="1" applyBorder="1" applyAlignment="1">
      <alignment horizontal="center" vertical="center"/>
      <protection/>
    </xf>
    <xf numFmtId="0" fontId="30" fillId="34" borderId="21" xfId="61" applyFont="1" applyFill="1" applyBorder="1" applyAlignment="1">
      <alignment vertical="center" wrapText="1"/>
      <protection/>
    </xf>
    <xf numFmtId="0" fontId="30" fillId="34" borderId="22" xfId="61" applyFont="1" applyFill="1" applyBorder="1" applyAlignment="1">
      <alignment wrapText="1"/>
      <protection/>
    </xf>
    <xf numFmtId="0" fontId="30" fillId="34" borderId="21" xfId="61" applyFont="1" applyFill="1" applyBorder="1" applyAlignment="1">
      <alignment horizontal="left" vertical="center" wrapText="1"/>
      <protection/>
    </xf>
    <xf numFmtId="0" fontId="29" fillId="34" borderId="41" xfId="61" applyFont="1" applyFill="1" applyBorder="1" applyAlignment="1">
      <alignment vertical="center"/>
      <protection/>
    </xf>
    <xf numFmtId="165" fontId="16" fillId="34" borderId="41" xfId="48" applyFont="1" applyFill="1" applyBorder="1" applyAlignment="1">
      <alignment vertical="center"/>
    </xf>
    <xf numFmtId="1" fontId="29" fillId="34" borderId="41" xfId="61" applyNumberFormat="1" applyFont="1" applyFill="1" applyBorder="1" applyAlignment="1">
      <alignment horizontal="center" vertical="center"/>
      <protection/>
    </xf>
    <xf numFmtId="1" fontId="29" fillId="34" borderId="21" xfId="61" applyNumberFormat="1" applyFont="1" applyFill="1" applyBorder="1" applyAlignment="1">
      <alignment horizontal="center" vertical="center"/>
      <protection/>
    </xf>
    <xf numFmtId="165" fontId="16" fillId="34" borderId="21" xfId="48" applyFont="1" applyFill="1" applyBorder="1" applyAlignment="1">
      <alignment horizontal="right" vertical="center"/>
    </xf>
    <xf numFmtId="165" fontId="5" fillId="34" borderId="21" xfId="48" applyFont="1" applyFill="1" applyBorder="1" applyAlignment="1">
      <alignment horizontal="right" vertical="center"/>
    </xf>
    <xf numFmtId="0" fontId="30" fillId="33" borderId="24" xfId="61" applyFont="1" applyFill="1" applyBorder="1" applyAlignment="1">
      <alignment horizontal="left" vertical="center" wrapText="1"/>
      <protection/>
    </xf>
    <xf numFmtId="0" fontId="29" fillId="33" borderId="43" xfId="61" applyFont="1" applyFill="1" applyBorder="1" applyAlignment="1">
      <alignment horizontal="left" vertical="center" wrapText="1"/>
      <protection/>
    </xf>
    <xf numFmtId="0" fontId="29" fillId="33" borderId="44" xfId="61" applyFont="1" applyFill="1" applyBorder="1" applyAlignment="1">
      <alignment horizontal="left" vertical="center" wrapText="1"/>
      <protection/>
    </xf>
    <xf numFmtId="0" fontId="29" fillId="33" borderId="45" xfId="61" applyFont="1" applyFill="1" applyBorder="1" applyAlignment="1">
      <alignment horizontal="left" vertical="center" wrapText="1"/>
      <protection/>
    </xf>
    <xf numFmtId="165" fontId="16" fillId="33" borderId="46" xfId="48" applyFont="1" applyFill="1" applyBorder="1" applyAlignment="1">
      <alignment vertical="center"/>
    </xf>
    <xf numFmtId="1" fontId="29" fillId="33" borderId="47" xfId="61" applyNumberFormat="1" applyFont="1" applyFill="1" applyBorder="1" applyAlignment="1">
      <alignment horizontal="center" vertical="center"/>
      <protection/>
    </xf>
    <xf numFmtId="1" fontId="29" fillId="33" borderId="25" xfId="61" applyNumberFormat="1" applyFont="1" applyFill="1" applyBorder="1" applyAlignment="1">
      <alignment horizontal="center" vertical="center"/>
      <protection/>
    </xf>
    <xf numFmtId="0" fontId="29" fillId="33" borderId="23" xfId="61" applyFont="1" applyFill="1" applyBorder="1" applyAlignment="1">
      <alignment vertical="center"/>
      <protection/>
    </xf>
    <xf numFmtId="165" fontId="16" fillId="33" borderId="23" xfId="48" applyFont="1" applyFill="1" applyBorder="1" applyAlignment="1">
      <alignment vertical="center"/>
    </xf>
    <xf numFmtId="1" fontId="29" fillId="33" borderId="23" xfId="61" applyNumberFormat="1" applyFont="1" applyFill="1" applyBorder="1" applyAlignment="1">
      <alignment horizontal="center" vertical="center"/>
      <protection/>
    </xf>
    <xf numFmtId="1" fontId="29" fillId="33" borderId="21" xfId="61" applyNumberFormat="1" applyFont="1" applyFill="1" applyBorder="1" applyAlignment="1">
      <alignment horizontal="center" vertical="center"/>
      <protection/>
    </xf>
    <xf numFmtId="169" fontId="16" fillId="33" borderId="21" xfId="48" applyNumberFormat="1" applyFont="1" applyFill="1" applyBorder="1" applyAlignment="1">
      <alignment horizontal="right" vertical="center"/>
    </xf>
    <xf numFmtId="0" fontId="29" fillId="33" borderId="25" xfId="61" applyFont="1" applyFill="1" applyBorder="1" applyAlignment="1">
      <alignment horizontal="left" vertical="center" wrapText="1"/>
      <protection/>
    </xf>
    <xf numFmtId="0" fontId="11" fillId="34" borderId="48" xfId="0" applyFont="1" applyFill="1" applyBorder="1" applyAlignment="1">
      <alignment horizontal="left" vertical="center" wrapText="1"/>
    </xf>
    <xf numFmtId="0" fontId="100" fillId="34" borderId="48" xfId="0" applyFont="1" applyFill="1" applyBorder="1" applyAlignment="1">
      <alignment vertical="center" wrapText="1"/>
    </xf>
    <xf numFmtId="0" fontId="0" fillId="0" borderId="49" xfId="0" applyBorder="1" applyAlignment="1">
      <alignment/>
    </xf>
    <xf numFmtId="0" fontId="0" fillId="0" borderId="50" xfId="0" applyBorder="1" applyAlignment="1">
      <alignment/>
    </xf>
    <xf numFmtId="0" fontId="5" fillId="37" borderId="28" xfId="0" applyFont="1" applyFill="1" applyBorder="1" applyAlignment="1">
      <alignment horizontal="left" vertical="center"/>
    </xf>
    <xf numFmtId="0" fontId="16" fillId="0" borderId="51" xfId="0" applyFont="1" applyFill="1" applyBorder="1" applyAlignment="1">
      <alignment vertical="top" wrapText="1"/>
    </xf>
    <xf numFmtId="0" fontId="0" fillId="0" borderId="50" xfId="0" applyBorder="1" applyAlignment="1">
      <alignment wrapText="1"/>
    </xf>
    <xf numFmtId="0" fontId="16" fillId="33" borderId="52" xfId="0" applyFont="1" applyFill="1" applyBorder="1" applyAlignment="1">
      <alignment vertical="top" wrapText="1"/>
    </xf>
    <xf numFmtId="0" fontId="16" fillId="0" borderId="49" xfId="0" applyFont="1" applyFill="1" applyBorder="1" applyAlignment="1">
      <alignment vertical="top" wrapText="1"/>
    </xf>
    <xf numFmtId="0" fontId="0" fillId="0" borderId="50" xfId="0" applyFill="1" applyBorder="1" applyAlignment="1">
      <alignment wrapText="1"/>
    </xf>
    <xf numFmtId="0" fontId="0" fillId="0" borderId="49" xfId="0" applyBorder="1" applyAlignment="1">
      <alignment wrapText="1"/>
    </xf>
    <xf numFmtId="0" fontId="100" fillId="0" borderId="49" xfId="0" applyFont="1" applyFill="1" applyBorder="1" applyAlignment="1">
      <alignment horizontal="left" wrapText="1"/>
    </xf>
    <xf numFmtId="0" fontId="16" fillId="0" borderId="52" xfId="0" applyFont="1" applyFill="1" applyBorder="1" applyAlignment="1">
      <alignment vertical="top" wrapText="1"/>
    </xf>
    <xf numFmtId="0" fontId="12" fillId="34" borderId="53" xfId="0" applyFont="1" applyFill="1" applyBorder="1" applyAlignment="1">
      <alignment/>
    </xf>
    <xf numFmtId="0" fontId="0" fillId="0" borderId="50" xfId="0" applyFill="1" applyBorder="1" applyAlignment="1">
      <alignment/>
    </xf>
    <xf numFmtId="0" fontId="94" fillId="42" borderId="15" xfId="0" applyFont="1" applyFill="1" applyBorder="1" applyAlignment="1">
      <alignment vertical="top"/>
    </xf>
    <xf numFmtId="0" fontId="12" fillId="0" borderId="50" xfId="0" applyFont="1" applyFill="1" applyBorder="1" applyAlignment="1">
      <alignment horizontal="center" vertical="center"/>
    </xf>
    <xf numFmtId="0" fontId="0" fillId="0" borderId="50" xfId="0" applyFont="1" applyFill="1" applyBorder="1" applyAlignment="1">
      <alignment vertical="center" wrapText="1"/>
    </xf>
    <xf numFmtId="3" fontId="0" fillId="0" borderId="50" xfId="0" applyNumberFormat="1" applyFont="1" applyFill="1" applyBorder="1" applyAlignment="1">
      <alignment vertical="center" wrapText="1"/>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100" fillId="34" borderId="57" xfId="0" applyFont="1" applyFill="1" applyBorder="1" applyAlignment="1">
      <alignment vertical="center" wrapText="1"/>
    </xf>
    <xf numFmtId="0" fontId="5" fillId="44" borderId="26" xfId="0" applyFont="1" applyFill="1" applyBorder="1" applyAlignment="1">
      <alignment horizontal="center" vertical="top"/>
    </xf>
    <xf numFmtId="0" fontId="16" fillId="2" borderId="58" xfId="0" applyFont="1" applyFill="1" applyBorder="1" applyAlignment="1">
      <alignment vertical="top" wrapText="1"/>
    </xf>
    <xf numFmtId="3" fontId="0" fillId="40" borderId="50" xfId="0" applyNumberFormat="1" applyFont="1" applyFill="1" applyBorder="1" applyAlignment="1">
      <alignment vertical="center" wrapText="1"/>
    </xf>
    <xf numFmtId="0" fontId="5" fillId="36" borderId="0" xfId="0" applyFont="1" applyFill="1" applyBorder="1" applyAlignment="1">
      <alignment horizontal="center" vertical="center"/>
    </xf>
    <xf numFmtId="0" fontId="5" fillId="41" borderId="0" xfId="0" applyFont="1" applyFill="1" applyBorder="1" applyAlignment="1">
      <alignment horizontal="center" vertical="center"/>
    </xf>
    <xf numFmtId="1" fontId="0" fillId="19" borderId="0" xfId="0" applyNumberFormat="1" applyFont="1" applyFill="1" applyBorder="1" applyAlignment="1">
      <alignment vertical="center" wrapText="1"/>
    </xf>
    <xf numFmtId="3" fontId="0" fillId="42" borderId="0" xfId="0" applyNumberFormat="1" applyFont="1" applyFill="1" applyBorder="1" applyAlignment="1">
      <alignment vertical="center" wrapText="1"/>
    </xf>
    <xf numFmtId="3" fontId="0" fillId="19" borderId="0" xfId="0" applyNumberFormat="1" applyFont="1" applyFill="1" applyBorder="1" applyAlignment="1">
      <alignment vertical="center" wrapText="1"/>
    </xf>
    <xf numFmtId="0" fontId="94" fillId="19" borderId="0" xfId="0" applyFont="1" applyFill="1" applyBorder="1" applyAlignment="1">
      <alignment horizontal="center"/>
    </xf>
    <xf numFmtId="0" fontId="94" fillId="8" borderId="0" xfId="0" applyFont="1" applyFill="1" applyBorder="1" applyAlignment="1">
      <alignment horizontal="center"/>
    </xf>
    <xf numFmtId="0" fontId="94" fillId="12" borderId="0" xfId="0" applyFont="1" applyFill="1" applyBorder="1" applyAlignment="1">
      <alignment horizontal="center"/>
    </xf>
    <xf numFmtId="1" fontId="0" fillId="0" borderId="0" xfId="0" applyNumberFormat="1" applyBorder="1" applyAlignment="1">
      <alignment/>
    </xf>
    <xf numFmtId="0" fontId="12" fillId="49" borderId="0" xfId="0" applyFont="1" applyFill="1" applyBorder="1" applyAlignment="1">
      <alignment horizontal="center" vertical="center"/>
    </xf>
    <xf numFmtId="0" fontId="0" fillId="7" borderId="0" xfId="0" applyFont="1" applyFill="1" applyBorder="1" applyAlignment="1">
      <alignment vertical="center" wrapText="1"/>
    </xf>
    <xf numFmtId="0" fontId="98" fillId="33" borderId="0" xfId="0" applyFont="1" applyFill="1" applyBorder="1" applyAlignment="1">
      <alignment vertical="top" wrapText="1"/>
    </xf>
    <xf numFmtId="3" fontId="0" fillId="13" borderId="0" xfId="0" applyNumberFormat="1" applyFont="1" applyFill="1" applyBorder="1" applyAlignment="1">
      <alignment vertical="center" wrapText="1"/>
    </xf>
    <xf numFmtId="165" fontId="98" fillId="0" borderId="0" xfId="46" applyFont="1" applyFill="1" applyBorder="1" applyAlignment="1">
      <alignment vertical="top" wrapText="1"/>
    </xf>
    <xf numFmtId="165" fontId="0" fillId="7" borderId="0" xfId="46" applyFont="1" applyFill="1" applyBorder="1" applyAlignment="1">
      <alignment vertical="center" wrapText="1"/>
    </xf>
    <xf numFmtId="0" fontId="16" fillId="13" borderId="14" xfId="0" applyFont="1" applyFill="1" applyBorder="1" applyAlignment="1">
      <alignment vertical="top" wrapText="1"/>
    </xf>
    <xf numFmtId="0" fontId="16" fillId="13" borderId="35" xfId="0" applyFont="1" applyFill="1" applyBorder="1" applyAlignment="1">
      <alignment vertical="top" wrapText="1"/>
    </xf>
    <xf numFmtId="0" fontId="0" fillId="42" borderId="48" xfId="0" applyFill="1" applyBorder="1" applyAlignment="1">
      <alignment/>
    </xf>
    <xf numFmtId="0" fontId="0" fillId="42" borderId="57" xfId="0" applyFill="1" applyBorder="1" applyAlignment="1">
      <alignment/>
    </xf>
    <xf numFmtId="0" fontId="11" fillId="42" borderId="50" xfId="0" applyFont="1" applyFill="1" applyBorder="1" applyAlignment="1">
      <alignment vertical="center" wrapText="1"/>
    </xf>
    <xf numFmtId="0" fontId="16" fillId="40" borderId="51" xfId="0" applyFont="1" applyFill="1" applyBorder="1" applyAlignment="1">
      <alignment vertical="top" wrapText="1"/>
    </xf>
    <xf numFmtId="0" fontId="16" fillId="0" borderId="50" xfId="0" applyFont="1" applyFill="1" applyBorder="1" applyAlignment="1">
      <alignment vertical="top" wrapText="1"/>
    </xf>
    <xf numFmtId="0" fontId="16" fillId="4" borderId="50" xfId="0" applyFont="1" applyFill="1" applyBorder="1" applyAlignment="1">
      <alignment/>
    </xf>
    <xf numFmtId="0" fontId="11" fillId="0" borderId="49" xfId="0" applyFont="1" applyFill="1" applyBorder="1" applyAlignment="1">
      <alignment horizontal="left" wrapText="1"/>
    </xf>
    <xf numFmtId="0" fontId="16" fillId="0" borderId="50" xfId="0" applyFont="1" applyFill="1" applyBorder="1" applyAlignment="1">
      <alignment wrapText="1"/>
    </xf>
    <xf numFmtId="0" fontId="16" fillId="0" borderId="49" xfId="0" applyFont="1" applyBorder="1" applyAlignment="1">
      <alignment/>
    </xf>
    <xf numFmtId="0" fontId="16" fillId="0" borderId="49" xfId="0" applyFont="1" applyBorder="1" applyAlignment="1">
      <alignment wrapText="1"/>
    </xf>
    <xf numFmtId="0" fontId="16" fillId="0" borderId="50" xfId="0" applyFont="1" applyBorder="1" applyAlignment="1">
      <alignment wrapText="1"/>
    </xf>
    <xf numFmtId="0" fontId="16" fillId="0" borderId="50" xfId="0" applyFont="1" applyBorder="1" applyAlignment="1">
      <alignment horizontal="center" wrapText="1"/>
    </xf>
    <xf numFmtId="0" fontId="16" fillId="0" borderId="50" xfId="0" applyFont="1" applyBorder="1" applyAlignment="1">
      <alignment/>
    </xf>
    <xf numFmtId="0" fontId="12" fillId="34" borderId="59" xfId="0" applyFont="1" applyFill="1" applyBorder="1" applyAlignment="1">
      <alignment/>
    </xf>
    <xf numFmtId="0" fontId="23" fillId="0" borderId="50" xfId="0" applyFont="1" applyFill="1" applyBorder="1" applyAlignment="1">
      <alignment vertical="center"/>
    </xf>
    <xf numFmtId="0" fontId="12" fillId="0" borderId="49" xfId="0" applyFont="1" applyFill="1" applyBorder="1" applyAlignment="1">
      <alignment/>
    </xf>
    <xf numFmtId="0" fontId="16" fillId="4" borderId="50" xfId="0" applyFont="1" applyFill="1" applyBorder="1" applyAlignment="1">
      <alignment wrapText="1"/>
    </xf>
    <xf numFmtId="0" fontId="16" fillId="40" borderId="52" xfId="0" applyFont="1" applyFill="1" applyBorder="1" applyAlignment="1">
      <alignment vertical="top" wrapText="1"/>
    </xf>
    <xf numFmtId="0" fontId="16" fillId="33" borderId="60" xfId="0" applyFont="1" applyFill="1" applyBorder="1" applyAlignment="1">
      <alignment/>
    </xf>
    <xf numFmtId="0" fontId="4" fillId="0" borderId="55" xfId="0" applyFont="1" applyFill="1" applyBorder="1" applyAlignment="1">
      <alignment horizontal="left" wrapText="1"/>
    </xf>
    <xf numFmtId="0" fontId="16" fillId="33" borderId="51" xfId="0" applyFont="1" applyFill="1" applyBorder="1" applyAlignment="1">
      <alignment vertical="top" wrapText="1"/>
    </xf>
    <xf numFmtId="0" fontId="106" fillId="0" borderId="49" xfId="0" applyFont="1" applyFill="1" applyBorder="1" applyAlignment="1">
      <alignment horizontal="left" vertical="center" wrapText="1"/>
    </xf>
    <xf numFmtId="0" fontId="0" fillId="0" borderId="50" xfId="0" applyBorder="1" applyAlignment="1">
      <alignment horizontal="center" wrapText="1"/>
    </xf>
    <xf numFmtId="0" fontId="101" fillId="0" borderId="50" xfId="0" applyFont="1" applyFill="1" applyBorder="1" applyAlignment="1">
      <alignment/>
    </xf>
    <xf numFmtId="0" fontId="99" fillId="0" borderId="55" xfId="0" applyFont="1" applyFill="1" applyBorder="1" applyAlignment="1">
      <alignment horizontal="left" wrapText="1"/>
    </xf>
    <xf numFmtId="0" fontId="0" fillId="4" borderId="50" xfId="0" applyFill="1" applyBorder="1" applyAlignment="1">
      <alignment wrapText="1"/>
    </xf>
    <xf numFmtId="0" fontId="30" fillId="0" borderId="61" xfId="61" applyFont="1" applyBorder="1" applyAlignment="1">
      <alignment horizontal="left" vertical="center"/>
      <protection/>
    </xf>
    <xf numFmtId="0" fontId="29" fillId="0" borderId="48" xfId="61" applyFont="1" applyBorder="1">
      <alignment/>
      <protection/>
    </xf>
    <xf numFmtId="0" fontId="29" fillId="0" borderId="48" xfId="61" applyFont="1" applyBorder="1" applyAlignment="1">
      <alignment vertical="center"/>
      <protection/>
    </xf>
    <xf numFmtId="0" fontId="29" fillId="0" borderId="48" xfId="61" applyFont="1" applyBorder="1" applyAlignment="1">
      <alignment vertical="center"/>
      <protection/>
    </xf>
    <xf numFmtId="0" fontId="29" fillId="0" borderId="48" xfId="61" applyFont="1" applyBorder="1" applyAlignment="1">
      <alignment horizontal="right" vertical="center"/>
      <protection/>
    </xf>
    <xf numFmtId="0" fontId="107" fillId="0" borderId="48" xfId="61" applyFont="1" applyBorder="1">
      <alignment/>
      <protection/>
    </xf>
    <xf numFmtId="1" fontId="107" fillId="0" borderId="48" xfId="61" applyNumberFormat="1" applyFont="1" applyBorder="1">
      <alignment/>
      <protection/>
    </xf>
    <xf numFmtId="0" fontId="30" fillId="0" borderId="49" xfId="61" applyFont="1" applyBorder="1" applyAlignment="1">
      <alignment horizontal="left" vertical="center"/>
      <protection/>
    </xf>
    <xf numFmtId="0" fontId="29" fillId="0" borderId="0" xfId="61" applyFont="1" applyBorder="1">
      <alignment/>
      <protection/>
    </xf>
    <xf numFmtId="0" fontId="29" fillId="0" borderId="0" xfId="61" applyFont="1" applyBorder="1" applyAlignment="1">
      <alignment vertical="center"/>
      <protection/>
    </xf>
    <xf numFmtId="0" fontId="29" fillId="0" borderId="0" xfId="61" applyFont="1" applyBorder="1" applyAlignment="1">
      <alignment vertical="center"/>
      <protection/>
    </xf>
    <xf numFmtId="0" fontId="29" fillId="0" borderId="0" xfId="61" applyFont="1" applyBorder="1" applyAlignment="1">
      <alignment horizontal="right" vertical="center"/>
      <protection/>
    </xf>
    <xf numFmtId="0" fontId="30" fillId="0" borderId="0" xfId="61" applyFont="1" applyBorder="1" applyAlignment="1">
      <alignment horizontal="right" vertical="center"/>
      <protection/>
    </xf>
    <xf numFmtId="0" fontId="105" fillId="0" borderId="0" xfId="61" applyFont="1" applyBorder="1">
      <alignment/>
      <protection/>
    </xf>
    <xf numFmtId="1" fontId="105" fillId="0" borderId="0" xfId="61" applyNumberFormat="1" applyFont="1" applyBorder="1">
      <alignment/>
      <protection/>
    </xf>
    <xf numFmtId="0" fontId="29" fillId="0" borderId="49" xfId="61" applyFont="1" applyBorder="1" applyAlignment="1">
      <alignment horizontal="center" vertical="center"/>
      <protection/>
    </xf>
    <xf numFmtId="1" fontId="103" fillId="42" borderId="58" xfId="61" applyNumberFormat="1" applyFont="1" applyFill="1" applyBorder="1">
      <alignment/>
      <protection/>
    </xf>
    <xf numFmtId="1" fontId="81" fillId="42" borderId="0" xfId="61" applyNumberFormat="1" applyFill="1" applyBorder="1">
      <alignment/>
      <protection/>
    </xf>
    <xf numFmtId="0" fontId="81" fillId="42" borderId="0" xfId="61" applyFill="1" applyBorder="1">
      <alignment/>
      <protection/>
    </xf>
    <xf numFmtId="0" fontId="81" fillId="40" borderId="50" xfId="61" applyFill="1" applyBorder="1">
      <alignment/>
      <protection/>
    </xf>
    <xf numFmtId="1" fontId="81" fillId="40" borderId="55" xfId="61" applyNumberFormat="1" applyFill="1" applyBorder="1">
      <alignment/>
      <protection/>
    </xf>
    <xf numFmtId="0" fontId="81" fillId="40" borderId="56" xfId="61" applyFill="1" applyBorder="1">
      <alignment/>
      <protection/>
    </xf>
    <xf numFmtId="1" fontId="29" fillId="34" borderId="44" xfId="61" applyNumberFormat="1" applyFont="1" applyFill="1" applyBorder="1">
      <alignment/>
      <protection/>
    </xf>
    <xf numFmtId="1" fontId="29" fillId="34" borderId="36" xfId="61" applyNumberFormat="1" applyFont="1" applyFill="1" applyBorder="1">
      <alignment/>
      <protection/>
    </xf>
    <xf numFmtId="0" fontId="103" fillId="43" borderId="58" xfId="61" applyFont="1" applyFill="1" applyBorder="1">
      <alignment/>
      <protection/>
    </xf>
    <xf numFmtId="165" fontId="13" fillId="34" borderId="10" xfId="46" applyFont="1" applyFill="1" applyBorder="1" applyAlignment="1">
      <alignment vertical="center" wrapText="1"/>
    </xf>
    <xf numFmtId="165" fontId="5" fillId="34" borderId="14" xfId="46" applyFont="1" applyFill="1" applyBorder="1" applyAlignment="1">
      <alignment/>
    </xf>
    <xf numFmtId="165" fontId="18" fillId="13" borderId="32" xfId="46" applyFont="1" applyFill="1" applyBorder="1" applyAlignment="1">
      <alignment vertical="center"/>
    </xf>
    <xf numFmtId="165" fontId="18" fillId="3" borderId="32" xfId="46" applyFont="1" applyFill="1" applyBorder="1" applyAlignment="1">
      <alignment vertical="center"/>
    </xf>
    <xf numFmtId="165" fontId="18" fillId="2" borderId="32" xfId="46" applyFont="1" applyFill="1" applyBorder="1" applyAlignment="1">
      <alignment vertical="center"/>
    </xf>
    <xf numFmtId="0" fontId="108" fillId="0" borderId="10" xfId="0" applyFont="1" applyBorder="1" applyAlignment="1">
      <alignment wrapText="1"/>
    </xf>
    <xf numFmtId="0" fontId="109" fillId="0" borderId="30" xfId="56" applyFont="1" applyBorder="1" applyAlignment="1">
      <alignment vertical="center" wrapText="1"/>
    </xf>
    <xf numFmtId="0" fontId="110" fillId="0" borderId="0" xfId="0" applyFont="1" applyAlignment="1">
      <alignment wrapText="1"/>
    </xf>
    <xf numFmtId="0" fontId="111" fillId="34" borderId="20" xfId="0" applyFont="1" applyFill="1" applyBorder="1" applyAlignment="1">
      <alignment horizontal="center" vertical="center" textRotation="90" wrapText="1"/>
    </xf>
    <xf numFmtId="0" fontId="112" fillId="43" borderId="13" xfId="0" applyFont="1" applyFill="1" applyBorder="1" applyAlignment="1">
      <alignment horizontal="left" vertical="top" wrapText="1"/>
    </xf>
    <xf numFmtId="0" fontId="112" fillId="43" borderId="13" xfId="0" applyFont="1" applyFill="1" applyBorder="1" applyAlignment="1">
      <alignment horizontal="left" vertical="center" wrapText="1"/>
    </xf>
    <xf numFmtId="0" fontId="112" fillId="43" borderId="13" xfId="0" applyFont="1" applyFill="1" applyBorder="1" applyAlignment="1">
      <alignment vertical="center" wrapText="1"/>
    </xf>
    <xf numFmtId="0" fontId="113" fillId="43" borderId="13" xfId="0" applyFont="1" applyFill="1" applyBorder="1" applyAlignment="1">
      <alignment vertical="top" wrapText="1"/>
    </xf>
    <xf numFmtId="0" fontId="113" fillId="42" borderId="20" xfId="0" applyFont="1" applyFill="1" applyBorder="1" applyAlignment="1">
      <alignment horizontal="center" vertical="top" wrapText="1"/>
    </xf>
    <xf numFmtId="0" fontId="110" fillId="42" borderId="13" xfId="0" applyFont="1" applyFill="1" applyBorder="1" applyAlignment="1">
      <alignment horizontal="left" vertical="top" wrapText="1"/>
    </xf>
    <xf numFmtId="0" fontId="110" fillId="42" borderId="13" xfId="0" applyFont="1" applyFill="1" applyBorder="1" applyAlignment="1">
      <alignment horizontal="left" vertical="center" wrapText="1"/>
    </xf>
    <xf numFmtId="0" fontId="110" fillId="42" borderId="13" xfId="0" applyFont="1" applyFill="1" applyBorder="1" applyAlignment="1">
      <alignment vertical="center" wrapText="1"/>
    </xf>
    <xf numFmtId="0" fontId="110" fillId="43" borderId="12" xfId="0" applyFont="1" applyFill="1" applyBorder="1" applyAlignment="1">
      <alignment horizontal="left" vertical="center" wrapText="1"/>
    </xf>
    <xf numFmtId="0" fontId="114" fillId="34" borderId="13" xfId="0" applyFont="1" applyFill="1" applyBorder="1" applyAlignment="1">
      <alignment vertical="center" wrapText="1"/>
    </xf>
    <xf numFmtId="0" fontId="113" fillId="34" borderId="13" xfId="0" applyFont="1" applyFill="1" applyBorder="1" applyAlignment="1">
      <alignment vertical="top" wrapText="1"/>
    </xf>
    <xf numFmtId="0" fontId="114" fillId="34" borderId="13" xfId="0" applyFont="1" applyFill="1" applyBorder="1" applyAlignment="1">
      <alignment horizontal="left" vertical="center" wrapText="1"/>
    </xf>
    <xf numFmtId="0" fontId="113" fillId="34" borderId="13" xfId="0" applyFont="1" applyFill="1" applyBorder="1" applyAlignment="1">
      <alignment vertical="center" wrapText="1"/>
    </xf>
    <xf numFmtId="0" fontId="110" fillId="0" borderId="13" xfId="0" applyFont="1" applyBorder="1" applyAlignment="1">
      <alignment horizontal="left" vertical="top" wrapText="1"/>
    </xf>
    <xf numFmtId="0" fontId="110" fillId="0" borderId="13" xfId="0" applyFont="1" applyBorder="1" applyAlignment="1">
      <alignment horizontal="left" vertical="center" wrapText="1"/>
    </xf>
    <xf numFmtId="0" fontId="113" fillId="34" borderId="13" xfId="0" applyFont="1" applyFill="1" applyBorder="1" applyAlignment="1">
      <alignment horizontal="left" vertical="center" wrapText="1"/>
    </xf>
    <xf numFmtId="0" fontId="110" fillId="0" borderId="13" xfId="0" applyFont="1" applyFill="1" applyBorder="1" applyAlignment="1">
      <alignment horizontal="left" vertical="top" wrapText="1"/>
    </xf>
    <xf numFmtId="0" fontId="110" fillId="0" borderId="13" xfId="0" applyFont="1" applyFill="1" applyBorder="1" applyAlignment="1">
      <alignment horizontal="left" vertical="center" wrapText="1"/>
    </xf>
    <xf numFmtId="0" fontId="115" fillId="0" borderId="29" xfId="0" applyFont="1" applyFill="1" applyBorder="1" applyAlignment="1">
      <alignment horizontal="left" vertical="top" wrapText="1"/>
    </xf>
    <xf numFmtId="0" fontId="115" fillId="0" borderId="12" xfId="0" applyFont="1" applyFill="1" applyBorder="1" applyAlignment="1">
      <alignment horizontal="left" vertical="top" wrapText="1"/>
    </xf>
    <xf numFmtId="0" fontId="113" fillId="34" borderId="13" xfId="0" applyFont="1" applyFill="1" applyBorder="1" applyAlignment="1">
      <alignment horizontal="left" vertical="top" wrapText="1"/>
    </xf>
    <xf numFmtId="0" fontId="110" fillId="0" borderId="29" xfId="0" applyFont="1" applyFill="1" applyBorder="1" applyAlignment="1">
      <alignment vertical="center" wrapText="1"/>
    </xf>
    <xf numFmtId="0" fontId="110" fillId="34" borderId="13" xfId="0" applyFont="1" applyFill="1" applyBorder="1" applyAlignment="1">
      <alignment vertical="center" wrapText="1"/>
    </xf>
    <xf numFmtId="0" fontId="116" fillId="34" borderId="13" xfId="0" applyFont="1" applyFill="1" applyBorder="1" applyAlignment="1">
      <alignment horizontal="right" vertical="center" wrapText="1"/>
    </xf>
    <xf numFmtId="0" fontId="110" fillId="0" borderId="29" xfId="0" applyFont="1" applyBorder="1" applyAlignment="1">
      <alignment vertical="center" wrapText="1"/>
    </xf>
    <xf numFmtId="0" fontId="110" fillId="0" borderId="13" xfId="0" applyFont="1" applyBorder="1" applyAlignment="1">
      <alignment vertical="center" wrapText="1"/>
    </xf>
    <xf numFmtId="0" fontId="52" fillId="34" borderId="13" xfId="0" applyFont="1" applyFill="1" applyBorder="1" applyAlignment="1">
      <alignment vertical="center" wrapText="1"/>
    </xf>
    <xf numFmtId="0" fontId="114" fillId="0" borderId="13" xfId="0" applyFont="1" applyFill="1" applyBorder="1" applyAlignment="1">
      <alignment horizontal="left" vertical="center" wrapText="1"/>
    </xf>
    <xf numFmtId="0" fontId="110" fillId="0" borderId="13" xfId="0" applyFont="1" applyFill="1" applyBorder="1" applyAlignment="1">
      <alignment vertical="center" wrapText="1"/>
    </xf>
    <xf numFmtId="0" fontId="115" fillId="0" borderId="13" xfId="0" applyFont="1" applyFill="1" applyBorder="1" applyAlignment="1">
      <alignment horizontal="right" vertical="top" wrapText="1"/>
    </xf>
    <xf numFmtId="0" fontId="115" fillId="0" borderId="13" xfId="0" applyFont="1" applyFill="1" applyBorder="1" applyAlignment="1">
      <alignment vertical="top" wrapText="1"/>
    </xf>
    <xf numFmtId="0" fontId="116" fillId="0" borderId="13" xfId="0" applyFont="1" applyFill="1" applyBorder="1" applyAlignment="1">
      <alignment vertical="center" wrapText="1"/>
    </xf>
    <xf numFmtId="0" fontId="0" fillId="0" borderId="0" xfId="0" applyAlignment="1">
      <alignment horizontal="left" vertical="top"/>
    </xf>
    <xf numFmtId="0" fontId="115" fillId="0" borderId="12" xfId="0" applyFont="1" applyFill="1" applyBorder="1" applyAlignment="1">
      <alignment horizontal="center" vertical="top" wrapText="1"/>
    </xf>
    <xf numFmtId="0" fontId="110" fillId="0" borderId="14" xfId="0" applyFont="1" applyFill="1" applyBorder="1" applyAlignment="1">
      <alignment horizontal="left" vertical="center" wrapText="1"/>
    </xf>
    <xf numFmtId="0" fontId="110" fillId="0" borderId="35" xfId="0" applyFont="1" applyFill="1" applyBorder="1" applyAlignment="1">
      <alignment vertical="center" wrapText="1"/>
    </xf>
    <xf numFmtId="0" fontId="110" fillId="0" borderId="19" xfId="0" applyFont="1" applyFill="1" applyBorder="1" applyAlignment="1">
      <alignment horizontal="left" vertical="top" wrapText="1"/>
    </xf>
    <xf numFmtId="0" fontId="110" fillId="34" borderId="35" xfId="0" applyFont="1" applyFill="1" applyBorder="1" applyAlignment="1">
      <alignment vertical="center" wrapText="1"/>
    </xf>
    <xf numFmtId="0" fontId="115" fillId="34" borderId="13" xfId="0" applyFont="1" applyFill="1" applyBorder="1" applyAlignment="1">
      <alignment vertical="top" wrapText="1"/>
    </xf>
    <xf numFmtId="0" fontId="110" fillId="0" borderId="38" xfId="0" applyFont="1" applyFill="1" applyBorder="1" applyAlignment="1">
      <alignment horizontal="left" vertical="center" wrapText="1"/>
    </xf>
    <xf numFmtId="0" fontId="0" fillId="13" borderId="0" xfId="0" applyFill="1" applyAlignment="1">
      <alignment/>
    </xf>
    <xf numFmtId="0" fontId="115" fillId="0" borderId="29" xfId="0" applyFont="1" applyFill="1" applyBorder="1" applyAlignment="1">
      <alignment horizontal="center" vertical="top" wrapText="1"/>
    </xf>
    <xf numFmtId="0" fontId="115" fillId="0" borderId="20" xfId="0" applyFont="1" applyFill="1" applyBorder="1" applyAlignment="1">
      <alignment horizontal="center" vertical="top" wrapText="1"/>
    </xf>
    <xf numFmtId="0" fontId="115" fillId="0" borderId="12" xfId="0" applyFont="1" applyFill="1" applyBorder="1" applyAlignment="1">
      <alignment horizontal="center" vertical="top" wrapText="1"/>
    </xf>
    <xf numFmtId="0" fontId="113" fillId="42" borderId="20" xfId="0" applyFont="1" applyFill="1" applyBorder="1" applyAlignment="1">
      <alignment horizontal="center" vertical="top" wrapText="1"/>
    </xf>
    <xf numFmtId="0" fontId="117" fillId="0" borderId="10" xfId="0" applyFont="1" applyBorder="1" applyAlignment="1">
      <alignment horizontal="left" vertical="center" wrapText="1"/>
    </xf>
    <xf numFmtId="0" fontId="113" fillId="34" borderId="19" xfId="0" applyFont="1" applyFill="1" applyBorder="1" applyAlignment="1">
      <alignment horizontal="left" vertical="center" wrapText="1"/>
    </xf>
    <xf numFmtId="0" fontId="113" fillId="34" borderId="35" xfId="0" applyFont="1" applyFill="1" applyBorder="1" applyAlignment="1">
      <alignment horizontal="left" vertical="center" wrapText="1"/>
    </xf>
    <xf numFmtId="0" fontId="113" fillId="34" borderId="14" xfId="0" applyFont="1" applyFill="1" applyBorder="1" applyAlignment="1">
      <alignment horizontal="left" vertical="center" wrapText="1"/>
    </xf>
    <xf numFmtId="0" fontId="113" fillId="34" borderId="19" xfId="0" applyFont="1" applyFill="1" applyBorder="1" applyAlignment="1">
      <alignment horizontal="left" vertical="top" wrapText="1"/>
    </xf>
    <xf numFmtId="0" fontId="113" fillId="34" borderId="14" xfId="0" applyFont="1" applyFill="1" applyBorder="1" applyAlignment="1">
      <alignment horizontal="left" vertical="top" wrapText="1"/>
    </xf>
    <xf numFmtId="0" fontId="113" fillId="34" borderId="35" xfId="0" applyFont="1" applyFill="1" applyBorder="1" applyAlignment="1">
      <alignment horizontal="left" vertical="top" wrapText="1"/>
    </xf>
    <xf numFmtId="0" fontId="110" fillId="0" borderId="12" xfId="0" applyFont="1" applyFill="1" applyBorder="1" applyAlignment="1">
      <alignment horizontal="left" vertical="center" wrapText="1"/>
    </xf>
    <xf numFmtId="0" fontId="115" fillId="0" borderId="20" xfId="0" applyFont="1" applyBorder="1" applyAlignment="1">
      <alignment horizontal="left" vertical="top" wrapText="1"/>
    </xf>
    <xf numFmtId="0" fontId="115" fillId="0" borderId="29" xfId="0" applyFont="1" applyBorder="1" applyAlignment="1">
      <alignment horizontal="right" vertical="top" wrapText="1" readingOrder="2"/>
    </xf>
    <xf numFmtId="0" fontId="115" fillId="0" borderId="20" xfId="0" applyFont="1" applyBorder="1" applyAlignment="1">
      <alignment horizontal="right" vertical="top" wrapText="1" readingOrder="2"/>
    </xf>
    <xf numFmtId="0" fontId="110" fillId="0" borderId="13" xfId="0" applyFont="1" applyFill="1" applyBorder="1" applyAlignment="1">
      <alignment horizontal="left" vertical="center" wrapText="1"/>
    </xf>
    <xf numFmtId="0" fontId="115" fillId="0" borderId="12" xfId="0" applyFont="1" applyBorder="1" applyAlignment="1">
      <alignment horizontal="center" vertical="top" wrapText="1"/>
    </xf>
    <xf numFmtId="0" fontId="115" fillId="0" borderId="29" xfId="0" applyFont="1" applyBorder="1" applyAlignment="1">
      <alignment horizontal="right" vertical="top" wrapText="1"/>
    </xf>
    <xf numFmtId="0" fontId="115" fillId="0" borderId="20" xfId="0" applyFont="1" applyBorder="1" applyAlignment="1">
      <alignment horizontal="right" vertical="top" wrapText="1"/>
    </xf>
    <xf numFmtId="0" fontId="118" fillId="34" borderId="19" xfId="0" applyFont="1" applyFill="1" applyBorder="1" applyAlignment="1">
      <alignment horizontal="left" vertical="center" wrapText="1"/>
    </xf>
    <xf numFmtId="0" fontId="113" fillId="42" borderId="29" xfId="0" applyFont="1" applyFill="1" applyBorder="1" applyAlignment="1">
      <alignment horizontal="center" vertical="top" wrapText="1"/>
    </xf>
    <xf numFmtId="0" fontId="113" fillId="42" borderId="20" xfId="0" applyFont="1" applyFill="1" applyBorder="1" applyAlignment="1">
      <alignment horizontal="center" vertical="top" wrapText="1"/>
    </xf>
    <xf numFmtId="0" fontId="117" fillId="0" borderId="62" xfId="0" applyFont="1" applyBorder="1" applyAlignment="1">
      <alignment horizontal="left" vertical="center" wrapText="1"/>
    </xf>
    <xf numFmtId="0" fontId="110" fillId="16" borderId="13" xfId="0" applyFont="1" applyFill="1" applyBorder="1" applyAlignment="1">
      <alignment horizontal="left" vertical="top" wrapText="1"/>
    </xf>
    <xf numFmtId="0" fontId="110" fillId="16" borderId="13" xfId="0" applyFont="1" applyFill="1" applyBorder="1" applyAlignment="1">
      <alignment horizontal="left" vertical="center" wrapText="1"/>
    </xf>
    <xf numFmtId="0" fontId="113" fillId="0" borderId="14" xfId="0" applyFont="1" applyFill="1" applyBorder="1" applyAlignment="1">
      <alignment horizontal="left" vertical="top" wrapText="1"/>
    </xf>
    <xf numFmtId="0" fontId="113" fillId="0" borderId="35" xfId="0" applyFont="1" applyFill="1" applyBorder="1" applyAlignment="1">
      <alignment horizontal="left" vertical="top" wrapText="1"/>
    </xf>
    <xf numFmtId="0" fontId="0" fillId="0" borderId="0" xfId="0" applyFill="1" applyBorder="1" applyAlignment="1">
      <alignment horizontal="center" vertical="center" wrapText="1"/>
    </xf>
    <xf numFmtId="0" fontId="16" fillId="13" borderId="44" xfId="0" applyFont="1" applyFill="1" applyBorder="1" applyAlignment="1">
      <alignment vertical="top" wrapText="1"/>
    </xf>
    <xf numFmtId="0" fontId="16" fillId="13" borderId="43" xfId="0" applyFont="1" applyFill="1" applyBorder="1" applyAlignment="1">
      <alignment vertical="top" wrapText="1"/>
    </xf>
    <xf numFmtId="0" fontId="16" fillId="13" borderId="63" xfId="0" applyFont="1" applyFill="1" applyBorder="1" applyAlignment="1">
      <alignment vertical="top" wrapText="1"/>
    </xf>
    <xf numFmtId="0" fontId="88" fillId="8" borderId="30" xfId="56" applyFill="1" applyBorder="1" applyAlignment="1">
      <alignment vertical="center" wrapText="1"/>
    </xf>
    <xf numFmtId="0" fontId="94" fillId="12" borderId="0" xfId="0" applyFont="1" applyFill="1" applyAlignment="1">
      <alignment horizontal="center"/>
    </xf>
    <xf numFmtId="0" fontId="15" fillId="34" borderId="37" xfId="60" applyFont="1" applyFill="1" applyBorder="1" applyAlignment="1">
      <alignment vertical="center"/>
      <protection/>
    </xf>
    <xf numFmtId="0" fontId="15" fillId="34" borderId="11" xfId="60" applyFont="1" applyFill="1" applyBorder="1" applyAlignment="1">
      <alignment vertical="center"/>
      <protection/>
    </xf>
    <xf numFmtId="167" fontId="15" fillId="34" borderId="62" xfId="45" applyNumberFormat="1" applyFont="1" applyFill="1" applyBorder="1" applyAlignment="1">
      <alignment horizontal="left" vertical="center"/>
    </xf>
    <xf numFmtId="167" fontId="15" fillId="34" borderId="0" xfId="45" applyNumberFormat="1" applyFont="1" applyFill="1" applyBorder="1" applyAlignment="1">
      <alignment horizontal="left" vertical="center"/>
    </xf>
    <xf numFmtId="0" fontId="94" fillId="34" borderId="0" xfId="0" applyFont="1" applyFill="1" applyBorder="1" applyAlignment="1">
      <alignment horizontal="right" vertical="center"/>
    </xf>
    <xf numFmtId="0" fontId="94" fillId="34" borderId="11" xfId="0" applyFont="1" applyFill="1" applyBorder="1" applyAlignment="1">
      <alignment horizontal="right" vertical="center"/>
    </xf>
    <xf numFmtId="0" fontId="94" fillId="34" borderId="0" xfId="0" applyFont="1" applyFill="1" applyBorder="1" applyAlignment="1">
      <alignment horizontal="left" vertical="center"/>
    </xf>
    <xf numFmtId="0" fontId="94" fillId="34" borderId="11" xfId="0" applyFont="1" applyFill="1" applyBorder="1" applyAlignment="1">
      <alignment horizontal="left" vertical="center"/>
    </xf>
    <xf numFmtId="0" fontId="94" fillId="8" borderId="0" xfId="0" applyFont="1" applyFill="1" applyAlignment="1">
      <alignment horizontal="center"/>
    </xf>
    <xf numFmtId="0" fontId="35" fillId="4" borderId="14" xfId="0" applyFont="1" applyFill="1" applyBorder="1" applyAlignment="1">
      <alignment horizontal="right" wrapText="1"/>
    </xf>
    <xf numFmtId="0" fontId="5" fillId="13" borderId="0" xfId="0" applyFont="1" applyFill="1" applyAlignment="1">
      <alignment horizontal="center"/>
    </xf>
    <xf numFmtId="0" fontId="13" fillId="34" borderId="14" xfId="60" applyFont="1" applyFill="1" applyBorder="1" applyAlignment="1">
      <alignment horizontal="left" vertical="center" wrapText="1"/>
      <protection/>
    </xf>
    <xf numFmtId="0" fontId="16" fillId="0" borderId="12" xfId="0" applyFont="1" applyFill="1" applyBorder="1" applyAlignment="1">
      <alignment horizontal="left" vertical="top" wrapText="1"/>
    </xf>
    <xf numFmtId="0" fontId="16" fillId="33" borderId="13" xfId="0" applyFont="1" applyFill="1" applyBorder="1" applyAlignment="1">
      <alignment horizontal="left" vertical="top" wrapText="1"/>
    </xf>
    <xf numFmtId="0" fontId="12" fillId="34" borderId="52" xfId="0" applyFont="1" applyFill="1" applyBorder="1" applyAlignment="1">
      <alignment/>
    </xf>
    <xf numFmtId="0" fontId="12" fillId="34" borderId="13" xfId="0" applyFont="1" applyFill="1" applyBorder="1" applyAlignment="1">
      <alignment/>
    </xf>
    <xf numFmtId="0" fontId="12" fillId="49" borderId="0" xfId="0" applyFont="1" applyFill="1" applyBorder="1" applyAlignment="1">
      <alignment horizontal="center" vertical="center"/>
    </xf>
    <xf numFmtId="0" fontId="5" fillId="37" borderId="15" xfId="0" applyFont="1" applyFill="1" applyBorder="1" applyAlignment="1">
      <alignment horizontal="left" vertical="center" wrapText="1"/>
    </xf>
    <xf numFmtId="0" fontId="16" fillId="33" borderId="49"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33" borderId="64" xfId="0" applyFont="1" applyFill="1" applyBorder="1" applyAlignment="1">
      <alignment horizontal="left" vertical="center" wrapText="1"/>
    </xf>
    <xf numFmtId="0" fontId="16" fillId="40" borderId="60" xfId="0" applyFont="1" applyFill="1" applyBorder="1" applyAlignment="1">
      <alignment horizontal="left"/>
    </xf>
    <xf numFmtId="0" fontId="16" fillId="40" borderId="11" xfId="0" applyFont="1" applyFill="1" applyBorder="1" applyAlignment="1">
      <alignment horizontal="left"/>
    </xf>
    <xf numFmtId="0" fontId="16" fillId="40" borderId="38" xfId="0" applyFont="1" applyFill="1" applyBorder="1" applyAlignment="1">
      <alignment horizontal="left"/>
    </xf>
    <xf numFmtId="0" fontId="12" fillId="0" borderId="0" xfId="0" applyFont="1" applyFill="1" applyBorder="1" applyAlignment="1">
      <alignment horizontal="center" vertical="center"/>
    </xf>
    <xf numFmtId="0" fontId="94" fillId="8" borderId="0" xfId="0" applyFont="1" applyFill="1" applyBorder="1" applyAlignment="1">
      <alignment horizontal="center"/>
    </xf>
    <xf numFmtId="0" fontId="16" fillId="0" borderId="60" xfId="0" applyFont="1" applyBorder="1" applyAlignment="1">
      <alignment horizontal="left"/>
    </xf>
    <xf numFmtId="0" fontId="16" fillId="0" borderId="11" xfId="0" applyFont="1" applyBorder="1" applyAlignment="1">
      <alignment horizontal="left"/>
    </xf>
    <xf numFmtId="0" fontId="16" fillId="0" borderId="38" xfId="0" applyFont="1" applyBorder="1" applyAlignment="1">
      <alignment horizontal="left"/>
    </xf>
    <xf numFmtId="0" fontId="99" fillId="0" borderId="0" xfId="0" applyFont="1" applyFill="1" applyBorder="1" applyAlignment="1">
      <alignment horizontal="center" wrapText="1"/>
    </xf>
    <xf numFmtId="0" fontId="16" fillId="0" borderId="53"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0" fillId="33" borderId="49" xfId="0" applyFill="1" applyBorder="1" applyAlignment="1">
      <alignment horizontal="left"/>
    </xf>
    <xf numFmtId="0" fontId="0" fillId="33" borderId="0" xfId="0" applyFill="1" applyBorder="1" applyAlignment="1">
      <alignment horizontal="left"/>
    </xf>
    <xf numFmtId="0" fontId="0" fillId="33" borderId="64" xfId="0" applyFill="1" applyBorder="1" applyAlignment="1">
      <alignment horizontal="left"/>
    </xf>
    <xf numFmtId="3" fontId="16" fillId="3" borderId="19" xfId="0" applyNumberFormat="1" applyFont="1" applyFill="1" applyBorder="1" applyAlignment="1">
      <alignment horizontal="center" vertical="top" wrapText="1"/>
    </xf>
    <xf numFmtId="3" fontId="16" fillId="3" borderId="14" xfId="0" applyNumberFormat="1" applyFont="1" applyFill="1" applyBorder="1" applyAlignment="1">
      <alignment horizontal="center" vertical="top" wrapText="1"/>
    </xf>
    <xf numFmtId="3" fontId="16" fillId="3" borderId="35" xfId="0" applyNumberFormat="1" applyFont="1" applyFill="1" applyBorder="1" applyAlignment="1">
      <alignment horizontal="center" vertical="top" wrapText="1"/>
    </xf>
    <xf numFmtId="3" fontId="16" fillId="2" borderId="19" xfId="0" applyNumberFormat="1" applyFont="1" applyFill="1" applyBorder="1" applyAlignment="1">
      <alignment horizontal="center" vertical="top" wrapText="1"/>
    </xf>
    <xf numFmtId="3" fontId="16" fillId="2" borderId="14" xfId="0" applyNumberFormat="1" applyFont="1" applyFill="1" applyBorder="1" applyAlignment="1">
      <alignment horizontal="center" vertical="top" wrapText="1"/>
    </xf>
    <xf numFmtId="3" fontId="16" fillId="2" borderId="35" xfId="0" applyNumberFormat="1" applyFont="1" applyFill="1" applyBorder="1" applyAlignment="1">
      <alignment horizontal="center" vertical="top" wrapText="1"/>
    </xf>
    <xf numFmtId="0" fontId="23" fillId="38" borderId="13" xfId="0" applyFont="1" applyFill="1" applyBorder="1" applyAlignment="1">
      <alignment horizontal="center" vertical="center"/>
    </xf>
    <xf numFmtId="0" fontId="23" fillId="45" borderId="13" xfId="0" applyFont="1" applyFill="1" applyBorder="1" applyAlignment="1">
      <alignment horizontal="center" vertical="center"/>
    </xf>
    <xf numFmtId="0" fontId="94" fillId="19" borderId="0" xfId="0" applyFont="1" applyFill="1" applyBorder="1" applyAlignment="1">
      <alignment horizontal="center"/>
    </xf>
    <xf numFmtId="0" fontId="23" fillId="36" borderId="19" xfId="0" applyFont="1" applyFill="1" applyBorder="1" applyAlignment="1">
      <alignment horizontal="center" vertical="center"/>
    </xf>
    <xf numFmtId="0" fontId="23" fillId="36" borderId="14" xfId="0" applyFont="1" applyFill="1" applyBorder="1" applyAlignment="1">
      <alignment horizontal="center" vertical="center"/>
    </xf>
    <xf numFmtId="0" fontId="23" fillId="36" borderId="35" xfId="0" applyFont="1" applyFill="1" applyBorder="1" applyAlignment="1">
      <alignment horizontal="center" vertical="center"/>
    </xf>
    <xf numFmtId="0" fontId="23" fillId="38" borderId="19" xfId="0" applyFont="1" applyFill="1" applyBorder="1" applyAlignment="1">
      <alignment horizontal="center" vertical="center"/>
    </xf>
    <xf numFmtId="0" fontId="23" fillId="38" borderId="14" xfId="0" applyFont="1" applyFill="1" applyBorder="1" applyAlignment="1">
      <alignment horizontal="center" vertical="center"/>
    </xf>
    <xf numFmtId="0" fontId="23" fillId="38" borderId="35" xfId="0" applyFont="1" applyFill="1" applyBorder="1" applyAlignment="1">
      <alignment horizontal="center" vertical="center"/>
    </xf>
    <xf numFmtId="0" fontId="11" fillId="4" borderId="49"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6" fillId="0" borderId="13"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35" xfId="0" applyFont="1" applyFill="1" applyBorder="1" applyAlignment="1">
      <alignment horizontal="left" vertical="top" wrapText="1"/>
    </xf>
    <xf numFmtId="3" fontId="16" fillId="7" borderId="19" xfId="0" applyNumberFormat="1" applyFont="1" applyFill="1" applyBorder="1" applyAlignment="1">
      <alignment horizontal="center" vertical="top" wrapText="1"/>
    </xf>
    <xf numFmtId="3" fontId="16" fillId="7" borderId="14" xfId="0" applyNumberFormat="1" applyFont="1" applyFill="1" applyBorder="1" applyAlignment="1">
      <alignment horizontal="center" vertical="top" wrapText="1"/>
    </xf>
    <xf numFmtId="3" fontId="16" fillId="7" borderId="35" xfId="0" applyNumberFormat="1" applyFont="1" applyFill="1" applyBorder="1" applyAlignment="1">
      <alignment horizontal="center" vertical="top" wrapText="1"/>
    </xf>
    <xf numFmtId="0" fontId="23" fillId="36" borderId="13" xfId="0" applyFont="1" applyFill="1" applyBorder="1" applyAlignment="1">
      <alignment horizontal="center" vertical="center"/>
    </xf>
    <xf numFmtId="0" fontId="23" fillId="45" borderId="19" xfId="0" applyFont="1" applyFill="1" applyBorder="1" applyAlignment="1">
      <alignment horizontal="center" vertical="center"/>
    </xf>
    <xf numFmtId="0" fontId="23" fillId="45" borderId="14" xfId="0" applyFont="1" applyFill="1" applyBorder="1" applyAlignment="1">
      <alignment horizontal="center" vertical="center"/>
    </xf>
    <xf numFmtId="0" fontId="23" fillId="37" borderId="19" xfId="0" applyFont="1" applyFill="1" applyBorder="1" applyAlignment="1">
      <alignment horizontal="center" vertical="center"/>
    </xf>
    <xf numFmtId="0" fontId="23" fillId="37" borderId="14" xfId="0" applyFont="1" applyFill="1" applyBorder="1" applyAlignment="1">
      <alignment horizontal="center" vertical="center"/>
    </xf>
    <xf numFmtId="0" fontId="23" fillId="37" borderId="35" xfId="0" applyFont="1" applyFill="1" applyBorder="1" applyAlignment="1">
      <alignment horizontal="center" vertical="center"/>
    </xf>
    <xf numFmtId="0" fontId="94" fillId="12" borderId="0" xfId="0" applyFont="1" applyFill="1" applyBorder="1" applyAlignment="1">
      <alignment horizontal="center"/>
    </xf>
    <xf numFmtId="0" fontId="16" fillId="33" borderId="60" xfId="0" applyFont="1" applyFill="1" applyBorder="1" applyAlignment="1">
      <alignment horizontal="left" vertical="top" wrapText="1"/>
    </xf>
    <xf numFmtId="0" fontId="16" fillId="33" borderId="11" xfId="0" applyFont="1" applyFill="1" applyBorder="1" applyAlignment="1">
      <alignment horizontal="left" vertical="top" wrapText="1"/>
    </xf>
    <xf numFmtId="0" fontId="16" fillId="33" borderId="38" xfId="0" applyFont="1" applyFill="1" applyBorder="1" applyAlignment="1">
      <alignment horizontal="left" vertical="top" wrapText="1"/>
    </xf>
    <xf numFmtId="0" fontId="16" fillId="0" borderId="49"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4" xfId="0" applyFont="1" applyFill="1" applyBorder="1" applyAlignment="1">
      <alignment horizontal="left" vertical="center" wrapText="1"/>
    </xf>
    <xf numFmtId="0" fontId="16" fillId="33" borderId="19" xfId="0" applyFont="1" applyFill="1" applyBorder="1" applyAlignment="1">
      <alignment horizontal="left" vertical="top" wrapText="1"/>
    </xf>
    <xf numFmtId="0" fontId="16" fillId="33" borderId="35" xfId="0" applyFont="1" applyFill="1" applyBorder="1" applyAlignment="1">
      <alignment horizontal="left" vertical="top" wrapText="1"/>
    </xf>
    <xf numFmtId="0" fontId="0" fillId="0" borderId="13" xfId="0" applyBorder="1" applyAlignment="1">
      <alignment horizontal="center" wrapText="1"/>
    </xf>
    <xf numFmtId="0" fontId="23" fillId="45" borderId="35" xfId="0" applyFont="1" applyFill="1" applyBorder="1" applyAlignment="1">
      <alignment horizontal="center" vertical="center"/>
    </xf>
    <xf numFmtId="0" fontId="119" fillId="37" borderId="13" xfId="0" applyFont="1" applyFill="1" applyBorder="1" applyAlignment="1">
      <alignment horizontal="center" vertical="center"/>
    </xf>
    <xf numFmtId="0" fontId="12" fillId="34" borderId="13" xfId="0" applyFont="1" applyFill="1" applyBorder="1" applyAlignment="1">
      <alignment horizontal="center" vertical="center"/>
    </xf>
    <xf numFmtId="0" fontId="16" fillId="40" borderId="49" xfId="0" applyFont="1" applyFill="1" applyBorder="1" applyAlignment="1">
      <alignment horizontal="left" vertical="center" wrapText="1"/>
    </xf>
    <xf numFmtId="0" fontId="16" fillId="40" borderId="0" xfId="0" applyFont="1" applyFill="1" applyBorder="1" applyAlignment="1">
      <alignment horizontal="left" vertical="center" wrapText="1"/>
    </xf>
    <xf numFmtId="0" fontId="16" fillId="40" borderId="64" xfId="0" applyFont="1" applyFill="1" applyBorder="1" applyAlignment="1">
      <alignment horizontal="left" vertical="center" wrapText="1"/>
    </xf>
    <xf numFmtId="0" fontId="23" fillId="45" borderId="58" xfId="0" applyFont="1" applyFill="1" applyBorder="1" applyAlignment="1">
      <alignment horizontal="center" vertical="center"/>
    </xf>
    <xf numFmtId="0" fontId="34" fillId="34" borderId="61" xfId="0" applyFont="1" applyFill="1" applyBorder="1" applyAlignment="1">
      <alignment horizontal="left" vertical="center" wrapText="1"/>
    </xf>
    <xf numFmtId="0" fontId="11" fillId="34" borderId="48" xfId="0" applyFont="1" applyFill="1" applyBorder="1" applyAlignment="1">
      <alignment horizontal="left" vertical="center" wrapText="1"/>
    </xf>
    <xf numFmtId="0" fontId="23" fillId="37" borderId="13" xfId="0" applyFont="1" applyFill="1" applyBorder="1" applyAlignment="1">
      <alignment horizontal="center" vertical="center"/>
    </xf>
    <xf numFmtId="0" fontId="12" fillId="34" borderId="52" xfId="0" applyFont="1" applyFill="1" applyBorder="1" applyAlignment="1">
      <alignment vertical="center"/>
    </xf>
    <xf numFmtId="0" fontId="12" fillId="34" borderId="13" xfId="0" applyFont="1" applyFill="1" applyBorder="1" applyAlignment="1">
      <alignment vertical="center"/>
    </xf>
    <xf numFmtId="0" fontId="12" fillId="49" borderId="19" xfId="0" applyFont="1" applyFill="1" applyBorder="1" applyAlignment="1">
      <alignment horizontal="center" vertical="center"/>
    </xf>
    <xf numFmtId="0" fontId="12" fillId="49" borderId="14" xfId="0" applyFont="1" applyFill="1" applyBorder="1" applyAlignment="1">
      <alignment horizontal="center" vertical="center"/>
    </xf>
    <xf numFmtId="0" fontId="12" fillId="49" borderId="35" xfId="0" applyFont="1" applyFill="1" applyBorder="1" applyAlignment="1">
      <alignment horizontal="center" vertical="center"/>
    </xf>
    <xf numFmtId="0" fontId="34" fillId="34" borderId="65" xfId="0" applyFont="1" applyFill="1" applyBorder="1" applyAlignment="1">
      <alignment horizontal="left" vertical="center" wrapText="1"/>
    </xf>
    <xf numFmtId="0" fontId="11" fillId="34" borderId="43" xfId="0" applyFont="1" applyFill="1" applyBorder="1" applyAlignment="1">
      <alignment horizontal="left" vertical="center" wrapText="1"/>
    </xf>
    <xf numFmtId="0" fontId="12" fillId="34" borderId="53" xfId="0" applyFont="1" applyFill="1" applyBorder="1" applyAlignment="1">
      <alignment horizontal="left" vertical="center"/>
    </xf>
    <xf numFmtId="0" fontId="12" fillId="34" borderId="10" xfId="0" applyFont="1" applyFill="1" applyBorder="1" applyAlignment="1">
      <alignment horizontal="left" vertical="center"/>
    </xf>
    <xf numFmtId="0" fontId="12" fillId="34" borderId="60" xfId="0" applyFont="1" applyFill="1" applyBorder="1" applyAlignment="1">
      <alignment horizontal="left" vertical="center"/>
    </xf>
    <xf numFmtId="0" fontId="12" fillId="34" borderId="11" xfId="0" applyFont="1" applyFill="1" applyBorder="1" applyAlignment="1">
      <alignment horizontal="left" vertical="center"/>
    </xf>
    <xf numFmtId="0" fontId="12" fillId="34" borderId="59" xfId="0" applyFont="1" applyFill="1" applyBorder="1" applyAlignment="1">
      <alignment/>
    </xf>
    <xf numFmtId="0" fontId="12" fillId="34" borderId="14" xfId="0" applyFont="1" applyFill="1" applyBorder="1" applyAlignment="1">
      <alignment/>
    </xf>
    <xf numFmtId="0" fontId="12" fillId="34" borderId="35" xfId="0" applyFont="1" applyFill="1" applyBorder="1" applyAlignment="1">
      <alignment/>
    </xf>
    <xf numFmtId="0" fontId="5" fillId="37" borderId="36" xfId="0" applyFont="1" applyFill="1" applyBorder="1" applyAlignment="1">
      <alignment horizontal="left" vertical="center" wrapText="1"/>
    </xf>
    <xf numFmtId="0" fontId="5" fillId="37" borderId="66" xfId="0" applyFont="1" applyFill="1" applyBorder="1" applyAlignment="1">
      <alignment horizontal="left" vertical="center" wrapText="1"/>
    </xf>
    <xf numFmtId="0" fontId="16" fillId="40" borderId="44" xfId="0" applyFont="1" applyFill="1" applyBorder="1" applyAlignment="1">
      <alignment horizontal="left" vertical="top" wrapText="1"/>
    </xf>
    <xf numFmtId="0" fontId="16" fillId="40" borderId="63" xfId="0" applyFont="1" applyFill="1" applyBorder="1" applyAlignment="1">
      <alignment horizontal="left" vertical="top" wrapText="1"/>
    </xf>
    <xf numFmtId="0" fontId="12" fillId="49" borderId="13" xfId="0" applyFont="1" applyFill="1" applyBorder="1" applyAlignment="1">
      <alignment horizontal="center" vertical="center"/>
    </xf>
    <xf numFmtId="0" fontId="16" fillId="0" borderId="0" xfId="0" applyFont="1" applyBorder="1" applyAlignment="1">
      <alignment horizontal="center" wrapText="1"/>
    </xf>
    <xf numFmtId="0" fontId="16" fillId="0" borderId="50" xfId="0" applyFont="1" applyBorder="1" applyAlignment="1">
      <alignment horizontal="center" wrapText="1"/>
    </xf>
    <xf numFmtId="0" fontId="16" fillId="0" borderId="37" xfId="0" applyFont="1" applyFill="1" applyBorder="1" applyAlignment="1">
      <alignment horizontal="left" vertical="top" wrapText="1"/>
    </xf>
    <xf numFmtId="0" fontId="16" fillId="0" borderId="38" xfId="0" applyFont="1" applyFill="1" applyBorder="1" applyAlignment="1">
      <alignment horizontal="left" vertical="top" wrapText="1"/>
    </xf>
    <xf numFmtId="0" fontId="16" fillId="40" borderId="53" xfId="0" applyFont="1" applyFill="1" applyBorder="1" applyAlignment="1">
      <alignment horizontal="left" vertical="center" wrapText="1"/>
    </xf>
    <xf numFmtId="0" fontId="16" fillId="40" borderId="10" xfId="0" applyFont="1" applyFill="1" applyBorder="1" applyAlignment="1">
      <alignment horizontal="left" vertical="center" wrapText="1"/>
    </xf>
    <xf numFmtId="0" fontId="16" fillId="40" borderId="30" xfId="0" applyFont="1" applyFill="1" applyBorder="1" applyAlignment="1">
      <alignment horizontal="left" vertical="center" wrapText="1"/>
    </xf>
    <xf numFmtId="0" fontId="16" fillId="40" borderId="37" xfId="0" applyFont="1" applyFill="1" applyBorder="1" applyAlignment="1">
      <alignment horizontal="left" vertical="top" wrapText="1"/>
    </xf>
    <xf numFmtId="0" fontId="16" fillId="40" borderId="38" xfId="0" applyFont="1" applyFill="1" applyBorder="1" applyAlignment="1">
      <alignment horizontal="left" vertical="top" wrapText="1"/>
    </xf>
    <xf numFmtId="0" fontId="16" fillId="40" borderId="19" xfId="0" applyFont="1" applyFill="1" applyBorder="1" applyAlignment="1">
      <alignment horizontal="left" vertical="top" wrapText="1"/>
    </xf>
    <xf numFmtId="0" fontId="16" fillId="40" borderId="35" xfId="0" applyFont="1" applyFill="1" applyBorder="1" applyAlignment="1">
      <alignment horizontal="left" vertical="top" wrapText="1"/>
    </xf>
    <xf numFmtId="0" fontId="5" fillId="45" borderId="36" xfId="0" applyFont="1" applyFill="1" applyBorder="1" applyAlignment="1">
      <alignment horizontal="center" vertical="top"/>
    </xf>
    <xf numFmtId="0" fontId="5" fillId="45" borderId="67" xfId="0" applyFont="1" applyFill="1" applyBorder="1" applyAlignment="1">
      <alignment horizontal="center" vertical="top"/>
    </xf>
    <xf numFmtId="0" fontId="5" fillId="45" borderId="68" xfId="0" applyFont="1" applyFill="1" applyBorder="1" applyAlignment="1">
      <alignment horizontal="center" vertical="top"/>
    </xf>
    <xf numFmtId="3" fontId="16" fillId="12" borderId="44" xfId="0" applyNumberFormat="1" applyFont="1" applyFill="1" applyBorder="1" applyAlignment="1">
      <alignment horizontal="center" vertical="top" wrapText="1"/>
    </xf>
    <xf numFmtId="3" fontId="16" fillId="12" borderId="43" xfId="0" applyNumberFormat="1" applyFont="1" applyFill="1" applyBorder="1" applyAlignment="1">
      <alignment horizontal="center" vertical="top" wrapText="1"/>
    </xf>
    <xf numFmtId="3" fontId="16" fillId="12" borderId="45" xfId="0" applyNumberFormat="1" applyFont="1" applyFill="1" applyBorder="1" applyAlignment="1">
      <alignment horizontal="center" vertical="top" wrapText="1"/>
    </xf>
    <xf numFmtId="3" fontId="16" fillId="12" borderId="69" xfId="0" applyNumberFormat="1" applyFont="1" applyFill="1" applyBorder="1" applyAlignment="1">
      <alignment horizontal="center" vertical="top" wrapText="1"/>
    </xf>
    <xf numFmtId="3" fontId="16" fillId="12" borderId="48" xfId="0" applyNumberFormat="1" applyFont="1" applyFill="1" applyBorder="1" applyAlignment="1">
      <alignment horizontal="center" vertical="top" wrapText="1"/>
    </xf>
    <xf numFmtId="3" fontId="16" fillId="12" borderId="70" xfId="0" applyNumberFormat="1" applyFont="1" applyFill="1" applyBorder="1" applyAlignment="1">
      <alignment horizontal="center" vertical="top" wrapText="1"/>
    </xf>
    <xf numFmtId="3" fontId="16" fillId="12" borderId="63" xfId="0" applyNumberFormat="1" applyFont="1" applyFill="1" applyBorder="1" applyAlignment="1">
      <alignment horizontal="center" vertical="top" wrapText="1"/>
    </xf>
    <xf numFmtId="0" fontId="5" fillId="38" borderId="36" xfId="0" applyFont="1" applyFill="1" applyBorder="1" applyAlignment="1">
      <alignment horizontal="center" vertical="top"/>
    </xf>
    <xf numFmtId="0" fontId="5" fillId="38" borderId="67" xfId="0" applyFont="1" applyFill="1" applyBorder="1" applyAlignment="1">
      <alignment horizontal="center" vertical="top"/>
    </xf>
    <xf numFmtId="0" fontId="5" fillId="38" borderId="66" xfId="0" applyFont="1" applyFill="1" applyBorder="1" applyAlignment="1">
      <alignment horizontal="center" vertical="top"/>
    </xf>
    <xf numFmtId="3" fontId="16" fillId="8" borderId="44" xfId="0" applyNumberFormat="1" applyFont="1" applyFill="1" applyBorder="1" applyAlignment="1">
      <alignment horizontal="center" vertical="top" wrapText="1"/>
    </xf>
    <xf numFmtId="3" fontId="16" fillId="8" borderId="43" xfId="0" applyNumberFormat="1" applyFont="1" applyFill="1" applyBorder="1" applyAlignment="1">
      <alignment horizontal="center" vertical="top" wrapText="1"/>
    </xf>
    <xf numFmtId="3" fontId="16" fillId="8" borderId="63" xfId="0" applyNumberFormat="1" applyFont="1" applyFill="1" applyBorder="1" applyAlignment="1">
      <alignment horizontal="center" vertical="top" wrapText="1"/>
    </xf>
    <xf numFmtId="0" fontId="5" fillId="36" borderId="36" xfId="0" applyFont="1" applyFill="1" applyBorder="1" applyAlignment="1">
      <alignment horizontal="center" vertical="top"/>
    </xf>
    <xf numFmtId="0" fontId="5" fillId="36" borderId="67" xfId="0" applyFont="1" applyFill="1" applyBorder="1" applyAlignment="1">
      <alignment horizontal="center" vertical="top"/>
    </xf>
    <xf numFmtId="0" fontId="5" fillId="36" borderId="66" xfId="0" applyFont="1" applyFill="1" applyBorder="1" applyAlignment="1">
      <alignment horizontal="center" vertical="top"/>
    </xf>
    <xf numFmtId="0" fontId="16" fillId="0" borderId="44" xfId="0" applyFont="1" applyFill="1" applyBorder="1" applyAlignment="1">
      <alignment horizontal="left" vertical="top" wrapText="1"/>
    </xf>
    <xf numFmtId="0" fontId="16" fillId="0" borderId="63" xfId="0" applyFont="1" applyFill="1" applyBorder="1" applyAlignment="1">
      <alignment horizontal="left" vertical="top" wrapText="1"/>
    </xf>
    <xf numFmtId="3" fontId="16" fillId="13" borderId="44" xfId="0" applyNumberFormat="1" applyFont="1" applyFill="1" applyBorder="1" applyAlignment="1">
      <alignment horizontal="center" vertical="top" wrapText="1"/>
    </xf>
    <xf numFmtId="3" fontId="16" fillId="13" borderId="43" xfId="0" applyNumberFormat="1" applyFont="1" applyFill="1" applyBorder="1" applyAlignment="1">
      <alignment horizontal="center" vertical="top" wrapText="1"/>
    </xf>
    <xf numFmtId="3" fontId="16" fillId="13" borderId="63" xfId="0" applyNumberFormat="1" applyFont="1" applyFill="1" applyBorder="1" applyAlignment="1">
      <alignment horizontal="center" vertical="top" wrapText="1"/>
    </xf>
    <xf numFmtId="0" fontId="0" fillId="0" borderId="0" xfId="0" applyBorder="1" applyAlignment="1">
      <alignment horizontal="center" wrapText="1"/>
    </xf>
    <xf numFmtId="0" fontId="23" fillId="45" borderId="71" xfId="0" applyFont="1" applyFill="1" applyBorder="1" applyAlignment="1">
      <alignment horizontal="center" vertical="center"/>
    </xf>
    <xf numFmtId="0" fontId="16" fillId="33" borderId="60" xfId="0" applyFont="1" applyFill="1" applyBorder="1" applyAlignment="1">
      <alignment horizontal="left"/>
    </xf>
    <xf numFmtId="0" fontId="16" fillId="33" borderId="11" xfId="0" applyFont="1" applyFill="1" applyBorder="1" applyAlignment="1">
      <alignment horizontal="left"/>
    </xf>
    <xf numFmtId="0" fontId="16" fillId="33" borderId="38" xfId="0" applyFont="1" applyFill="1" applyBorder="1" applyAlignment="1">
      <alignment horizontal="left"/>
    </xf>
    <xf numFmtId="0" fontId="16" fillId="33" borderId="60"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16" fillId="33" borderId="38" xfId="0" applyFont="1" applyFill="1" applyBorder="1" applyAlignment="1">
      <alignment horizontal="left" vertical="center" wrapText="1"/>
    </xf>
    <xf numFmtId="0" fontId="16" fillId="0" borderId="49" xfId="0" applyFont="1" applyBorder="1" applyAlignment="1">
      <alignment horizontal="left"/>
    </xf>
    <xf numFmtId="0" fontId="16" fillId="0" borderId="0" xfId="0" applyFont="1" applyBorder="1" applyAlignment="1">
      <alignment horizontal="left"/>
    </xf>
    <xf numFmtId="0" fontId="16" fillId="0" borderId="64" xfId="0" applyFont="1" applyBorder="1" applyAlignment="1">
      <alignment horizontal="left"/>
    </xf>
    <xf numFmtId="0" fontId="34" fillId="34" borderId="48" xfId="0" applyFont="1" applyFill="1" applyBorder="1" applyAlignment="1">
      <alignment horizontal="left" vertical="center" wrapText="1"/>
    </xf>
    <xf numFmtId="0" fontId="34" fillId="34" borderId="57" xfId="0" applyFont="1" applyFill="1" applyBorder="1" applyAlignment="1">
      <alignment horizontal="left" vertical="center" wrapText="1"/>
    </xf>
    <xf numFmtId="0" fontId="12" fillId="34" borderId="0" xfId="0" applyFont="1" applyFill="1" applyBorder="1" applyAlignment="1">
      <alignment horizontal="center" vertical="center"/>
    </xf>
    <xf numFmtId="0" fontId="12" fillId="34" borderId="50" xfId="0" applyFont="1" applyFill="1" applyBorder="1" applyAlignment="1">
      <alignment horizontal="center" vertical="center"/>
    </xf>
    <xf numFmtId="0" fontId="16" fillId="0" borderId="69" xfId="0" applyFont="1" applyFill="1" applyBorder="1" applyAlignment="1">
      <alignment horizontal="left" vertical="top" wrapText="1"/>
    </xf>
    <xf numFmtId="0" fontId="16" fillId="0" borderId="70" xfId="0" applyFont="1" applyFill="1" applyBorder="1" applyAlignment="1">
      <alignment horizontal="left" vertical="top" wrapText="1"/>
    </xf>
    <xf numFmtId="3" fontId="16" fillId="13" borderId="69" xfId="0" applyNumberFormat="1" applyFont="1" applyFill="1" applyBorder="1" applyAlignment="1">
      <alignment horizontal="center" vertical="top" wrapText="1"/>
    </xf>
    <xf numFmtId="3" fontId="16" fillId="13" borderId="48" xfId="0" applyNumberFormat="1" applyFont="1" applyFill="1" applyBorder="1" applyAlignment="1">
      <alignment horizontal="center" vertical="top" wrapText="1"/>
    </xf>
    <xf numFmtId="3" fontId="16" fillId="13" borderId="70" xfId="0" applyNumberFormat="1" applyFont="1" applyFill="1" applyBorder="1" applyAlignment="1">
      <alignment horizontal="center" vertical="top" wrapText="1"/>
    </xf>
    <xf numFmtId="0" fontId="12" fillId="34" borderId="31" xfId="0" applyFont="1" applyFill="1" applyBorder="1" applyAlignment="1">
      <alignment horizontal="left" vertical="center"/>
    </xf>
    <xf numFmtId="0" fontId="12" fillId="34" borderId="30" xfId="0" applyFont="1" applyFill="1" applyBorder="1" applyAlignment="1">
      <alignment horizontal="left" vertical="center"/>
    </xf>
    <xf numFmtId="0" fontId="12" fillId="34" borderId="37" xfId="0" applyFont="1" applyFill="1" applyBorder="1" applyAlignment="1">
      <alignment horizontal="left" vertical="center"/>
    </xf>
    <xf numFmtId="0" fontId="12" fillId="34" borderId="38" xfId="0" applyFont="1" applyFill="1" applyBorder="1" applyAlignment="1">
      <alignment horizontal="left" vertical="center"/>
    </xf>
    <xf numFmtId="0" fontId="23" fillId="39" borderId="19" xfId="0" applyFont="1" applyFill="1" applyBorder="1" applyAlignment="1">
      <alignment horizontal="center" vertical="center"/>
    </xf>
    <xf numFmtId="0" fontId="23" fillId="39" borderId="14" xfId="0" applyFont="1" applyFill="1" applyBorder="1" applyAlignment="1">
      <alignment horizontal="center" vertical="center"/>
    </xf>
    <xf numFmtId="0" fontId="23" fillId="39" borderId="35" xfId="0" applyFont="1" applyFill="1" applyBorder="1" applyAlignment="1">
      <alignment horizontal="center" vertical="center"/>
    </xf>
    <xf numFmtId="0" fontId="5" fillId="39" borderId="36" xfId="0" applyFont="1" applyFill="1" applyBorder="1" applyAlignment="1">
      <alignment horizontal="center" vertical="top"/>
    </xf>
    <xf numFmtId="0" fontId="5" fillId="39" borderId="67" xfId="0" applyFont="1" applyFill="1" applyBorder="1" applyAlignment="1">
      <alignment horizontal="center" vertical="top"/>
    </xf>
    <xf numFmtId="0" fontId="5" fillId="39" borderId="66" xfId="0" applyFont="1" applyFill="1" applyBorder="1" applyAlignment="1">
      <alignment horizontal="center" vertical="top"/>
    </xf>
    <xf numFmtId="3" fontId="16" fillId="3" borderId="69" xfId="0" applyNumberFormat="1" applyFont="1" applyFill="1" applyBorder="1" applyAlignment="1">
      <alignment horizontal="center" vertical="top" wrapText="1"/>
    </xf>
    <xf numFmtId="3" fontId="16" fillId="3" borderId="48" xfId="0" applyNumberFormat="1" applyFont="1" applyFill="1" applyBorder="1" applyAlignment="1">
      <alignment horizontal="center" vertical="top" wrapText="1"/>
    </xf>
    <xf numFmtId="3" fontId="16" fillId="3" borderId="70" xfId="0" applyNumberFormat="1" applyFont="1" applyFill="1" applyBorder="1" applyAlignment="1">
      <alignment horizontal="center" vertical="top" wrapText="1"/>
    </xf>
    <xf numFmtId="3" fontId="16" fillId="3" borderId="44" xfId="0" applyNumberFormat="1" applyFont="1" applyFill="1" applyBorder="1" applyAlignment="1">
      <alignment horizontal="center" vertical="top" wrapText="1"/>
    </xf>
    <xf numFmtId="3" fontId="16" fillId="3" borderId="43" xfId="0" applyNumberFormat="1" applyFont="1" applyFill="1" applyBorder="1" applyAlignment="1">
      <alignment horizontal="center" vertical="top" wrapText="1"/>
    </xf>
    <xf numFmtId="3" fontId="16" fillId="3" borderId="63" xfId="0" applyNumberFormat="1" applyFont="1" applyFill="1" applyBorder="1" applyAlignment="1">
      <alignment horizontal="center" vertical="top" wrapText="1"/>
    </xf>
    <xf numFmtId="0" fontId="5" fillId="45" borderId="66" xfId="0" applyFont="1" applyFill="1" applyBorder="1" applyAlignment="1">
      <alignment horizontal="center" vertical="top"/>
    </xf>
    <xf numFmtId="3" fontId="16" fillId="13" borderId="19" xfId="0" applyNumberFormat="1" applyFont="1" applyFill="1" applyBorder="1" applyAlignment="1">
      <alignment horizontal="center" vertical="top" wrapText="1"/>
    </xf>
    <xf numFmtId="3" fontId="16" fillId="13" borderId="14" xfId="0" applyNumberFormat="1" applyFont="1" applyFill="1" applyBorder="1" applyAlignment="1">
      <alignment horizontal="center" vertical="top" wrapText="1"/>
    </xf>
    <xf numFmtId="3" fontId="16" fillId="13" borderId="35" xfId="0" applyNumberFormat="1" applyFont="1" applyFill="1" applyBorder="1" applyAlignment="1">
      <alignment horizontal="center" vertical="top" wrapText="1"/>
    </xf>
    <xf numFmtId="0" fontId="115" fillId="0" borderId="29" xfId="0" applyFont="1" applyFill="1" applyBorder="1" applyAlignment="1">
      <alignment horizontal="center" vertical="top" wrapText="1"/>
    </xf>
    <xf numFmtId="0" fontId="115" fillId="0" borderId="20" xfId="0" applyFont="1" applyFill="1" applyBorder="1" applyAlignment="1">
      <alignment horizontal="center" vertical="top" wrapText="1"/>
    </xf>
    <xf numFmtId="0" fontId="115" fillId="0" borderId="12" xfId="0" applyFont="1" applyFill="1" applyBorder="1" applyAlignment="1">
      <alignment horizontal="center" vertical="top" wrapText="1"/>
    </xf>
    <xf numFmtId="0" fontId="113" fillId="34" borderId="19" xfId="0" applyFont="1" applyFill="1" applyBorder="1" applyAlignment="1">
      <alignment horizontal="left" vertical="center" wrapText="1"/>
    </xf>
    <xf numFmtId="0" fontId="113" fillId="34" borderId="14" xfId="0" applyFont="1" applyFill="1" applyBorder="1" applyAlignment="1">
      <alignment horizontal="left" vertical="center" wrapText="1"/>
    </xf>
    <xf numFmtId="0" fontId="113" fillId="34" borderId="35" xfId="0" applyFont="1" applyFill="1" applyBorder="1" applyAlignment="1">
      <alignment horizontal="left" vertical="center" wrapText="1"/>
    </xf>
    <xf numFmtId="0" fontId="113" fillId="42" borderId="29" xfId="0" applyFont="1" applyFill="1" applyBorder="1" applyAlignment="1">
      <alignment horizontal="center" vertical="top" wrapText="1"/>
    </xf>
    <xf numFmtId="0" fontId="113" fillId="42" borderId="20" xfId="0" applyFont="1" applyFill="1" applyBorder="1" applyAlignment="1">
      <alignment horizontal="center" vertical="top" wrapText="1"/>
    </xf>
    <xf numFmtId="0" fontId="118" fillId="42" borderId="19" xfId="0" applyFont="1" applyFill="1" applyBorder="1" applyAlignment="1">
      <alignment horizontal="left" vertical="center" wrapText="1"/>
    </xf>
    <xf numFmtId="0" fontId="118" fillId="42" borderId="14" xfId="0" applyFont="1" applyFill="1" applyBorder="1" applyAlignment="1">
      <alignment horizontal="left" vertical="center" wrapText="1"/>
    </xf>
    <xf numFmtId="0" fontId="118" fillId="42" borderId="35" xfId="0" applyFont="1" applyFill="1" applyBorder="1" applyAlignment="1">
      <alignment horizontal="left" vertical="center" wrapText="1"/>
    </xf>
    <xf numFmtId="0" fontId="118" fillId="34" borderId="14" xfId="0" applyFont="1" applyFill="1" applyBorder="1" applyAlignment="1">
      <alignment horizontal="center" vertical="top" wrapText="1"/>
    </xf>
    <xf numFmtId="0" fontId="118" fillId="34" borderId="35" xfId="0" applyFont="1" applyFill="1" applyBorder="1" applyAlignment="1">
      <alignment horizontal="center" vertical="top" wrapText="1"/>
    </xf>
    <xf numFmtId="0" fontId="118" fillId="34" borderId="19" xfId="0" applyFont="1" applyFill="1" applyBorder="1" applyAlignment="1">
      <alignment horizontal="left" vertical="center" wrapText="1"/>
    </xf>
    <xf numFmtId="0" fontId="112" fillId="34" borderId="29" xfId="0" applyFont="1" applyFill="1" applyBorder="1" applyAlignment="1">
      <alignment horizontal="center" vertical="center" textRotation="90" wrapText="1"/>
    </xf>
    <xf numFmtId="0" fontId="112" fillId="34" borderId="20" xfId="0" applyFont="1" applyFill="1" applyBorder="1" applyAlignment="1">
      <alignment horizontal="center" vertical="center" textRotation="90" wrapText="1"/>
    </xf>
    <xf numFmtId="0" fontId="110" fillId="0" borderId="29" xfId="0" applyFont="1" applyFill="1" applyBorder="1" applyAlignment="1">
      <alignment horizontal="center" vertical="center" wrapText="1"/>
    </xf>
    <xf numFmtId="0" fontId="110" fillId="0" borderId="20" xfId="0" applyFont="1" applyFill="1" applyBorder="1" applyAlignment="1">
      <alignment horizontal="center" vertical="center" wrapText="1"/>
    </xf>
    <xf numFmtId="0" fontId="110" fillId="0" borderId="12" xfId="0" applyFont="1" applyFill="1" applyBorder="1" applyAlignment="1">
      <alignment horizontal="center" vertical="center" wrapText="1"/>
    </xf>
    <xf numFmtId="0" fontId="112" fillId="34" borderId="12" xfId="0" applyFont="1" applyFill="1" applyBorder="1" applyAlignment="1">
      <alignment horizontal="center" vertical="center" textRotation="90" wrapText="1"/>
    </xf>
    <xf numFmtId="0" fontId="54" fillId="0" borderId="19" xfId="0" applyFont="1" applyFill="1" applyBorder="1" applyAlignment="1">
      <alignment horizontal="left" vertical="center" wrapText="1"/>
    </xf>
    <xf numFmtId="0" fontId="54" fillId="0" borderId="30" xfId="0" applyFont="1" applyFill="1" applyBorder="1" applyAlignment="1">
      <alignment horizontal="left" vertical="center" wrapText="1"/>
    </xf>
    <xf numFmtId="0" fontId="110" fillId="0" borderId="29" xfId="0" applyFont="1" applyBorder="1" applyAlignment="1">
      <alignment horizontal="left" vertical="center" wrapText="1"/>
    </xf>
    <xf numFmtId="0" fontId="110" fillId="0" borderId="20" xfId="0" applyFont="1" applyBorder="1" applyAlignment="1">
      <alignment horizontal="left" vertical="center" wrapText="1"/>
    </xf>
    <xf numFmtId="0" fontId="110" fillId="0" borderId="12" xfId="0" applyFont="1" applyBorder="1" applyAlignment="1">
      <alignment horizontal="left" vertical="center" wrapText="1"/>
    </xf>
    <xf numFmtId="0" fontId="110" fillId="0" borderId="29" xfId="0" applyFont="1" applyFill="1" applyBorder="1" applyAlignment="1">
      <alignment horizontal="left" vertical="center" wrapText="1"/>
    </xf>
    <xf numFmtId="0" fontId="110" fillId="0" borderId="20" xfId="0" applyFont="1" applyFill="1" applyBorder="1" applyAlignment="1">
      <alignment horizontal="left" vertical="center" wrapText="1"/>
    </xf>
    <xf numFmtId="0" fontId="110" fillId="0" borderId="12" xfId="0" applyFont="1" applyFill="1" applyBorder="1" applyAlignment="1">
      <alignment horizontal="left" vertical="center" wrapText="1"/>
    </xf>
    <xf numFmtId="0" fontId="110" fillId="16" borderId="29" xfId="0" applyFont="1" applyFill="1" applyBorder="1" applyAlignment="1">
      <alignment horizontal="left" vertical="top" wrapText="1"/>
    </xf>
    <xf numFmtId="0" fontId="110" fillId="16" borderId="20" xfId="0" applyFont="1" applyFill="1" applyBorder="1" applyAlignment="1">
      <alignment horizontal="left" vertical="top" wrapText="1"/>
    </xf>
    <xf numFmtId="0" fontId="110" fillId="16" borderId="12" xfId="0" applyFont="1" applyFill="1" applyBorder="1" applyAlignment="1">
      <alignment horizontal="left" vertical="top" wrapText="1"/>
    </xf>
    <xf numFmtId="0" fontId="110" fillId="16" borderId="29" xfId="0" applyFont="1" applyFill="1" applyBorder="1" applyAlignment="1">
      <alignment horizontal="center" vertical="top" wrapText="1"/>
    </xf>
    <xf numFmtId="0" fontId="110" fillId="16" borderId="20" xfId="0" applyFont="1" applyFill="1" applyBorder="1" applyAlignment="1">
      <alignment horizontal="center" vertical="top" wrapText="1"/>
    </xf>
    <xf numFmtId="0" fontId="110" fillId="16" borderId="12" xfId="0" applyFont="1" applyFill="1" applyBorder="1" applyAlignment="1">
      <alignment horizontal="center" vertical="top" wrapText="1"/>
    </xf>
    <xf numFmtId="0" fontId="112" fillId="34" borderId="62" xfId="0" applyFont="1" applyFill="1" applyBorder="1" applyAlignment="1">
      <alignment horizontal="left" vertical="top" wrapText="1"/>
    </xf>
    <xf numFmtId="0" fontId="112" fillId="34" borderId="0" xfId="0" applyFont="1" applyFill="1" applyBorder="1" applyAlignment="1">
      <alignment horizontal="left" vertical="top" wrapText="1"/>
    </xf>
    <xf numFmtId="0" fontId="115" fillId="0" borderId="29" xfId="0" applyFont="1" applyBorder="1" applyAlignment="1">
      <alignment horizontal="center" vertical="top" wrapText="1"/>
    </xf>
    <xf numFmtId="0" fontId="115" fillId="0" borderId="20" xfId="0" applyFont="1" applyBorder="1" applyAlignment="1">
      <alignment horizontal="center" vertical="top" wrapText="1"/>
    </xf>
    <xf numFmtId="0" fontId="115" fillId="0" borderId="12" xfId="0" applyFont="1" applyBorder="1" applyAlignment="1">
      <alignment horizontal="center" vertical="top" wrapText="1"/>
    </xf>
    <xf numFmtId="0" fontId="113" fillId="34" borderId="29" xfId="0" applyFont="1" applyFill="1" applyBorder="1" applyAlignment="1">
      <alignment horizontal="left" vertical="top" wrapText="1"/>
    </xf>
    <xf numFmtId="0" fontId="113" fillId="34" borderId="20" xfId="0" applyFont="1" applyFill="1" applyBorder="1" applyAlignment="1">
      <alignment horizontal="left" vertical="top" wrapText="1"/>
    </xf>
    <xf numFmtId="0" fontId="115" fillId="0" borderId="13" xfId="0" applyFont="1" applyBorder="1" applyAlignment="1">
      <alignment horizontal="center" vertical="top" wrapText="1"/>
    </xf>
    <xf numFmtId="0" fontId="112" fillId="34" borderId="30" xfId="0" applyFont="1" applyFill="1" applyBorder="1" applyAlignment="1">
      <alignment horizontal="center" textRotation="90" wrapText="1"/>
    </xf>
    <xf numFmtId="0" fontId="112" fillId="34" borderId="64" xfId="0" applyFont="1" applyFill="1" applyBorder="1" applyAlignment="1">
      <alignment horizontal="center" textRotation="90" wrapText="1"/>
    </xf>
    <xf numFmtId="0" fontId="112" fillId="34" borderId="38" xfId="0" applyFont="1" applyFill="1" applyBorder="1" applyAlignment="1">
      <alignment horizontal="center" textRotation="90" wrapText="1"/>
    </xf>
    <xf numFmtId="0" fontId="118" fillId="34" borderId="35" xfId="0" applyFont="1" applyFill="1" applyBorder="1" applyAlignment="1">
      <alignment horizontal="left" vertical="center" wrapText="1"/>
    </xf>
    <xf numFmtId="0" fontId="117" fillId="0" borderId="31" xfId="0" applyFont="1" applyBorder="1" applyAlignment="1">
      <alignment horizontal="left" vertical="center" wrapText="1"/>
    </xf>
    <xf numFmtId="0" fontId="117" fillId="0" borderId="10" xfId="0" applyFont="1" applyBorder="1" applyAlignment="1">
      <alignment horizontal="left" vertical="center" wrapText="1"/>
    </xf>
    <xf numFmtId="0" fontId="113" fillId="43" borderId="19" xfId="0" applyFont="1" applyFill="1" applyBorder="1" applyAlignment="1">
      <alignment horizontal="left" vertical="top" wrapText="1"/>
    </xf>
    <xf numFmtId="0" fontId="113" fillId="43" borderId="14" xfId="0" applyFont="1" applyFill="1" applyBorder="1" applyAlignment="1">
      <alignment horizontal="left" vertical="top" wrapText="1"/>
    </xf>
    <xf numFmtId="0" fontId="113" fillId="43" borderId="35" xfId="0" applyFont="1" applyFill="1" applyBorder="1" applyAlignment="1">
      <alignment horizontal="left" vertical="top" wrapText="1"/>
    </xf>
    <xf numFmtId="0" fontId="113" fillId="42" borderId="29" xfId="0" applyFont="1" applyFill="1" applyBorder="1" applyAlignment="1">
      <alignment horizontal="left" vertical="top" wrapText="1"/>
    </xf>
    <xf numFmtId="0" fontId="113" fillId="42" borderId="20" xfId="0" applyFont="1" applyFill="1" applyBorder="1" applyAlignment="1">
      <alignment horizontal="left" vertical="top" wrapText="1"/>
    </xf>
    <xf numFmtId="0" fontId="113" fillId="42" borderId="12" xfId="0" applyFont="1" applyFill="1" applyBorder="1" applyAlignment="1">
      <alignment horizontal="left" vertical="top" wrapText="1"/>
    </xf>
    <xf numFmtId="0" fontId="113" fillId="16" borderId="29" xfId="0" applyFont="1" applyFill="1" applyBorder="1" applyAlignment="1">
      <alignment horizontal="left" vertical="top" wrapText="1"/>
    </xf>
    <xf numFmtId="0" fontId="113" fillId="16" borderId="20" xfId="0" applyFont="1" applyFill="1" applyBorder="1" applyAlignment="1">
      <alignment horizontal="left" vertical="top" wrapText="1"/>
    </xf>
    <xf numFmtId="0" fontId="111" fillId="34" borderId="29" xfId="0" applyFont="1" applyFill="1" applyBorder="1" applyAlignment="1">
      <alignment horizontal="center" vertical="center" textRotation="90" wrapText="1"/>
    </xf>
    <xf numFmtId="0" fontId="111" fillId="34" borderId="20" xfId="0" applyFont="1" applyFill="1" applyBorder="1" applyAlignment="1">
      <alignment horizontal="center" vertical="center" textRotation="90" wrapText="1"/>
    </xf>
    <xf numFmtId="0" fontId="113" fillId="43" borderId="29" xfId="0" applyFont="1" applyFill="1" applyBorder="1" applyAlignment="1">
      <alignment horizontal="left" vertical="top" wrapText="1"/>
    </xf>
    <xf numFmtId="0" fontId="113" fillId="43" borderId="20" xfId="0" applyFont="1" applyFill="1" applyBorder="1" applyAlignment="1">
      <alignment horizontal="left" vertical="top" wrapText="1"/>
    </xf>
    <xf numFmtId="0" fontId="113" fillId="43" borderId="12" xfId="0" applyFont="1" applyFill="1" applyBorder="1" applyAlignment="1">
      <alignment horizontal="left" vertical="top" wrapText="1"/>
    </xf>
    <xf numFmtId="0" fontId="110" fillId="42" borderId="29" xfId="0" applyFont="1" applyFill="1" applyBorder="1" applyAlignment="1">
      <alignment horizontal="center" vertical="center" wrapText="1"/>
    </xf>
    <xf numFmtId="0" fontId="110" fillId="42" borderId="20" xfId="0" applyFont="1" applyFill="1" applyBorder="1" applyAlignment="1">
      <alignment horizontal="center" vertical="center" wrapText="1"/>
    </xf>
    <xf numFmtId="0" fontId="110" fillId="42" borderId="12" xfId="0" applyFont="1" applyFill="1" applyBorder="1" applyAlignment="1">
      <alignment horizontal="center" vertical="center" wrapText="1"/>
    </xf>
    <xf numFmtId="0" fontId="110" fillId="16" borderId="29" xfId="0" applyFont="1" applyFill="1" applyBorder="1" applyAlignment="1">
      <alignment horizontal="left" vertical="center" wrapText="1"/>
    </xf>
    <xf numFmtId="0" fontId="110" fillId="16" borderId="20" xfId="0" applyFont="1" applyFill="1" applyBorder="1" applyAlignment="1">
      <alignment horizontal="left" vertical="center" wrapText="1"/>
    </xf>
    <xf numFmtId="0" fontId="110" fillId="16" borderId="12" xfId="0" applyFont="1" applyFill="1" applyBorder="1" applyAlignment="1">
      <alignment horizontal="left" vertical="center" wrapText="1"/>
    </xf>
    <xf numFmtId="0" fontId="110" fillId="42" borderId="29" xfId="0" applyFont="1" applyFill="1" applyBorder="1" applyAlignment="1">
      <alignment horizontal="left" vertical="center" wrapText="1"/>
    </xf>
    <xf numFmtId="0" fontId="110" fillId="42" borderId="12" xfId="0" applyFont="1" applyFill="1" applyBorder="1" applyAlignment="1">
      <alignment horizontal="left" vertical="center" wrapText="1"/>
    </xf>
    <xf numFmtId="0" fontId="113" fillId="42" borderId="29" xfId="0" applyFont="1" applyFill="1" applyBorder="1" applyAlignment="1">
      <alignment horizontal="left" vertical="center" wrapText="1"/>
    </xf>
    <xf numFmtId="0" fontId="113" fillId="42" borderId="20" xfId="0" applyFont="1" applyFill="1" applyBorder="1" applyAlignment="1">
      <alignment horizontal="left" vertical="center" wrapText="1"/>
    </xf>
    <xf numFmtId="0" fontId="113" fillId="42" borderId="12" xfId="0" applyFont="1" applyFill="1" applyBorder="1" applyAlignment="1">
      <alignment horizontal="left" vertical="center" wrapText="1"/>
    </xf>
    <xf numFmtId="0" fontId="113" fillId="43" borderId="19" xfId="0" applyFont="1" applyFill="1" applyBorder="1" applyAlignment="1">
      <alignment horizontal="left" vertical="center" wrapText="1"/>
    </xf>
    <xf numFmtId="0" fontId="113" fillId="43" borderId="14" xfId="0" applyFont="1" applyFill="1" applyBorder="1" applyAlignment="1">
      <alignment horizontal="left" vertical="center" wrapText="1"/>
    </xf>
    <xf numFmtId="0" fontId="113" fillId="43" borderId="35" xfId="0" applyFont="1" applyFill="1" applyBorder="1" applyAlignment="1">
      <alignment horizontal="left" vertical="center" wrapText="1"/>
    </xf>
    <xf numFmtId="0" fontId="112" fillId="34" borderId="11" xfId="0" applyFont="1" applyFill="1" applyBorder="1" applyAlignment="1">
      <alignment horizontal="center" vertical="center" wrapText="1"/>
    </xf>
    <xf numFmtId="0" fontId="112" fillId="34" borderId="38" xfId="0" applyFont="1" applyFill="1" applyBorder="1" applyAlignment="1">
      <alignment horizontal="center" vertical="center" wrapText="1"/>
    </xf>
    <xf numFmtId="0" fontId="110" fillId="0" borderId="29" xfId="0" applyFont="1" applyBorder="1" applyAlignment="1">
      <alignment horizontal="left" vertical="top" wrapText="1"/>
    </xf>
    <xf numFmtId="0" fontId="110" fillId="0" borderId="20" xfId="0" applyFont="1" applyBorder="1" applyAlignment="1">
      <alignment horizontal="left" vertical="top" wrapText="1"/>
    </xf>
    <xf numFmtId="0" fontId="110" fillId="0" borderId="12" xfId="0" applyFont="1" applyBorder="1" applyAlignment="1">
      <alignment horizontal="left" vertical="top" wrapText="1"/>
    </xf>
    <xf numFmtId="0" fontId="29" fillId="33" borderId="57" xfId="61" applyFont="1" applyFill="1" applyBorder="1" applyAlignment="1">
      <alignment horizontal="left" vertical="top" wrapText="1"/>
      <protection/>
    </xf>
    <xf numFmtId="0" fontId="29" fillId="33" borderId="56" xfId="61" applyFont="1" applyFill="1" applyBorder="1" applyAlignment="1">
      <alignment horizontal="left" vertical="top" wrapText="1"/>
      <protection/>
    </xf>
    <xf numFmtId="9" fontId="0" fillId="0" borderId="57" xfId="66" applyFont="1" applyFill="1" applyBorder="1" applyAlignment="1">
      <alignment horizontal="center"/>
    </xf>
    <xf numFmtId="9" fontId="0" fillId="0" borderId="50" xfId="66" applyFont="1" applyFill="1" applyBorder="1" applyAlignment="1">
      <alignment horizontal="center"/>
    </xf>
    <xf numFmtId="9" fontId="0" fillId="0" borderId="72" xfId="66" applyFont="1" applyFill="1" applyBorder="1" applyAlignment="1">
      <alignment horizontal="center"/>
    </xf>
    <xf numFmtId="0" fontId="81" fillId="0" borderId="50" xfId="61" applyBorder="1" applyAlignment="1">
      <alignment horizontal="center"/>
      <protection/>
    </xf>
    <xf numFmtId="0" fontId="30" fillId="33" borderId="41" xfId="61" applyFont="1" applyFill="1" applyBorder="1" applyAlignment="1">
      <alignment horizontal="center" vertical="center"/>
      <protection/>
    </xf>
    <xf numFmtId="0" fontId="30" fillId="33" borderId="23" xfId="61" applyFont="1" applyFill="1" applyBorder="1" applyAlignment="1">
      <alignment horizontal="center" vertical="center"/>
      <protection/>
    </xf>
    <xf numFmtId="0" fontId="30" fillId="33" borderId="41" xfId="61" applyFont="1" applyFill="1" applyBorder="1" applyAlignment="1">
      <alignment horizontal="center" vertical="center"/>
      <protection/>
    </xf>
    <xf numFmtId="0" fontId="30" fillId="33" borderId="42" xfId="61" applyFont="1" applyFill="1" applyBorder="1" applyAlignment="1">
      <alignment horizontal="center" vertical="center"/>
      <protection/>
    </xf>
    <xf numFmtId="0" fontId="30" fillId="33" borderId="23" xfId="61" applyFont="1" applyFill="1" applyBorder="1" applyAlignment="1">
      <alignment horizontal="center" vertical="center"/>
      <protection/>
    </xf>
    <xf numFmtId="0" fontId="30" fillId="33" borderId="41" xfId="61" applyFont="1" applyFill="1" applyBorder="1" applyAlignment="1">
      <alignment horizontal="left" vertical="center" wrapText="1"/>
      <protection/>
    </xf>
    <xf numFmtId="0" fontId="30" fillId="33" borderId="42" xfId="61" applyFont="1" applyFill="1" applyBorder="1" applyAlignment="1">
      <alignment horizontal="left" vertical="center" wrapText="1"/>
      <protection/>
    </xf>
    <xf numFmtId="0" fontId="30" fillId="33" borderId="23" xfId="61" applyFont="1" applyFill="1" applyBorder="1" applyAlignment="1">
      <alignment horizontal="left" vertical="center" wrapText="1"/>
      <protection/>
    </xf>
    <xf numFmtId="0" fontId="41" fillId="33" borderId="41" xfId="61" applyFont="1" applyFill="1" applyBorder="1" applyAlignment="1">
      <alignment horizontal="left" vertical="center" wrapText="1"/>
      <protection/>
    </xf>
    <xf numFmtId="0" fontId="41" fillId="33" borderId="42" xfId="61" applyFont="1" applyFill="1" applyBorder="1" applyAlignment="1">
      <alignment horizontal="left" vertical="center" wrapText="1"/>
      <protection/>
    </xf>
    <xf numFmtId="0" fontId="41" fillId="33" borderId="23" xfId="61" applyFont="1" applyFill="1" applyBorder="1" applyAlignment="1">
      <alignment horizontal="left" vertical="center" wrapText="1"/>
      <protection/>
    </xf>
    <xf numFmtId="0" fontId="5" fillId="33" borderId="41" xfId="61" applyFont="1" applyFill="1" applyBorder="1" applyAlignment="1">
      <alignment horizontal="left" vertical="center" wrapText="1"/>
      <protection/>
    </xf>
    <xf numFmtId="0" fontId="5" fillId="33" borderId="42" xfId="61" applyFont="1" applyFill="1" applyBorder="1" applyAlignment="1">
      <alignment horizontal="left" vertical="center" wrapText="1"/>
      <protection/>
    </xf>
    <xf numFmtId="0" fontId="5" fillId="33" borderId="23" xfId="61" applyFont="1" applyFill="1" applyBorder="1" applyAlignment="1">
      <alignment horizontal="left" vertical="center" wrapText="1"/>
      <protection/>
    </xf>
    <xf numFmtId="0" fontId="30" fillId="33" borderId="61" xfId="61" applyFont="1" applyFill="1" applyBorder="1" applyAlignment="1">
      <alignment horizontal="left" vertical="center" wrapText="1"/>
      <protection/>
    </xf>
    <xf numFmtId="0" fontId="30" fillId="33" borderId="54" xfId="61" applyFont="1" applyFill="1" applyBorder="1" applyAlignment="1">
      <alignment horizontal="left" vertical="center" wrapText="1"/>
      <protection/>
    </xf>
    <xf numFmtId="0" fontId="30" fillId="33" borderId="48" xfId="61" applyFont="1" applyFill="1" applyBorder="1" applyAlignment="1">
      <alignment horizontal="center" wrapText="1"/>
      <protection/>
    </xf>
    <xf numFmtId="0" fontId="30" fillId="33" borderId="55" xfId="61" applyFont="1" applyFill="1" applyBorder="1" applyAlignment="1">
      <alignment horizontal="center" wrapText="1"/>
      <protection/>
    </xf>
    <xf numFmtId="0" fontId="30" fillId="33" borderId="48" xfId="61" applyFont="1" applyFill="1" applyBorder="1" applyAlignment="1">
      <alignment horizontal="left" vertical="top" wrapText="1"/>
      <protection/>
    </xf>
    <xf numFmtId="0" fontId="30" fillId="33" borderId="55" xfId="61" applyFont="1" applyFill="1" applyBorder="1" applyAlignment="1">
      <alignment horizontal="left" vertical="top" wrapText="1"/>
      <protection/>
    </xf>
  </cellXfs>
  <cellStyles count="56">
    <cellStyle name="Normal" xfId="0"/>
    <cellStyle name="20 % - Accent5 2"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hyperlink" Target="http://data.unhcr.org/syrianrefugees/download.php?id=15305"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9"/>
  <sheetViews>
    <sheetView zoomScalePageLayoutView="0" workbookViewId="0" topLeftCell="A1">
      <selection activeCell="A18" sqref="A18"/>
    </sheetView>
  </sheetViews>
  <sheetFormatPr defaultColWidth="8.8515625" defaultRowHeight="15"/>
  <cols>
    <col min="1" max="1" width="111.28125" style="0" customWidth="1"/>
  </cols>
  <sheetData>
    <row r="1" ht="28.5">
      <c r="A1" s="14" t="s">
        <v>217</v>
      </c>
    </row>
    <row r="2" ht="15">
      <c r="A2" s="1"/>
    </row>
    <row r="3" ht="15">
      <c r="A3" s="16" t="s">
        <v>37</v>
      </c>
    </row>
    <row r="4" ht="15">
      <c r="A4" s="16" t="s">
        <v>38</v>
      </c>
    </row>
    <row r="5" ht="15">
      <c r="A5" s="16" t="s">
        <v>218</v>
      </c>
    </row>
    <row r="6" ht="30">
      <c r="A6" s="16" t="s">
        <v>39</v>
      </c>
    </row>
    <row r="7" ht="15">
      <c r="A7" s="16" t="s">
        <v>42</v>
      </c>
    </row>
    <row r="8" ht="15">
      <c r="A8" s="16" t="s">
        <v>219</v>
      </c>
    </row>
    <row r="9" ht="15">
      <c r="A9" s="16"/>
    </row>
    <row r="14" ht="15" customHeight="1"/>
    <row r="17" ht="15" customHeight="1"/>
    <row r="18" ht="15" customHeight="1"/>
    <row r="19" ht="15" customHeight="1"/>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38"/>
  <sheetViews>
    <sheetView showGridLines="0" zoomScale="80" zoomScaleNormal="80" zoomScalePageLayoutView="80" workbookViewId="0" topLeftCell="A16">
      <selection activeCell="B39" sqref="B39"/>
    </sheetView>
  </sheetViews>
  <sheetFormatPr defaultColWidth="8.8515625" defaultRowHeight="15"/>
  <cols>
    <col min="1" max="1" width="25.140625" style="47" customWidth="1"/>
    <col min="2" max="2" width="36.140625" style="0" customWidth="1"/>
    <col min="3" max="3" width="19.421875" style="0" customWidth="1"/>
    <col min="4" max="4" width="19.28125" style="0" customWidth="1"/>
    <col min="5" max="5" width="20.421875" style="0" customWidth="1"/>
    <col min="6" max="6" width="19.140625" style="0" customWidth="1"/>
    <col min="7" max="7" width="19.8515625" style="0" customWidth="1"/>
    <col min="8" max="8" width="22.421875" style="0" customWidth="1"/>
    <col min="9" max="9" width="21.28125" style="0" customWidth="1"/>
    <col min="10" max="10" width="19.140625" style="0" customWidth="1"/>
    <col min="11" max="11" width="20.421875" style="0" customWidth="1"/>
  </cols>
  <sheetData>
    <row r="1" spans="1:3" ht="21">
      <c r="A1" s="17" t="s">
        <v>120</v>
      </c>
      <c r="B1" s="20" t="s">
        <v>340</v>
      </c>
      <c r="C1" s="2"/>
    </row>
    <row r="2" spans="1:3" ht="21">
      <c r="A2" s="17"/>
      <c r="B2" s="20"/>
      <c r="C2" s="13"/>
    </row>
    <row r="3" spans="1:3" ht="15">
      <c r="A3" s="18" t="s">
        <v>260</v>
      </c>
      <c r="B3" s="21" t="s">
        <v>121</v>
      </c>
      <c r="C3" s="13"/>
    </row>
    <row r="4" spans="1:3" ht="15">
      <c r="A4" s="19" t="s">
        <v>40</v>
      </c>
      <c r="B4" s="22" t="s">
        <v>122</v>
      </c>
      <c r="C4" s="13"/>
    </row>
    <row r="5" spans="1:3" ht="38.25">
      <c r="A5" s="19" t="s">
        <v>41</v>
      </c>
      <c r="B5" s="23" t="s">
        <v>197</v>
      </c>
      <c r="C5" s="13"/>
    </row>
    <row r="6" spans="1:3" ht="21">
      <c r="A6" s="15"/>
      <c r="B6" s="12"/>
      <c r="C6" s="13"/>
    </row>
    <row r="7" spans="1:5" ht="21">
      <c r="A7" s="591" t="s">
        <v>8</v>
      </c>
      <c r="B7" s="592"/>
      <c r="C7" s="228">
        <v>2018</v>
      </c>
      <c r="D7" s="49">
        <v>2019</v>
      </c>
      <c r="E7" s="230">
        <v>2020</v>
      </c>
    </row>
    <row r="8" spans="1:5" ht="15.75">
      <c r="A8" s="24"/>
      <c r="B8" s="25" t="s">
        <v>242</v>
      </c>
      <c r="C8" s="510">
        <f>C25+C29+C32</f>
        <v>207875000</v>
      </c>
      <c r="D8" s="511">
        <f>F25+F29+F32</f>
        <v>200325000</v>
      </c>
      <c r="E8" s="512">
        <f>I25+I29+I32</f>
        <v>189225000</v>
      </c>
    </row>
    <row r="9" spans="1:5" ht="18.75">
      <c r="A9" s="24"/>
      <c r="B9" s="20" t="s">
        <v>23</v>
      </c>
      <c r="C9" s="227">
        <f>(D25+D29+D32)/C8</f>
        <v>0.11307276007215875</v>
      </c>
      <c r="D9" s="229">
        <f>(G25+F11+G29+G32)/D8</f>
        <v>0.11078247847248221</v>
      </c>
      <c r="E9" s="226">
        <f>(J25+J29+J32)/E8</f>
        <v>0.11728101466508126</v>
      </c>
    </row>
    <row r="10" spans="1:5" ht="18.75">
      <c r="A10" s="24"/>
      <c r="B10" s="20" t="s">
        <v>24</v>
      </c>
      <c r="C10" s="227">
        <f>1-C9</f>
        <v>0.8869272399278413</v>
      </c>
      <c r="D10" s="229">
        <f>1-D9</f>
        <v>0.8892175215275178</v>
      </c>
      <c r="E10" s="226">
        <f>1-E9</f>
        <v>0.8827189853349188</v>
      </c>
    </row>
    <row r="11" spans="1:3" ht="18.75">
      <c r="A11" s="12"/>
      <c r="B11" s="7"/>
      <c r="C11" s="7"/>
    </row>
    <row r="12" spans="1:5" ht="39" customHeight="1">
      <c r="A12" s="593" t="s">
        <v>31</v>
      </c>
      <c r="B12" s="594"/>
      <c r="C12" s="236" t="s">
        <v>194</v>
      </c>
      <c r="D12" s="51" t="s">
        <v>195</v>
      </c>
      <c r="E12" s="231" t="s">
        <v>196</v>
      </c>
    </row>
    <row r="13" spans="1:5" ht="15.75">
      <c r="A13" s="237" t="s">
        <v>26</v>
      </c>
      <c r="B13" s="238">
        <f>C13+D13+E13</f>
        <v>182168.76923076925</v>
      </c>
      <c r="C13" s="239">
        <f>SUM(C14:C17)</f>
        <v>60662.92307692307</v>
      </c>
      <c r="D13" s="240">
        <f>SUM(D14:D17)</f>
        <v>60647.92307692308</v>
      </c>
      <c r="E13" s="284">
        <f>E14+E15+E16+E17</f>
        <v>60857.92307692308</v>
      </c>
    </row>
    <row r="14" spans="1:5" ht="15">
      <c r="A14" s="20" t="s">
        <v>30</v>
      </c>
      <c r="B14" s="235">
        <f>C14+D14+E14</f>
        <v>67533.16025641025</v>
      </c>
      <c r="C14" s="50">
        <f>'Lh Budgetting'!T4</f>
        <v>22475.108974358973</v>
      </c>
      <c r="D14" s="233">
        <f>'Lh Budgetting'!AB10+'Lh Budgetting'!AB11+'Lh Budgetting'!AB12+'Lh Budgetting'!AB14+'Lh Budgetting'!T18</f>
        <v>22488.13675213675</v>
      </c>
      <c r="E14" s="234">
        <f>'Lh Budgetting'!AH10+'Lh Budgetting'!AH11+'Lh Budgetting'!AH12+'Lh Budgetting'!AH14+'Lh Budgetting'!T18</f>
        <v>22569.91452991453</v>
      </c>
    </row>
    <row r="15" spans="1:5" ht="15">
      <c r="A15" s="20" t="s">
        <v>29</v>
      </c>
      <c r="B15" s="235">
        <f>C15+D15+E15</f>
        <v>105821.65384615384</v>
      </c>
      <c r="C15" s="50">
        <f>'Lh Budgetting'!$S$4</f>
        <v>35259.21794871795</v>
      </c>
      <c r="D15" s="233">
        <f>'Lh Budgetting'!AA10+'Lh Budgetting'!AA11+'Lh Budgetting'!AA12+'Lh Budgetting'!AA14+'Lh Budgetting'!S18</f>
        <v>35226.38461538462</v>
      </c>
      <c r="E15" s="234">
        <f>'Lh Budgetting'!AG10+'Lh Budgetting'!AG11+'Lh Budgetting'!AG12+'Lh Budgetting'!AG14+'Lh Budgetting'!S18</f>
        <v>35336.05128205128</v>
      </c>
    </row>
    <row r="16" spans="1:5" ht="15">
      <c r="A16" s="20" t="s">
        <v>28</v>
      </c>
      <c r="B16" s="235">
        <f>C16+D16+E16</f>
        <v>2639.419871794872</v>
      </c>
      <c r="C16" s="50">
        <f>'Lh Budgetting'!V4</f>
        <v>876.7788461538462</v>
      </c>
      <c r="D16" s="233">
        <f>'Lh Budgetting'!AD10+'Lh Budgetting'!AD11+'Lh Budgetting'!AD12+'Lh Budgetting'!AD14+'Lh Budgetting'!V18</f>
        <v>878.4316239316239</v>
      </c>
      <c r="E16" s="234">
        <f>'Lh Budgetting'!AJ10+'Lh Budgetting'!AJ11+'Lh Budgetting'!AJ12+'Lh Budgetting'!AJ14+'Lh Budgetting'!V18</f>
        <v>884.2094017094017</v>
      </c>
    </row>
    <row r="17" spans="1:5" ht="15">
      <c r="A17" s="20" t="s">
        <v>27</v>
      </c>
      <c r="B17" s="235">
        <f>C17+D17+E17</f>
        <v>6174.535256410256</v>
      </c>
      <c r="C17" s="50">
        <f>'Lh Budgetting'!U4</f>
        <v>2051.8173076923076</v>
      </c>
      <c r="D17" s="233">
        <f>'Lh Budgetting'!AC10+'Lh Budgetting'!AC11+'Lh Budgetting'!AC12+'Lh Budgetting'!AC14+'Lh Budgetting'!U18</f>
        <v>2054.9700854700855</v>
      </c>
      <c r="E17" s="234">
        <f>'Lh Budgetting'!AI10+'Lh Budgetting'!AI11+'Lh Budgetting'!AI12+'Lh Budgetting'!AI14+'Lh Budgetting'!U18</f>
        <v>2067.7478632478633</v>
      </c>
    </row>
    <row r="18" spans="1:5" ht="15">
      <c r="A18" s="20" t="s">
        <v>35</v>
      </c>
      <c r="B18" s="26">
        <v>0</v>
      </c>
      <c r="C18" s="50" t="s">
        <v>276</v>
      </c>
      <c r="D18" s="129" t="s">
        <v>277</v>
      </c>
      <c r="E18" s="232" t="s">
        <v>278</v>
      </c>
    </row>
    <row r="19" spans="1:5" ht="15">
      <c r="A19" s="20"/>
      <c r="B19" s="26"/>
      <c r="C19" s="96" t="s">
        <v>156</v>
      </c>
      <c r="D19" s="129" t="s">
        <v>156</v>
      </c>
      <c r="E19" s="289" t="s">
        <v>156</v>
      </c>
    </row>
    <row r="20" spans="1:5" ht="38.25">
      <c r="A20" s="20"/>
      <c r="B20" s="26"/>
      <c r="C20" s="97" t="s">
        <v>158</v>
      </c>
      <c r="D20" s="130" t="s">
        <v>158</v>
      </c>
      <c r="E20" s="290" t="s">
        <v>158</v>
      </c>
    </row>
    <row r="21" spans="1:2" ht="15.75">
      <c r="A21" s="4"/>
      <c r="B21" s="3"/>
    </row>
    <row r="22" spans="1:2" ht="15.75">
      <c r="A22" s="4"/>
      <c r="B22" s="3"/>
    </row>
    <row r="23" spans="1:11" ht="15" customHeight="1">
      <c r="A23" s="597" t="s">
        <v>221</v>
      </c>
      <c r="B23" s="595" t="s">
        <v>222</v>
      </c>
      <c r="C23" s="601">
        <v>2018</v>
      </c>
      <c r="D23" s="601"/>
      <c r="E23" s="601"/>
      <c r="F23" s="599">
        <v>2019</v>
      </c>
      <c r="G23" s="599"/>
      <c r="H23" s="599"/>
      <c r="I23" s="590">
        <v>2020</v>
      </c>
      <c r="J23" s="590"/>
      <c r="K23" s="590"/>
    </row>
    <row r="24" spans="1:11" ht="15">
      <c r="A24" s="598"/>
      <c r="B24" s="596"/>
      <c r="C24" s="27" t="s">
        <v>8</v>
      </c>
      <c r="D24" s="27" t="s">
        <v>23</v>
      </c>
      <c r="E24" s="48" t="s">
        <v>24</v>
      </c>
      <c r="F24" s="27" t="s">
        <v>36</v>
      </c>
      <c r="G24" s="27" t="s">
        <v>23</v>
      </c>
      <c r="H24" s="27" t="s">
        <v>24</v>
      </c>
      <c r="I24" s="27" t="s">
        <v>36</v>
      </c>
      <c r="J24" s="27" t="s">
        <v>23</v>
      </c>
      <c r="K24" s="27" t="s">
        <v>24</v>
      </c>
    </row>
    <row r="25" spans="1:11" ht="49.5" customHeight="1">
      <c r="A25" s="602" t="s">
        <v>341</v>
      </c>
      <c r="B25" s="602"/>
      <c r="C25" s="508">
        <f>SUM(C26:C28)</f>
        <v>170125000</v>
      </c>
      <c r="D25" s="508">
        <f>D26*C26+D27*C27+D28*C28</f>
        <v>16942500</v>
      </c>
      <c r="E25" s="508">
        <f>C25-D25</f>
        <v>153182500</v>
      </c>
      <c r="F25" s="508">
        <f>SUM(F26:F28)</f>
        <v>162575000</v>
      </c>
      <c r="G25" s="508">
        <f>G26*F26+G27*F27+G28*F28</f>
        <v>16942500</v>
      </c>
      <c r="H25" s="508">
        <f>F25-G25</f>
        <v>145632500</v>
      </c>
      <c r="I25" s="508">
        <f>SUM(I26:I28)</f>
        <v>151475000</v>
      </c>
      <c r="J25" s="508">
        <f>J26*I26+J27*I27+J28*I28</f>
        <v>16942500</v>
      </c>
      <c r="K25" s="508">
        <f>I25-J25</f>
        <v>134532500</v>
      </c>
    </row>
    <row r="26" spans="1:11" ht="28.5" customHeight="1">
      <c r="A26" s="600" t="s">
        <v>336</v>
      </c>
      <c r="B26" s="600"/>
      <c r="C26" s="125">
        <f>'Outcome 1'!C14</f>
        <v>63250000</v>
      </c>
      <c r="D26" s="126">
        <v>0</v>
      </c>
      <c r="E26" s="126">
        <v>1</v>
      </c>
      <c r="F26" s="127">
        <f>'Outcome 1'!D14</f>
        <v>63500000</v>
      </c>
      <c r="G26" s="128">
        <v>0</v>
      </c>
      <c r="H26" s="128">
        <v>1</v>
      </c>
      <c r="I26" s="224">
        <f>'Outcome 1'!E14</f>
        <v>68000000</v>
      </c>
      <c r="J26" s="225">
        <v>0</v>
      </c>
      <c r="K26" s="225">
        <v>1</v>
      </c>
    </row>
    <row r="27" spans="1:11" ht="29.25" customHeight="1">
      <c r="A27" s="600" t="s">
        <v>157</v>
      </c>
      <c r="B27" s="600"/>
      <c r="C27" s="125">
        <f>'Outcome 1'!C35</f>
        <v>50400000</v>
      </c>
      <c r="D27" s="126">
        <v>0</v>
      </c>
      <c r="E27" s="126">
        <v>1</v>
      </c>
      <c r="F27" s="127">
        <f>'Outcome 1'!D35</f>
        <v>42600000</v>
      </c>
      <c r="G27" s="128">
        <v>0</v>
      </c>
      <c r="H27" s="128">
        <v>1</v>
      </c>
      <c r="I27" s="224">
        <f>'Outcome 1'!E35</f>
        <v>27000000</v>
      </c>
      <c r="J27" s="225">
        <v>0</v>
      </c>
      <c r="K27" s="225">
        <v>1</v>
      </c>
    </row>
    <row r="28" spans="1:11" ht="39" customHeight="1">
      <c r="A28" s="600" t="s">
        <v>337</v>
      </c>
      <c r="B28" s="600"/>
      <c r="C28" s="125">
        <f>'Outcome 1'!C52</f>
        <v>56475000</v>
      </c>
      <c r="D28" s="126">
        <v>0.3</v>
      </c>
      <c r="E28" s="126">
        <v>0.7</v>
      </c>
      <c r="F28" s="127">
        <f>'Outcome 1'!D52</f>
        <v>56475000</v>
      </c>
      <c r="G28" s="128">
        <v>0.3</v>
      </c>
      <c r="H28" s="128">
        <v>0.7</v>
      </c>
      <c r="I28" s="224">
        <f>'Outcome 1'!E52</f>
        <v>56475000</v>
      </c>
      <c r="J28" s="225">
        <v>0.3</v>
      </c>
      <c r="K28" s="225">
        <v>0.7</v>
      </c>
    </row>
    <row r="29" spans="1:11" ht="36" customHeight="1">
      <c r="A29" s="602" t="s">
        <v>342</v>
      </c>
      <c r="B29" s="602"/>
      <c r="C29" s="509">
        <f>C30+C31</f>
        <v>26250000</v>
      </c>
      <c r="D29" s="509">
        <f>D30*C30+D31*C31</f>
        <v>6562500</v>
      </c>
      <c r="E29" s="509">
        <f>C29-D29</f>
        <v>19687500</v>
      </c>
      <c r="F29" s="509">
        <f>F30+F31</f>
        <v>26250000</v>
      </c>
      <c r="G29" s="509">
        <f>G30*F30+G31*F31</f>
        <v>5250000</v>
      </c>
      <c r="H29" s="509">
        <f>F29-G29</f>
        <v>21000000</v>
      </c>
      <c r="I29" s="509">
        <f>I30+I31</f>
        <v>26250000</v>
      </c>
      <c r="J29" s="509">
        <f>J30*I30+J31*I31</f>
        <v>5250000</v>
      </c>
      <c r="K29" s="509">
        <f>I29-J29</f>
        <v>21000000</v>
      </c>
    </row>
    <row r="30" spans="1:11" ht="36.75" customHeight="1">
      <c r="A30" s="600" t="s">
        <v>338</v>
      </c>
      <c r="B30" s="600"/>
      <c r="C30" s="125">
        <f>'Outcome 2'!C11</f>
        <v>17500000</v>
      </c>
      <c r="D30" s="126">
        <v>0.25</v>
      </c>
      <c r="E30" s="126">
        <v>0.75</v>
      </c>
      <c r="F30" s="127">
        <f>'Outcome 2'!D11</f>
        <v>17500000</v>
      </c>
      <c r="G30" s="128">
        <v>0.2</v>
      </c>
      <c r="H30" s="128">
        <v>0.8</v>
      </c>
      <c r="I30" s="224">
        <f>'Outcome 2'!E11</f>
        <v>17500000</v>
      </c>
      <c r="J30" s="225">
        <v>0.2</v>
      </c>
      <c r="K30" s="225">
        <v>0.8</v>
      </c>
    </row>
    <row r="31" spans="1:11" ht="27" customHeight="1">
      <c r="A31" s="600" t="s">
        <v>268</v>
      </c>
      <c r="B31" s="600"/>
      <c r="C31" s="125">
        <f>'Outcome 2'!C28</f>
        <v>8750000</v>
      </c>
      <c r="D31" s="126">
        <v>0.25</v>
      </c>
      <c r="E31" s="126">
        <v>0.75</v>
      </c>
      <c r="F31" s="127">
        <f>'Outcome 2'!D28</f>
        <v>8750000</v>
      </c>
      <c r="G31" s="128">
        <v>0.2</v>
      </c>
      <c r="H31" s="128">
        <v>0.8</v>
      </c>
      <c r="I31" s="224">
        <f>'Outcome 2'!D28</f>
        <v>8750000</v>
      </c>
      <c r="J31" s="225">
        <v>0.2</v>
      </c>
      <c r="K31" s="225">
        <v>0.8</v>
      </c>
    </row>
    <row r="32" spans="1:11" ht="36" customHeight="1">
      <c r="A32" s="602" t="s">
        <v>343</v>
      </c>
      <c r="B32" s="602"/>
      <c r="C32" s="509">
        <f>C33+C34</f>
        <v>11500000</v>
      </c>
      <c r="D32" s="509">
        <f>D33*C33+D34*C34</f>
        <v>0</v>
      </c>
      <c r="E32" s="509">
        <f>C32-D32</f>
        <v>11500000</v>
      </c>
      <c r="F32" s="509">
        <f>F33+F34</f>
        <v>11500000</v>
      </c>
      <c r="G32" s="509">
        <f>G33*F33+G34*F34</f>
        <v>0</v>
      </c>
      <c r="H32" s="509">
        <f>F32-G32</f>
        <v>11500000</v>
      </c>
      <c r="I32" s="509">
        <f>I33+I34</f>
        <v>11500000</v>
      </c>
      <c r="J32" s="509">
        <f>J33*I33+J34*I34</f>
        <v>0</v>
      </c>
      <c r="K32" s="509">
        <f>I32-J32</f>
        <v>11500000</v>
      </c>
    </row>
    <row r="33" spans="1:11" ht="33" customHeight="1">
      <c r="A33" s="600" t="s">
        <v>334</v>
      </c>
      <c r="B33" s="600"/>
      <c r="C33" s="125">
        <f>'Outcome 3'!C11</f>
        <v>2500000</v>
      </c>
      <c r="D33" s="126">
        <v>0</v>
      </c>
      <c r="E33" s="126">
        <v>1</v>
      </c>
      <c r="F33" s="127">
        <f>'Outcome 3'!D11</f>
        <v>2500000</v>
      </c>
      <c r="G33" s="128">
        <v>0</v>
      </c>
      <c r="H33" s="128">
        <v>1</v>
      </c>
      <c r="I33" s="224">
        <f>'Outcome 3'!E11</f>
        <v>2500000</v>
      </c>
      <c r="J33" s="225">
        <v>0</v>
      </c>
      <c r="K33" s="225">
        <v>1</v>
      </c>
    </row>
    <row r="34" spans="1:11" ht="40.5" customHeight="1">
      <c r="A34" s="600" t="s">
        <v>335</v>
      </c>
      <c r="B34" s="600"/>
      <c r="C34" s="125">
        <f>'Outcome 3'!C31</f>
        <v>9000000</v>
      </c>
      <c r="D34" s="126">
        <v>0</v>
      </c>
      <c r="E34" s="126">
        <v>1</v>
      </c>
      <c r="F34" s="127">
        <f>'Outcome 3'!D31</f>
        <v>9000000</v>
      </c>
      <c r="G34" s="128">
        <v>0</v>
      </c>
      <c r="H34" s="128">
        <v>1</v>
      </c>
      <c r="I34" s="224">
        <f>'Outcome 3'!E31</f>
        <v>9000000</v>
      </c>
      <c r="J34" s="225">
        <v>0</v>
      </c>
      <c r="K34" s="225">
        <v>1</v>
      </c>
    </row>
    <row r="35" spans="1:2" ht="15">
      <c r="A35" s="110"/>
      <c r="B35" s="111"/>
    </row>
    <row r="36" spans="1:2" ht="15">
      <c r="A36" s="110"/>
      <c r="B36" s="111"/>
    </row>
    <row r="37" spans="1:2" ht="15">
      <c r="A37" s="110"/>
      <c r="B37" s="111"/>
    </row>
    <row r="38" spans="1:2" ht="15">
      <c r="A38" s="110"/>
      <c r="B38" s="111"/>
    </row>
  </sheetData>
  <sheetProtection/>
  <mergeCells count="17">
    <mergeCell ref="A30:B30"/>
    <mergeCell ref="A33:B33"/>
    <mergeCell ref="A34:B34"/>
    <mergeCell ref="C23:E23"/>
    <mergeCell ref="A26:B26"/>
    <mergeCell ref="A28:B28"/>
    <mergeCell ref="A27:B27"/>
    <mergeCell ref="A29:B29"/>
    <mergeCell ref="A31:B31"/>
    <mergeCell ref="A32:B32"/>
    <mergeCell ref="A25:B25"/>
    <mergeCell ref="I23:K23"/>
    <mergeCell ref="A7:B7"/>
    <mergeCell ref="A12:B12"/>
    <mergeCell ref="B23:B24"/>
    <mergeCell ref="A23:A24"/>
    <mergeCell ref="F23:H23"/>
  </mergeCells>
  <printOptions/>
  <pageMargins left="0.7" right="0.7" top="0.75" bottom="0.75" header="0.3" footer="0.3"/>
  <pageSetup fitToHeight="1" fitToWidth="1" horizontalDpi="600" verticalDpi="60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EB105"/>
  <sheetViews>
    <sheetView showGridLines="0" zoomScale="75" zoomScaleNormal="75" zoomScalePageLayoutView="75" workbookViewId="0" topLeftCell="A4">
      <selection activeCell="A21" sqref="A21"/>
    </sheetView>
  </sheetViews>
  <sheetFormatPr defaultColWidth="9.140625" defaultRowHeight="15" outlineLevelRow="1"/>
  <cols>
    <col min="1" max="1" width="16.140625" style="416" customWidth="1"/>
    <col min="2" max="2" width="34.140625" style="47" customWidth="1"/>
    <col min="3" max="3" width="51.00390625" style="47" customWidth="1"/>
    <col min="4" max="4" width="36.28125" style="47" customWidth="1"/>
    <col min="5" max="5" width="28.28125" style="47" customWidth="1"/>
    <col min="6" max="6" width="14.00390625" style="47" customWidth="1"/>
    <col min="7" max="7" width="14.421875" style="47" customWidth="1"/>
    <col min="8" max="8" width="12.7109375" style="47" customWidth="1"/>
    <col min="9" max="9" width="10.28125" style="47" customWidth="1"/>
    <col min="10" max="10" width="24.28125" style="47" customWidth="1"/>
    <col min="11" max="11" width="10.28125" style="47" customWidth="1"/>
    <col min="12" max="12" width="14.8515625" style="47" customWidth="1"/>
    <col min="13" max="15" width="19.421875" style="47" bestFit="1" customWidth="1"/>
    <col min="16" max="16" width="15.421875" style="47" customWidth="1"/>
    <col min="17" max="19" width="19.421875" style="47" customWidth="1"/>
    <col min="20" max="20" width="18.8515625" style="47" customWidth="1"/>
    <col min="21" max="21" width="22.8515625" style="47" customWidth="1"/>
    <col min="22" max="23" width="13.8515625" style="47" customWidth="1"/>
    <col min="24" max="24" width="13.421875" style="47" customWidth="1"/>
    <col min="25" max="25" width="14.421875" style="47" customWidth="1"/>
    <col min="26" max="26" width="14.28125" style="47" customWidth="1"/>
    <col min="27" max="27" width="13.421875" style="47" customWidth="1"/>
    <col min="28" max="28" width="12.7109375" style="47" customWidth="1"/>
    <col min="29" max="29" width="10.28125" style="47" customWidth="1"/>
    <col min="30" max="30" width="12.7109375" style="47" customWidth="1"/>
    <col min="31" max="31" width="16.140625" style="47" customWidth="1"/>
    <col min="32" max="32" width="16.421875" style="47" customWidth="1"/>
    <col min="33" max="34" width="10.28125" style="47" customWidth="1"/>
    <col min="35" max="35" width="12.140625" style="47" customWidth="1"/>
    <col min="36" max="36" width="18.421875" style="47" customWidth="1"/>
    <col min="37" max="37" width="17.421875" style="47" customWidth="1"/>
    <col min="38" max="38" width="10.28125" style="47" customWidth="1"/>
    <col min="39" max="39" width="8.00390625" style="47" customWidth="1"/>
    <col min="40" max="40" width="10.421875" style="47" customWidth="1"/>
    <col min="41" max="42" width="15.140625" style="47" customWidth="1"/>
    <col min="43" max="43" width="19.140625" style="47" customWidth="1"/>
    <col min="44" max="46" width="15.140625" style="47" customWidth="1"/>
    <col min="47" max="47" width="15.421875" style="47" customWidth="1"/>
    <col min="48" max="48" width="13.28125" style="47" customWidth="1"/>
    <col min="49" max="49" width="8.00390625" style="47" customWidth="1"/>
    <col min="50" max="50" width="15.8515625" style="47" customWidth="1"/>
    <col min="51" max="51" width="18.140625" style="47" customWidth="1"/>
    <col min="52" max="54" width="13.421875" style="47" customWidth="1"/>
    <col min="55" max="55" width="19.421875" style="47" customWidth="1"/>
    <col min="56" max="56" width="16.7109375" style="47" customWidth="1"/>
    <col min="57" max="59" width="13.421875" style="47" customWidth="1"/>
    <col min="60" max="60" width="15.28125" style="47" customWidth="1"/>
    <col min="61" max="61" width="16.28125" style="47" bestFit="1" customWidth="1"/>
    <col min="62" max="62" width="18.00390625" style="47" customWidth="1"/>
    <col min="63" max="64" width="9.140625" style="47" customWidth="1"/>
    <col min="65" max="65" width="18.421875" style="47" customWidth="1"/>
    <col min="66" max="66" width="16.28125" style="47" bestFit="1" customWidth="1"/>
    <col min="67" max="67" width="18.421875" style="47" customWidth="1"/>
    <col min="68" max="68" width="9.140625" style="47" customWidth="1"/>
    <col min="69" max="69" width="13.421875" style="47" customWidth="1"/>
    <col min="70" max="70" width="18.140625" style="47" customWidth="1"/>
    <col min="71" max="74" width="9.140625" style="47" customWidth="1"/>
    <col min="75" max="75" width="15.00390625" style="47" customWidth="1"/>
    <col min="76" max="79" width="9.140625" style="47" customWidth="1"/>
    <col min="80" max="80" width="15.00390625" style="47" customWidth="1"/>
    <col min="81" max="81" width="9.140625" style="417" customWidth="1"/>
  </cols>
  <sheetData>
    <row r="1" spans="1:81" ht="60" customHeight="1">
      <c r="A1" s="673" t="s">
        <v>328</v>
      </c>
      <c r="B1" s="674"/>
      <c r="C1" s="674"/>
      <c r="D1" s="674"/>
      <c r="E1" s="674"/>
      <c r="F1" s="674"/>
      <c r="G1" s="674"/>
      <c r="H1" s="674"/>
      <c r="I1" s="674"/>
      <c r="J1" s="674"/>
      <c r="K1" s="674"/>
      <c r="L1" s="674"/>
      <c r="M1" s="674"/>
      <c r="N1" s="674"/>
      <c r="O1" s="674"/>
      <c r="P1" s="414"/>
      <c r="Q1" s="414"/>
      <c r="R1" s="414"/>
      <c r="S1" s="414"/>
      <c r="T1" s="415"/>
      <c r="U1" s="415"/>
      <c r="V1" s="415"/>
      <c r="W1" s="415"/>
      <c r="X1" s="415"/>
      <c r="Y1" s="415"/>
      <c r="Z1" s="415"/>
      <c r="AA1" s="415"/>
      <c r="AB1" s="415"/>
      <c r="AC1" s="415"/>
      <c r="AD1" s="415"/>
      <c r="AE1" s="415"/>
      <c r="AF1" s="415"/>
      <c r="AG1" s="415"/>
      <c r="AH1" s="415"/>
      <c r="AI1" s="415"/>
      <c r="AJ1" s="415"/>
      <c r="AK1" s="436"/>
      <c r="AL1" s="415"/>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CC1" s="47"/>
    </row>
    <row r="2" spans="2:81" ht="18.75" customHeight="1">
      <c r="B2" s="55"/>
      <c r="C2" s="55"/>
      <c r="D2" s="55"/>
      <c r="E2" s="55"/>
      <c r="F2" s="55"/>
      <c r="G2" s="55"/>
      <c r="H2" s="55"/>
      <c r="I2" s="55"/>
      <c r="J2" s="55"/>
      <c r="K2" s="55"/>
      <c r="L2" s="55"/>
      <c r="M2" s="55"/>
      <c r="N2" s="55"/>
      <c r="O2" s="55"/>
      <c r="P2" s="55"/>
      <c r="Q2" s="55"/>
      <c r="R2" s="55"/>
      <c r="S2" s="55"/>
      <c r="T2" s="55"/>
      <c r="U2" s="55"/>
      <c r="V2" s="55"/>
      <c r="W2" s="55"/>
      <c r="X2" s="55"/>
      <c r="Y2" s="55"/>
      <c r="Z2" s="55"/>
      <c r="AA2" s="55"/>
      <c r="AB2" s="55"/>
      <c r="AK2" s="417"/>
      <c r="AQ2" s="6"/>
      <c r="AR2" s="6"/>
      <c r="AS2" s="6"/>
      <c r="AT2" s="6"/>
      <c r="AX2" s="61" t="s">
        <v>192</v>
      </c>
      <c r="AY2" s="336"/>
      <c r="AZ2" s="336"/>
      <c r="BA2" s="336"/>
      <c r="BB2" s="336"/>
      <c r="BC2" s="336"/>
      <c r="BD2" s="336"/>
      <c r="BE2" s="6"/>
      <c r="CC2" s="47"/>
    </row>
    <row r="3" spans="1:81" ht="24.75" customHeight="1">
      <c r="A3" s="676" t="s">
        <v>1</v>
      </c>
      <c r="B3" s="677"/>
      <c r="C3" s="677"/>
      <c r="D3" s="677"/>
      <c r="E3" s="677"/>
      <c r="F3" s="677"/>
      <c r="G3" s="677"/>
      <c r="H3" s="668" t="s">
        <v>231</v>
      </c>
      <c r="I3" s="668"/>
      <c r="J3" s="668"/>
      <c r="K3" s="668"/>
      <c r="L3" s="675" t="s">
        <v>3</v>
      </c>
      <c r="M3" s="675"/>
      <c r="N3" s="675"/>
      <c r="O3" s="675"/>
      <c r="P3" s="667" t="s">
        <v>28</v>
      </c>
      <c r="Q3" s="667"/>
      <c r="R3" s="667"/>
      <c r="S3" s="667"/>
      <c r="T3" s="675" t="s">
        <v>27</v>
      </c>
      <c r="U3" s="675"/>
      <c r="V3" s="675"/>
      <c r="W3" s="675"/>
      <c r="X3" s="667" t="s">
        <v>4</v>
      </c>
      <c r="Y3" s="667"/>
      <c r="Z3" s="667"/>
      <c r="AA3" s="667"/>
      <c r="AB3" s="55"/>
      <c r="AK3" s="417"/>
      <c r="AO3" s="607" t="s">
        <v>10</v>
      </c>
      <c r="AP3" s="607"/>
      <c r="AQ3" s="607"/>
      <c r="AR3" s="607"/>
      <c r="AS3" s="607"/>
      <c r="AT3" s="607" t="s">
        <v>15</v>
      </c>
      <c r="AU3" s="607"/>
      <c r="AV3" s="607"/>
      <c r="AW3" s="607"/>
      <c r="AX3" s="607"/>
      <c r="AY3" s="607" t="s">
        <v>22</v>
      </c>
      <c r="AZ3" s="607"/>
      <c r="BA3" s="607"/>
      <c r="BB3" s="607"/>
      <c r="BC3" s="607"/>
      <c r="BD3" s="607" t="s">
        <v>12</v>
      </c>
      <c r="BE3" s="607"/>
      <c r="BF3" s="607"/>
      <c r="BG3" s="607"/>
      <c r="BH3" s="607"/>
      <c r="BI3" s="607" t="s">
        <v>13</v>
      </c>
      <c r="BJ3" s="607"/>
      <c r="BK3" s="607"/>
      <c r="BL3" s="607"/>
      <c r="BM3" s="607"/>
      <c r="BN3" s="607" t="s">
        <v>11</v>
      </c>
      <c r="BO3" s="607"/>
      <c r="BP3" s="607"/>
      <c r="BQ3" s="607"/>
      <c r="BR3" s="607"/>
      <c r="BS3" s="607" t="s">
        <v>16</v>
      </c>
      <c r="BT3" s="607"/>
      <c r="BU3" s="607"/>
      <c r="BV3" s="607"/>
      <c r="BW3" s="607"/>
      <c r="BX3" s="607" t="s">
        <v>14</v>
      </c>
      <c r="BY3" s="607"/>
      <c r="BZ3" s="607"/>
      <c r="CA3" s="607"/>
      <c r="CB3" s="607"/>
      <c r="CC3" s="47"/>
    </row>
    <row r="4" spans="1:81" ht="33" customHeight="1" thickBot="1">
      <c r="A4" s="418" t="s">
        <v>5</v>
      </c>
      <c r="B4" s="34" t="s">
        <v>6</v>
      </c>
      <c r="C4" s="34" t="s">
        <v>2</v>
      </c>
      <c r="D4" s="608" t="s">
        <v>32</v>
      </c>
      <c r="E4" s="608"/>
      <c r="F4" s="339" t="s">
        <v>9</v>
      </c>
      <c r="G4" s="339" t="s">
        <v>0</v>
      </c>
      <c r="H4" s="205" t="s">
        <v>345</v>
      </c>
      <c r="I4" s="30" t="s">
        <v>33</v>
      </c>
      <c r="J4" s="43" t="s">
        <v>193</v>
      </c>
      <c r="K4" s="181" t="s">
        <v>43</v>
      </c>
      <c r="L4" s="205" t="s">
        <v>345</v>
      </c>
      <c r="M4" s="30" t="s">
        <v>33</v>
      </c>
      <c r="N4" s="43" t="s">
        <v>193</v>
      </c>
      <c r="O4" s="181" t="s">
        <v>43</v>
      </c>
      <c r="P4" s="205" t="s">
        <v>345</v>
      </c>
      <c r="Q4" s="30" t="s">
        <v>33</v>
      </c>
      <c r="R4" s="43" t="s">
        <v>193</v>
      </c>
      <c r="S4" s="181" t="s">
        <v>43</v>
      </c>
      <c r="T4" s="205" t="s">
        <v>345</v>
      </c>
      <c r="U4" s="30" t="s">
        <v>33</v>
      </c>
      <c r="V4" s="43" t="s">
        <v>193</v>
      </c>
      <c r="W4" s="181" t="s">
        <v>43</v>
      </c>
      <c r="X4" s="205" t="s">
        <v>345</v>
      </c>
      <c r="Y4" s="30" t="s">
        <v>33</v>
      </c>
      <c r="Z4" s="43" t="s">
        <v>193</v>
      </c>
      <c r="AA4" s="181" t="s">
        <v>43</v>
      </c>
      <c r="AB4" s="55"/>
      <c r="AK4" s="417"/>
      <c r="AO4" s="440" t="s">
        <v>20</v>
      </c>
      <c r="AP4" s="440" t="s">
        <v>28</v>
      </c>
      <c r="AQ4" s="440" t="s">
        <v>27</v>
      </c>
      <c r="AR4" s="440" t="s">
        <v>21</v>
      </c>
      <c r="AS4" s="441" t="s">
        <v>92</v>
      </c>
      <c r="AT4" s="440" t="s">
        <v>20</v>
      </c>
      <c r="AU4" s="440" t="s">
        <v>28</v>
      </c>
      <c r="AV4" s="440" t="s">
        <v>27</v>
      </c>
      <c r="AW4" s="440" t="s">
        <v>21</v>
      </c>
      <c r="AX4" s="441" t="s">
        <v>92</v>
      </c>
      <c r="AY4" s="440" t="s">
        <v>20</v>
      </c>
      <c r="AZ4" s="440" t="s">
        <v>28</v>
      </c>
      <c r="BA4" s="440" t="s">
        <v>27</v>
      </c>
      <c r="BB4" s="440" t="s">
        <v>21</v>
      </c>
      <c r="BC4" s="441" t="s">
        <v>92</v>
      </c>
      <c r="BD4" s="440" t="s">
        <v>20</v>
      </c>
      <c r="BE4" s="440" t="s">
        <v>28</v>
      </c>
      <c r="BF4" s="440" t="s">
        <v>27</v>
      </c>
      <c r="BG4" s="440" t="s">
        <v>21</v>
      </c>
      <c r="BH4" s="441" t="s">
        <v>92</v>
      </c>
      <c r="BI4" s="440" t="s">
        <v>20</v>
      </c>
      <c r="BJ4" s="440" t="s">
        <v>28</v>
      </c>
      <c r="BK4" s="440" t="s">
        <v>27</v>
      </c>
      <c r="BL4" s="440" t="s">
        <v>21</v>
      </c>
      <c r="BM4" s="441" t="s">
        <v>92</v>
      </c>
      <c r="BN4" s="440" t="s">
        <v>20</v>
      </c>
      <c r="BO4" s="440" t="s">
        <v>28</v>
      </c>
      <c r="BP4" s="440" t="s">
        <v>27</v>
      </c>
      <c r="BQ4" s="440" t="s">
        <v>21</v>
      </c>
      <c r="BR4" s="441" t="s">
        <v>92</v>
      </c>
      <c r="BS4" s="440" t="s">
        <v>20</v>
      </c>
      <c r="BT4" s="440" t="s">
        <v>28</v>
      </c>
      <c r="BU4" s="440" t="s">
        <v>27</v>
      </c>
      <c r="BV4" s="440" t="s">
        <v>21</v>
      </c>
      <c r="BW4" s="441" t="s">
        <v>92</v>
      </c>
      <c r="BX4" s="440" t="s">
        <v>20</v>
      </c>
      <c r="BY4" s="440" t="s">
        <v>28</v>
      </c>
      <c r="BZ4" s="440" t="s">
        <v>27</v>
      </c>
      <c r="CA4" s="440" t="s">
        <v>21</v>
      </c>
      <c r="CB4" s="441" t="s">
        <v>92</v>
      </c>
      <c r="CC4" s="47"/>
    </row>
    <row r="5" spans="1:81" s="1" customFormat="1" ht="147" customHeight="1">
      <c r="A5" s="419" t="s">
        <v>17</v>
      </c>
      <c r="B5" s="8" t="s">
        <v>163</v>
      </c>
      <c r="C5" s="8" t="s">
        <v>225</v>
      </c>
      <c r="D5" s="603" t="s">
        <v>211</v>
      </c>
      <c r="E5" s="603"/>
      <c r="F5" s="8" t="s">
        <v>51</v>
      </c>
      <c r="G5" s="8" t="s">
        <v>52</v>
      </c>
      <c r="H5" s="254">
        <v>494</v>
      </c>
      <c r="I5" s="35">
        <f>M5+Q5+U5+Y5</f>
        <v>8011.923076923078</v>
      </c>
      <c r="J5" s="38">
        <f>N5+R5+V5+Z5</f>
        <v>7996.923076923077</v>
      </c>
      <c r="K5" s="174">
        <f>O5+S5+W5+AA5</f>
        <v>8206.923076923078</v>
      </c>
      <c r="L5" s="334" t="s">
        <v>57</v>
      </c>
      <c r="M5" s="202">
        <f>'Lh Budgetting'!T10+I42</f>
        <v>1782.1089743589744</v>
      </c>
      <c r="N5" s="160">
        <f>'Lh Budgetting'!AB10+P42</f>
        <v>1795.1367521367522</v>
      </c>
      <c r="O5" s="204">
        <f>'Lh Budgetting'!AH10+V42</f>
        <v>1876.9145299145298</v>
      </c>
      <c r="P5" s="334" t="s">
        <v>57</v>
      </c>
      <c r="Q5" s="220">
        <f>'Lh Budgetting'!V10+J42</f>
        <v>86.77884615384615</v>
      </c>
      <c r="R5" s="160">
        <f>'Lh Budgetting'!AD10+Q42</f>
        <v>88.43162393162393</v>
      </c>
      <c r="S5" s="204">
        <f>'Lh Budgetting'!AJ10+W42</f>
        <v>94.2094017094017</v>
      </c>
      <c r="T5" s="334" t="s">
        <v>57</v>
      </c>
      <c r="U5" s="220">
        <f>'Lh Budgetting'!U10+K42</f>
        <v>208.81730769230768</v>
      </c>
      <c r="V5" s="160">
        <f>'Lh Budgetting'!AC10+R42</f>
        <v>211.97008547008548</v>
      </c>
      <c r="W5" s="204">
        <f>'Lh Budgetting'!AI10+X42</f>
        <v>224.74786324786328</v>
      </c>
      <c r="X5" s="334" t="s">
        <v>57</v>
      </c>
      <c r="Y5" s="220">
        <f>'Lh Budgetting'!S10+L42</f>
        <v>5934.217948717949</v>
      </c>
      <c r="Z5" s="160">
        <f>'Lh Budgetting'!AA10+S42</f>
        <v>5901.384615384615</v>
      </c>
      <c r="AA5" s="204">
        <f>'Lh Budgetting'!AG10+Y42</f>
        <v>6011.051282051282</v>
      </c>
      <c r="AB5" s="55"/>
      <c r="AC5" s="6"/>
      <c r="AD5" s="6"/>
      <c r="AE5" s="6"/>
      <c r="AF5" s="6"/>
      <c r="AG5" s="6"/>
      <c r="AH5" s="6"/>
      <c r="AI5" s="6"/>
      <c r="AJ5" s="6"/>
      <c r="AK5" s="420"/>
      <c r="AL5" s="6"/>
      <c r="AM5" s="6"/>
      <c r="AN5" s="6"/>
      <c r="AO5" s="442" t="e">
        <f>#REF!*CK13</f>
        <v>#REF!</v>
      </c>
      <c r="AP5" s="442" t="e">
        <f>#REF!*CK13</f>
        <v>#REF!</v>
      </c>
      <c r="AQ5" s="442" t="e">
        <f>#REF!*CK13</f>
        <v>#REF!</v>
      </c>
      <c r="AR5" s="442" t="e">
        <f>#REF!*CK13</f>
        <v>#REF!</v>
      </c>
      <c r="AS5" s="443">
        <f>4935*0.063689</f>
        <v>314.305215</v>
      </c>
      <c r="AT5" s="444" t="e">
        <f>#REF!*CK14</f>
        <v>#REF!</v>
      </c>
      <c r="AU5" s="444" t="e">
        <f>#REF!*CK14</f>
        <v>#REF!</v>
      </c>
      <c r="AV5" s="444" t="e">
        <f>CK14*#REF!</f>
        <v>#REF!</v>
      </c>
      <c r="AW5" s="444" t="e">
        <f>CK14*#REF!</f>
        <v>#REF!</v>
      </c>
      <c r="AX5" s="443">
        <f>4935*0.29445</f>
        <v>1453.11075</v>
      </c>
      <c r="AY5" s="444" t="e">
        <f>CK16*#REF!</f>
        <v>#REF!</v>
      </c>
      <c r="AZ5" s="444" t="e">
        <f>CK16*#REF!</f>
        <v>#REF!</v>
      </c>
      <c r="BA5" s="444" t="e">
        <f>CK16*#REF!</f>
        <v>#REF!</v>
      </c>
      <c r="BB5" s="444" t="e">
        <f>CK16*#REF!</f>
        <v>#REF!</v>
      </c>
      <c r="BC5" s="443">
        <f>4935*0.081885</f>
        <v>404.10247499999997</v>
      </c>
      <c r="BD5" s="444" t="e">
        <f>CK15*#REF!</f>
        <v>#REF!</v>
      </c>
      <c r="BE5" s="444" t="e">
        <f>CK15*#REF!</f>
        <v>#REF!</v>
      </c>
      <c r="BF5" s="444" t="e">
        <f>#REF!*CK15</f>
        <v>#REF!</v>
      </c>
      <c r="BG5" s="444" t="e">
        <f>CK15*#REF!</f>
        <v>#REF!</v>
      </c>
      <c r="BH5" s="443">
        <f>4935*0.0008271</f>
        <v>4.0817385</v>
      </c>
      <c r="BI5" s="444" t="e">
        <f>CK17*#REF!</f>
        <v>#REF!</v>
      </c>
      <c r="BJ5" s="444" t="e">
        <f>CK17*#REF!</f>
        <v>#REF!</v>
      </c>
      <c r="BK5" s="444" t="e">
        <f>CK17*#REF!</f>
        <v>#REF!</v>
      </c>
      <c r="BL5" s="444" t="e">
        <f>CK17*#REF!</f>
        <v>#REF!</v>
      </c>
      <c r="BM5" s="443">
        <f>4935*0.45244</f>
        <v>2232.7914</v>
      </c>
      <c r="BN5" s="444" t="e">
        <f>BW18*#REF!</f>
        <v>#REF!</v>
      </c>
      <c r="BO5" s="444" t="e">
        <f>BW18*#REF!</f>
        <v>#REF!</v>
      </c>
      <c r="BP5" s="444" t="e">
        <f>BW18*#REF!</f>
        <v>#REF!</v>
      </c>
      <c r="BQ5" s="444" t="e">
        <f>BW18*#REF!</f>
        <v>#REF!</v>
      </c>
      <c r="BR5" s="443">
        <f>4935*0.032258</f>
        <v>159.19323</v>
      </c>
      <c r="BS5" s="444" t="e">
        <f>BW19*#REF!</f>
        <v>#REF!</v>
      </c>
      <c r="BT5" s="444" t="e">
        <f>BW19*#REF!</f>
        <v>#REF!</v>
      </c>
      <c r="BU5" s="444" t="e">
        <f>BW19*#REF!</f>
        <v>#REF!</v>
      </c>
      <c r="BV5" s="444" t="e">
        <f>BW19*#REF!</f>
        <v>#REF!</v>
      </c>
      <c r="BW5" s="443">
        <f>4935*0.041356</f>
        <v>204.09186</v>
      </c>
      <c r="BX5" s="444" t="e">
        <f>BW20*#REF!</f>
        <v>#REF!</v>
      </c>
      <c r="BY5" s="444" t="e">
        <f>BW20*#REF!</f>
        <v>#REF!</v>
      </c>
      <c r="BZ5" s="444" t="e">
        <f>BW20*#REF!</f>
        <v>#REF!</v>
      </c>
      <c r="CA5" s="444" t="e">
        <f>BW20*#REF!</f>
        <v>#REF!</v>
      </c>
      <c r="CB5" s="443">
        <f>4935*0.033085</f>
        <v>163.27447500000002</v>
      </c>
      <c r="CC5" s="6"/>
    </row>
    <row r="6" spans="1:81" ht="21" outlineLevel="1">
      <c r="A6" s="605"/>
      <c r="B6" s="606"/>
      <c r="C6" s="606"/>
      <c r="D6" s="606"/>
      <c r="E6" s="606"/>
      <c r="F6" s="606"/>
      <c r="G6" s="606"/>
      <c r="H6" s="653" t="s">
        <v>297</v>
      </c>
      <c r="I6" s="654"/>
      <c r="J6" s="654"/>
      <c r="K6" s="655"/>
      <c r="L6" s="650" t="s">
        <v>190</v>
      </c>
      <c r="M6" s="650"/>
      <c r="N6" s="650"/>
      <c r="O6" s="650"/>
      <c r="P6" s="650"/>
      <c r="Q6" s="650"/>
      <c r="R6" s="650"/>
      <c r="S6" s="650"/>
      <c r="T6" s="633" t="s">
        <v>210</v>
      </c>
      <c r="U6" s="633"/>
      <c r="V6" s="633"/>
      <c r="W6" s="633"/>
      <c r="X6" s="633"/>
      <c r="Y6" s="633"/>
      <c r="Z6" s="633"/>
      <c r="AA6" s="633"/>
      <c r="AB6" s="633"/>
      <c r="AC6" s="634" t="s">
        <v>230</v>
      </c>
      <c r="AD6" s="634"/>
      <c r="AE6" s="634"/>
      <c r="AF6" s="634"/>
      <c r="AG6" s="634"/>
      <c r="AH6" s="634"/>
      <c r="AI6" s="634"/>
      <c r="AJ6" s="634"/>
      <c r="AK6" s="672"/>
      <c r="AO6" s="635" t="s">
        <v>287</v>
      </c>
      <c r="AP6" s="635"/>
      <c r="AQ6" s="635"/>
      <c r="AR6" s="635"/>
      <c r="AS6" s="635"/>
      <c r="AT6" s="635"/>
      <c r="AU6" s="635"/>
      <c r="AV6" s="635"/>
      <c r="AW6" s="6"/>
      <c r="AX6" s="6"/>
      <c r="AY6" s="6"/>
      <c r="AZ6" s="616" t="s">
        <v>284</v>
      </c>
      <c r="BA6" s="616"/>
      <c r="BB6" s="616"/>
      <c r="BC6" s="616"/>
      <c r="BD6" s="616"/>
      <c r="BE6" s="616"/>
      <c r="BF6" s="616"/>
      <c r="BG6" s="616"/>
      <c r="BH6" s="6"/>
      <c r="BI6" s="6"/>
      <c r="BJ6" s="656" t="s">
        <v>286</v>
      </c>
      <c r="BK6" s="656"/>
      <c r="BL6" s="656"/>
      <c r="BM6" s="656"/>
      <c r="BN6" s="656"/>
      <c r="BO6" s="656"/>
      <c r="BP6" s="656"/>
      <c r="BQ6" s="656"/>
      <c r="BR6" s="6"/>
      <c r="BS6" s="6"/>
      <c r="BT6" s="6"/>
      <c r="BU6" s="6"/>
      <c r="BV6" s="6"/>
      <c r="BW6" s="6"/>
      <c r="BX6" s="6"/>
      <c r="BY6" s="6"/>
      <c r="BZ6" s="6"/>
      <c r="CA6" s="6"/>
      <c r="CC6" s="47"/>
    </row>
    <row r="7" spans="1:81" ht="29.25" customHeight="1" outlineLevel="1" thickBot="1">
      <c r="A7" s="418" t="s">
        <v>5</v>
      </c>
      <c r="B7" s="34" t="s">
        <v>7</v>
      </c>
      <c r="C7" s="34" t="s">
        <v>2</v>
      </c>
      <c r="D7" s="608" t="s">
        <v>46</v>
      </c>
      <c r="E7" s="608"/>
      <c r="F7" s="339" t="s">
        <v>9</v>
      </c>
      <c r="G7" s="339" t="s">
        <v>0</v>
      </c>
      <c r="H7" s="205" t="s">
        <v>345</v>
      </c>
      <c r="I7" s="30" t="s">
        <v>33</v>
      </c>
      <c r="J7" s="43" t="s">
        <v>193</v>
      </c>
      <c r="K7" s="181" t="s">
        <v>43</v>
      </c>
      <c r="L7" s="30" t="s">
        <v>58</v>
      </c>
      <c r="M7" s="30" t="s">
        <v>59</v>
      </c>
      <c r="N7" s="30" t="s">
        <v>60</v>
      </c>
      <c r="O7" s="30" t="s">
        <v>228</v>
      </c>
      <c r="P7" s="29" t="s">
        <v>20</v>
      </c>
      <c r="Q7" s="28" t="s">
        <v>28</v>
      </c>
      <c r="R7" s="29" t="s">
        <v>27</v>
      </c>
      <c r="S7" s="28" t="s">
        <v>21</v>
      </c>
      <c r="T7" s="43" t="s">
        <v>58</v>
      </c>
      <c r="U7" s="200" t="s">
        <v>59</v>
      </c>
      <c r="V7" s="43" t="s">
        <v>60</v>
      </c>
      <c r="W7" s="200" t="s">
        <v>61</v>
      </c>
      <c r="X7" s="98" t="s">
        <v>92</v>
      </c>
      <c r="Y7" s="37" t="s">
        <v>20</v>
      </c>
      <c r="Z7" s="40" t="s">
        <v>28</v>
      </c>
      <c r="AA7" s="37" t="s">
        <v>27</v>
      </c>
      <c r="AB7" s="40" t="s">
        <v>21</v>
      </c>
      <c r="AC7" s="181" t="s">
        <v>58</v>
      </c>
      <c r="AD7" s="319" t="s">
        <v>59</v>
      </c>
      <c r="AE7" s="181" t="s">
        <v>60</v>
      </c>
      <c r="AF7" s="319" t="s">
        <v>61</v>
      </c>
      <c r="AG7" s="98" t="s">
        <v>92</v>
      </c>
      <c r="AH7" s="172" t="s">
        <v>20</v>
      </c>
      <c r="AI7" s="171" t="s">
        <v>28</v>
      </c>
      <c r="AJ7" s="172" t="s">
        <v>27</v>
      </c>
      <c r="AK7" s="437" t="s">
        <v>21</v>
      </c>
      <c r="AO7" s="445" t="s">
        <v>10</v>
      </c>
      <c r="AP7" s="445" t="s">
        <v>15</v>
      </c>
      <c r="AQ7" s="445" t="s">
        <v>22</v>
      </c>
      <c r="AR7" s="445" t="s">
        <v>12</v>
      </c>
      <c r="AS7" s="445" t="s">
        <v>13</v>
      </c>
      <c r="AT7" s="445" t="s">
        <v>282</v>
      </c>
      <c r="AU7" s="445" t="s">
        <v>283</v>
      </c>
      <c r="AV7" s="445" t="s">
        <v>14</v>
      </c>
      <c r="AW7" s="6"/>
      <c r="AX7" s="6"/>
      <c r="AY7" s="6"/>
      <c r="AZ7" s="446" t="s">
        <v>10</v>
      </c>
      <c r="BA7" s="446" t="s">
        <v>15</v>
      </c>
      <c r="BB7" s="446" t="s">
        <v>285</v>
      </c>
      <c r="BC7" s="446" t="s">
        <v>12</v>
      </c>
      <c r="BD7" s="446" t="s">
        <v>13</v>
      </c>
      <c r="BE7" s="446" t="s">
        <v>282</v>
      </c>
      <c r="BF7" s="446" t="s">
        <v>283</v>
      </c>
      <c r="BG7" s="446" t="s">
        <v>14</v>
      </c>
      <c r="BH7" s="6"/>
      <c r="BI7" s="6"/>
      <c r="BJ7" s="447" t="s">
        <v>10</v>
      </c>
      <c r="BK7" s="447" t="s">
        <v>15</v>
      </c>
      <c r="BL7" s="447" t="s">
        <v>285</v>
      </c>
      <c r="BM7" s="447" t="s">
        <v>12</v>
      </c>
      <c r="BN7" s="447" t="s">
        <v>13</v>
      </c>
      <c r="BO7" s="447" t="s">
        <v>282</v>
      </c>
      <c r="BP7" s="447" t="s">
        <v>283</v>
      </c>
      <c r="BQ7" s="447" t="s">
        <v>14</v>
      </c>
      <c r="BR7" s="6"/>
      <c r="BS7" s="6"/>
      <c r="BT7" s="6"/>
      <c r="BU7" s="6"/>
      <c r="BV7" s="6"/>
      <c r="BW7" s="6"/>
      <c r="BX7" s="6"/>
      <c r="BY7" s="6"/>
      <c r="BZ7" s="6"/>
      <c r="CA7" s="6"/>
      <c r="CC7" s="47"/>
    </row>
    <row r="8" spans="1:81" s="1" customFormat="1" ht="81" customHeight="1">
      <c r="A8" s="421" t="s">
        <v>18</v>
      </c>
      <c r="B8" s="9" t="s">
        <v>306</v>
      </c>
      <c r="C8" s="9" t="s">
        <v>307</v>
      </c>
      <c r="D8" s="604" t="s">
        <v>298</v>
      </c>
      <c r="E8" s="604"/>
      <c r="F8" s="9" t="s">
        <v>51</v>
      </c>
      <c r="G8" s="9" t="s">
        <v>53</v>
      </c>
      <c r="H8" s="166" t="s">
        <v>57</v>
      </c>
      <c r="I8" s="220">
        <v>2468.91</v>
      </c>
      <c r="J8" s="160">
        <v>2459.754</v>
      </c>
      <c r="K8" s="204">
        <v>2563.98</v>
      </c>
      <c r="L8" s="220">
        <v>1598</v>
      </c>
      <c r="M8" s="315">
        <v>679.1500000000001</v>
      </c>
      <c r="N8" s="220">
        <v>119.85000000000001</v>
      </c>
      <c r="O8" s="315">
        <v>71.91000000000001</v>
      </c>
      <c r="P8" s="31"/>
      <c r="Q8" s="169"/>
      <c r="R8" s="31"/>
      <c r="S8" s="169"/>
      <c r="T8" s="161">
        <v>1542.4199999999998</v>
      </c>
      <c r="U8" s="157">
        <v>730.62</v>
      </c>
      <c r="V8" s="161">
        <v>121.77</v>
      </c>
      <c r="W8" s="157">
        <v>64.944</v>
      </c>
      <c r="X8" s="316">
        <v>2468.91</v>
      </c>
      <c r="Y8" s="44"/>
      <c r="Z8" s="151"/>
      <c r="AA8" s="44"/>
      <c r="AB8" s="151"/>
      <c r="AC8" s="317">
        <v>1485.75</v>
      </c>
      <c r="AD8" s="320">
        <v>849</v>
      </c>
      <c r="AE8" s="317">
        <v>169.79999999999998</v>
      </c>
      <c r="AF8" s="320">
        <v>59.43</v>
      </c>
      <c r="AG8" s="316">
        <v>2459.754</v>
      </c>
      <c r="AH8" s="318"/>
      <c r="AI8" s="321"/>
      <c r="AJ8" s="318"/>
      <c r="AK8" s="438"/>
      <c r="AL8" s="47"/>
      <c r="AM8" s="47"/>
      <c r="AN8" s="47"/>
      <c r="AO8" s="448">
        <v>296.26919999999996</v>
      </c>
      <c r="AP8" s="448">
        <v>444.40379999999993</v>
      </c>
      <c r="AQ8" s="448">
        <v>617.2275</v>
      </c>
      <c r="AR8" s="448">
        <v>74.06729999999999</v>
      </c>
      <c r="AS8" s="448">
        <v>320.9583</v>
      </c>
      <c r="AT8" s="448">
        <v>271.58009999999996</v>
      </c>
      <c r="AU8" s="448">
        <v>246.891</v>
      </c>
      <c r="AV8" s="448">
        <v>197.5128</v>
      </c>
      <c r="AW8" s="47"/>
      <c r="AX8" s="47"/>
      <c r="AY8" s="47"/>
      <c r="AZ8" s="448">
        <v>295.17048</v>
      </c>
      <c r="BA8" s="448">
        <v>442.75571999999994</v>
      </c>
      <c r="BB8" s="448">
        <v>614.9385</v>
      </c>
      <c r="BC8" s="448">
        <v>73.79262</v>
      </c>
      <c r="BD8" s="448">
        <v>319.76802</v>
      </c>
      <c r="BE8" s="448">
        <v>270.57294</v>
      </c>
      <c r="BF8" s="448">
        <v>245.9754</v>
      </c>
      <c r="BG8" s="448">
        <v>196.78032</v>
      </c>
      <c r="BH8" s="47"/>
      <c r="BI8" s="47"/>
      <c r="BJ8" s="448">
        <v>307.6776</v>
      </c>
      <c r="BK8" s="448">
        <v>461.5164</v>
      </c>
      <c r="BL8" s="448">
        <v>640.995</v>
      </c>
      <c r="BM8" s="448">
        <v>76.9194</v>
      </c>
      <c r="BN8" s="448">
        <v>333.3174</v>
      </c>
      <c r="BO8" s="448">
        <v>282.0378</v>
      </c>
      <c r="BP8" s="448">
        <v>256.398</v>
      </c>
      <c r="BQ8" s="448">
        <v>205.1184</v>
      </c>
      <c r="BR8" s="47"/>
      <c r="BS8" s="47"/>
      <c r="BT8" s="47"/>
      <c r="BU8" s="47"/>
      <c r="BV8" s="47"/>
      <c r="BW8" s="6"/>
      <c r="BX8" s="6"/>
      <c r="BY8" s="6"/>
      <c r="BZ8" s="6"/>
      <c r="CA8" s="6"/>
      <c r="CB8" s="6"/>
      <c r="CC8" s="6"/>
    </row>
    <row r="9" spans="1:81" s="11" customFormat="1" ht="45.75" customHeight="1">
      <c r="A9" s="422"/>
      <c r="B9" s="71"/>
      <c r="C9" s="71"/>
      <c r="D9" s="106"/>
      <c r="E9" s="106"/>
      <c r="F9" s="71"/>
      <c r="G9" s="71"/>
      <c r="H9" s="71"/>
      <c r="I9" s="326"/>
      <c r="J9" s="326"/>
      <c r="K9" s="326"/>
      <c r="L9" s="326"/>
      <c r="M9" s="326"/>
      <c r="N9" s="326"/>
      <c r="O9" s="326"/>
      <c r="P9" s="71"/>
      <c r="Q9" s="71"/>
      <c r="R9" s="71"/>
      <c r="S9" s="71"/>
      <c r="T9" s="326"/>
      <c r="U9" s="326"/>
      <c r="V9" s="326"/>
      <c r="W9" s="326"/>
      <c r="X9" s="326"/>
      <c r="Y9" s="71"/>
      <c r="Z9" s="71"/>
      <c r="AA9" s="71"/>
      <c r="AB9" s="71"/>
      <c r="AC9" s="326"/>
      <c r="AD9" s="326"/>
      <c r="AE9" s="326"/>
      <c r="AF9" s="53"/>
      <c r="AG9" s="53"/>
      <c r="AH9" s="53"/>
      <c r="AI9" s="53"/>
      <c r="AJ9" s="53"/>
      <c r="AK9" s="423"/>
      <c r="AL9" s="53"/>
      <c r="AM9" s="53"/>
      <c r="AN9" s="53"/>
      <c r="AO9" s="53"/>
      <c r="AP9" s="327"/>
      <c r="AQ9" s="327"/>
      <c r="AR9" s="327"/>
      <c r="AS9" s="327"/>
      <c r="AT9" s="327"/>
      <c r="AU9" s="327"/>
      <c r="AV9" s="327"/>
      <c r="AW9" s="54"/>
      <c r="AX9" s="54"/>
      <c r="AY9" s="54"/>
      <c r="AZ9" s="327"/>
      <c r="BA9" s="327"/>
      <c r="BB9" s="327"/>
      <c r="BC9" s="327"/>
      <c r="BD9" s="327"/>
      <c r="BE9" s="327"/>
      <c r="BF9" s="327"/>
      <c r="BG9" s="327"/>
      <c r="BH9" s="54"/>
      <c r="BI9" s="54"/>
      <c r="BJ9" s="327"/>
      <c r="BK9" s="327"/>
      <c r="BL9" s="327"/>
      <c r="BM9" s="327"/>
      <c r="BN9" s="327"/>
      <c r="BO9" s="327"/>
      <c r="BP9" s="327"/>
      <c r="BQ9" s="327"/>
      <c r="BR9" s="54"/>
      <c r="BS9" s="54"/>
      <c r="BT9" s="54"/>
      <c r="BU9" s="54"/>
      <c r="BV9" s="54"/>
      <c r="BW9" s="53"/>
      <c r="BX9" s="53"/>
      <c r="BY9" s="53"/>
      <c r="BZ9" s="53"/>
      <c r="CA9" s="53"/>
      <c r="CB9" s="53"/>
      <c r="CC9" s="53"/>
    </row>
    <row r="10" spans="1:81" s="1" customFormat="1" ht="15">
      <c r="A10" s="424"/>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6"/>
      <c r="AF10" s="6"/>
      <c r="AG10" s="6"/>
      <c r="AH10" s="6"/>
      <c r="AI10" s="6"/>
      <c r="AJ10" s="6"/>
      <c r="AK10" s="420"/>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row>
    <row r="11" spans="1:81" s="1" customFormat="1" ht="27.75" customHeight="1">
      <c r="A11" s="642" t="s">
        <v>330</v>
      </c>
      <c r="B11" s="643"/>
      <c r="C11" s="643"/>
      <c r="D11" s="643"/>
      <c r="E11" s="643"/>
      <c r="F11" s="643"/>
      <c r="G11" s="643"/>
      <c r="H11" s="643"/>
      <c r="I11" s="643"/>
      <c r="J11" s="643"/>
      <c r="K11" s="57"/>
      <c r="L11" s="57"/>
      <c r="M11" s="155"/>
      <c r="N11" s="57"/>
      <c r="O11" s="159"/>
      <c r="P11" s="57"/>
      <c r="Q11" s="57"/>
      <c r="R11" s="57"/>
      <c r="S11" s="57"/>
      <c r="T11" s="57"/>
      <c r="U11" s="57"/>
      <c r="V11" s="57"/>
      <c r="W11" s="57"/>
      <c r="X11" s="57"/>
      <c r="Y11" s="57"/>
      <c r="Z11" s="57"/>
      <c r="AA11" s="57"/>
      <c r="AB11" s="57"/>
      <c r="AC11" s="57"/>
      <c r="AD11" s="57"/>
      <c r="AE11" s="58"/>
      <c r="AF11" s="6"/>
      <c r="AG11" s="6"/>
      <c r="AH11" s="6"/>
      <c r="AI11" s="6"/>
      <c r="AJ11" s="6"/>
      <c r="AK11" s="420"/>
      <c r="AL11" s="6"/>
      <c r="AM11" s="6"/>
      <c r="AN11" s="6"/>
      <c r="AO11" s="6"/>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6"/>
      <c r="BY11" s="6"/>
      <c r="BZ11" s="6"/>
      <c r="CA11" s="6"/>
      <c r="CB11" s="6"/>
      <c r="CC11" s="6"/>
    </row>
    <row r="12" spans="1:92" s="11" customFormat="1" ht="27.75" customHeight="1">
      <c r="A12" s="425"/>
      <c r="B12" s="59"/>
      <c r="C12" s="59"/>
      <c r="D12" s="59"/>
      <c r="E12" s="60"/>
      <c r="F12" s="60"/>
      <c r="G12" s="60"/>
      <c r="H12" s="60"/>
      <c r="I12" s="60"/>
      <c r="J12" s="60"/>
      <c r="K12" s="60"/>
      <c r="L12" s="60"/>
      <c r="M12" s="154"/>
      <c r="N12" s="60"/>
      <c r="O12" s="60"/>
      <c r="P12" s="60"/>
      <c r="Q12" s="60"/>
      <c r="R12" s="60"/>
      <c r="S12" s="60"/>
      <c r="T12" s="60"/>
      <c r="U12" s="60"/>
      <c r="V12" s="60"/>
      <c r="W12" s="60"/>
      <c r="X12" s="60"/>
      <c r="Y12" s="60"/>
      <c r="Z12" s="60"/>
      <c r="AA12" s="60"/>
      <c r="AB12" s="60"/>
      <c r="AC12" s="60"/>
      <c r="AD12" s="60"/>
      <c r="AE12" s="53"/>
      <c r="AF12" s="53"/>
      <c r="AG12" s="53"/>
      <c r="AH12" s="53"/>
      <c r="AI12" s="53"/>
      <c r="AJ12" s="53"/>
      <c r="AK12" s="42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E12" s="326"/>
      <c r="CF12" s="326"/>
      <c r="CG12" s="71"/>
      <c r="CH12" s="71"/>
      <c r="CI12" s="71"/>
      <c r="CJ12" s="71"/>
      <c r="CK12" s="54"/>
      <c r="CL12" s="54"/>
      <c r="CM12" s="54"/>
      <c r="CN12" s="327"/>
    </row>
    <row r="13" spans="1:92" s="1" customFormat="1" ht="29.25" customHeight="1" outlineLevel="1">
      <c r="A13" s="416"/>
      <c r="B13" s="182" t="s">
        <v>8</v>
      </c>
      <c r="C13" s="183">
        <v>2018</v>
      </c>
      <c r="D13" s="184">
        <v>2019</v>
      </c>
      <c r="E13" s="190">
        <v>2020</v>
      </c>
      <c r="F13" s="60"/>
      <c r="G13" s="6"/>
      <c r="H13" s="60"/>
      <c r="I13" s="60"/>
      <c r="J13" s="60"/>
      <c r="K13" s="60"/>
      <c r="L13" s="55"/>
      <c r="M13" s="156"/>
      <c r="N13" s="55"/>
      <c r="O13" s="55"/>
      <c r="P13" s="55"/>
      <c r="Q13" s="55"/>
      <c r="R13" s="55"/>
      <c r="S13" s="55"/>
      <c r="T13" s="55"/>
      <c r="U13" s="55"/>
      <c r="V13" s="55"/>
      <c r="W13" s="55"/>
      <c r="X13" s="55"/>
      <c r="Y13" s="55"/>
      <c r="Z13" s="55"/>
      <c r="AA13" s="55"/>
      <c r="AB13" s="55"/>
      <c r="AC13" s="6"/>
      <c r="AD13" s="6"/>
      <c r="AE13" s="6"/>
      <c r="AF13" s="6"/>
      <c r="AG13" s="6"/>
      <c r="AH13" s="6"/>
      <c r="AI13" s="6"/>
      <c r="AJ13" s="6"/>
      <c r="AK13" s="420"/>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E13" s="6"/>
      <c r="CF13" s="6"/>
      <c r="CG13" s="6"/>
      <c r="CH13" s="6">
        <v>4760</v>
      </c>
      <c r="CI13" s="53" t="s">
        <v>84</v>
      </c>
      <c r="CJ13" s="258">
        <f>CH13*CK13</f>
        <v>571.1999999999999</v>
      </c>
      <c r="CK13" s="83">
        <v>0.12</v>
      </c>
      <c r="CL13" s="6"/>
      <c r="CM13" s="6"/>
      <c r="CN13" s="6"/>
    </row>
    <row r="14" spans="1:92" s="1" customFormat="1" ht="23.25" customHeight="1" outlineLevel="1">
      <c r="A14" s="424"/>
      <c r="B14" s="185" t="s">
        <v>25</v>
      </c>
      <c r="C14" s="186">
        <f>'Lh Budgetting'!O6+'Lh Budgetting'!O7+'Lh Budgetting'!O8+'Lh Budgetting'!O9</f>
        <v>63250000</v>
      </c>
      <c r="D14" s="187">
        <f>'Lh Budgetting'!P6+'Lh Budgetting'!P7+'Lh Budgetting'!P8+'Lh Budgetting'!P9</f>
        <v>63500000</v>
      </c>
      <c r="E14" s="191">
        <f>'Lh Budgetting'!Q6+'Lh Budgetting'!Q7+'Lh Budgetting'!Q8+'Lh Budgetting'!Q9</f>
        <v>68000000</v>
      </c>
      <c r="F14" s="60"/>
      <c r="G14" s="6"/>
      <c r="H14" s="60"/>
      <c r="I14" s="60"/>
      <c r="J14" s="60"/>
      <c r="K14" s="60"/>
      <c r="L14" s="55"/>
      <c r="M14" s="55"/>
      <c r="N14" s="55"/>
      <c r="O14" s="55"/>
      <c r="P14" s="55"/>
      <c r="Q14" s="55"/>
      <c r="R14" s="55"/>
      <c r="S14" s="55"/>
      <c r="T14" s="55"/>
      <c r="U14" s="55"/>
      <c r="V14" s="55"/>
      <c r="W14" s="55"/>
      <c r="X14" s="55"/>
      <c r="Y14" s="55"/>
      <c r="Z14" s="162"/>
      <c r="AA14" s="55"/>
      <c r="AB14" s="55"/>
      <c r="AC14" s="6"/>
      <c r="AD14" s="6"/>
      <c r="AE14" s="336"/>
      <c r="AF14" s="6"/>
      <c r="AG14" s="6"/>
      <c r="AH14" s="6"/>
      <c r="AI14" s="6"/>
      <c r="AJ14" s="6"/>
      <c r="AK14" s="420"/>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E14" s="58"/>
      <c r="CF14" s="53"/>
      <c r="CG14" s="53"/>
      <c r="CH14" s="585" t="s">
        <v>270</v>
      </c>
      <c r="CI14" s="86" t="s">
        <v>85</v>
      </c>
      <c r="CJ14" s="258">
        <f>CH13*CK14</f>
        <v>856.8</v>
      </c>
      <c r="CK14" s="84">
        <v>0.18</v>
      </c>
      <c r="CL14" s="53"/>
      <c r="CM14" s="53"/>
      <c r="CN14" s="53"/>
    </row>
    <row r="15" spans="1:92" s="1" customFormat="1" ht="23.25" customHeight="1" outlineLevel="1">
      <c r="A15" s="416"/>
      <c r="B15" s="132" t="s">
        <v>23</v>
      </c>
      <c r="C15" s="62">
        <v>0</v>
      </c>
      <c r="D15" s="63">
        <v>0</v>
      </c>
      <c r="E15" s="222">
        <v>0</v>
      </c>
      <c r="F15" s="60"/>
      <c r="G15" s="6"/>
      <c r="H15" s="60"/>
      <c r="I15" s="60"/>
      <c r="J15" s="60"/>
      <c r="K15" s="60"/>
      <c r="L15" s="55"/>
      <c r="M15" s="55"/>
      <c r="N15" s="55"/>
      <c r="O15" s="55"/>
      <c r="P15" s="55"/>
      <c r="Q15" s="55"/>
      <c r="R15" s="55"/>
      <c r="S15" s="55"/>
      <c r="T15" s="55"/>
      <c r="U15" s="55"/>
      <c r="V15" s="55"/>
      <c r="W15" s="55"/>
      <c r="X15" s="55"/>
      <c r="Y15" s="55"/>
      <c r="Z15" s="55"/>
      <c r="AA15" s="162"/>
      <c r="AB15" s="55"/>
      <c r="AC15" s="55"/>
      <c r="AD15" s="55"/>
      <c r="AE15" s="55"/>
      <c r="AF15" s="6"/>
      <c r="AG15" s="6"/>
      <c r="AH15" s="6"/>
      <c r="AI15" s="6"/>
      <c r="AJ15" s="6"/>
      <c r="AK15" s="420"/>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E15" s="53"/>
      <c r="CF15" s="53"/>
      <c r="CG15" s="53"/>
      <c r="CH15" s="585"/>
      <c r="CI15" s="87" t="s">
        <v>86</v>
      </c>
      <c r="CJ15" s="258">
        <f>CH13*CK15</f>
        <v>142.79999999999998</v>
      </c>
      <c r="CK15" s="84">
        <v>0.03</v>
      </c>
      <c r="CL15" s="53"/>
      <c r="CM15" s="53"/>
      <c r="CN15" s="323"/>
    </row>
    <row r="16" spans="1:92" s="1" customFormat="1" ht="23.25" customHeight="1" outlineLevel="1">
      <c r="A16" s="416"/>
      <c r="B16" s="132" t="s">
        <v>24</v>
      </c>
      <c r="C16" s="62">
        <v>1</v>
      </c>
      <c r="D16" s="63">
        <v>1</v>
      </c>
      <c r="E16" s="222">
        <v>1</v>
      </c>
      <c r="F16" s="60"/>
      <c r="G16" s="6"/>
      <c r="H16" s="60"/>
      <c r="I16" s="158"/>
      <c r="J16" s="60"/>
      <c r="K16" s="60"/>
      <c r="L16" s="55"/>
      <c r="M16" s="55"/>
      <c r="N16" s="55"/>
      <c r="O16" s="55"/>
      <c r="P16" s="55"/>
      <c r="Q16" s="55"/>
      <c r="R16" s="55"/>
      <c r="S16" s="55"/>
      <c r="T16" s="55"/>
      <c r="U16" s="55"/>
      <c r="V16" s="55"/>
      <c r="W16" s="55"/>
      <c r="X16" s="55"/>
      <c r="Y16" s="55"/>
      <c r="Z16" s="55"/>
      <c r="AA16" s="55"/>
      <c r="AB16" s="55"/>
      <c r="AC16" s="55"/>
      <c r="AD16" s="55"/>
      <c r="AE16" s="55"/>
      <c r="AF16" s="6"/>
      <c r="AG16" s="6"/>
      <c r="AH16" s="6"/>
      <c r="AI16" s="6"/>
      <c r="AJ16" s="6"/>
      <c r="AK16" s="420"/>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E16" s="6">
        <f>AA5/2</f>
        <v>3005.525641025641</v>
      </c>
      <c r="CF16" s="6"/>
      <c r="CG16" s="6"/>
      <c r="CH16" s="585"/>
      <c r="CI16" s="87" t="s">
        <v>87</v>
      </c>
      <c r="CJ16" s="258">
        <f>CH13*CK16</f>
        <v>1190</v>
      </c>
      <c r="CK16" s="83">
        <v>0.25</v>
      </c>
      <c r="CL16" s="6"/>
      <c r="CM16" s="6"/>
      <c r="CN16" s="6"/>
    </row>
    <row r="17" spans="1:92" s="1" customFormat="1" ht="19.5" customHeight="1" outlineLevel="1">
      <c r="A17" s="416"/>
      <c r="B17" s="47"/>
      <c r="C17" s="47"/>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6"/>
      <c r="AG17" s="6"/>
      <c r="AH17" s="6"/>
      <c r="AI17" s="6"/>
      <c r="AJ17" s="6"/>
      <c r="AK17" s="4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E17" s="72"/>
      <c r="CF17" s="72"/>
      <c r="CG17" s="72"/>
      <c r="CH17" s="585"/>
      <c r="CI17" s="87" t="s">
        <v>88</v>
      </c>
      <c r="CJ17" s="258">
        <f>CH13*CK17</f>
        <v>618.8000000000001</v>
      </c>
      <c r="CK17" s="83">
        <v>0.13</v>
      </c>
      <c r="CL17" s="6"/>
      <c r="CM17" s="6"/>
      <c r="CN17" s="6"/>
    </row>
    <row r="18" spans="1:81" ht="21" outlineLevel="1">
      <c r="A18" s="605" t="s">
        <v>44</v>
      </c>
      <c r="B18" s="606"/>
      <c r="C18" s="606"/>
      <c r="D18" s="606"/>
      <c r="E18" s="606"/>
      <c r="F18" s="606"/>
      <c r="G18" s="606"/>
      <c r="H18" s="286"/>
      <c r="I18" s="286"/>
      <c r="J18" s="286"/>
      <c r="K18" s="286"/>
      <c r="L18" s="636" t="s">
        <v>190</v>
      </c>
      <c r="M18" s="637"/>
      <c r="N18" s="637"/>
      <c r="O18" s="638"/>
      <c r="P18" s="639" t="s">
        <v>210</v>
      </c>
      <c r="Q18" s="640"/>
      <c r="R18" s="640"/>
      <c r="S18" s="641"/>
      <c r="T18" s="651" t="s">
        <v>230</v>
      </c>
      <c r="U18" s="652"/>
      <c r="V18" s="652"/>
      <c r="W18" s="652"/>
      <c r="AA18" s="635" t="s">
        <v>287</v>
      </c>
      <c r="AB18" s="635"/>
      <c r="AC18" s="635"/>
      <c r="AD18" s="635"/>
      <c r="AE18" s="635"/>
      <c r="AF18" s="635"/>
      <c r="AG18" s="635"/>
      <c r="AH18" s="635"/>
      <c r="AI18" s="6"/>
      <c r="AJ18" s="6"/>
      <c r="AK18" s="6"/>
      <c r="AL18" s="616" t="s">
        <v>284</v>
      </c>
      <c r="AM18" s="616"/>
      <c r="AN18" s="616"/>
      <c r="AO18" s="616"/>
      <c r="AP18" s="616"/>
      <c r="AQ18" s="616"/>
      <c r="AR18" s="616"/>
      <c r="AS18" s="616"/>
      <c r="AT18" s="6"/>
      <c r="AU18" s="6"/>
      <c r="AV18" s="656" t="s">
        <v>286</v>
      </c>
      <c r="AW18" s="656"/>
      <c r="AX18" s="656"/>
      <c r="AY18" s="656"/>
      <c r="AZ18" s="656"/>
      <c r="BA18" s="656"/>
      <c r="BB18" s="656"/>
      <c r="BC18" s="656"/>
      <c r="BD18" s="6"/>
      <c r="BE18" s="6"/>
      <c r="BF18" s="6"/>
      <c r="BG18" s="6"/>
      <c r="BH18" s="6"/>
      <c r="BI18" s="6"/>
      <c r="BJ18" s="6"/>
      <c r="BK18" s="6"/>
      <c r="BL18" s="6"/>
      <c r="BM18" s="6"/>
      <c r="BP18"/>
      <c r="BQ18" s="6"/>
      <c r="BR18" s="6"/>
      <c r="BS18" s="6"/>
      <c r="BT18" s="585"/>
      <c r="BU18" s="87" t="s">
        <v>89</v>
      </c>
      <c r="BV18" s="258">
        <f>CH13*BW18</f>
        <v>523.6</v>
      </c>
      <c r="BW18" s="85">
        <v>0.11</v>
      </c>
      <c r="BX18" s="46"/>
      <c r="BY18" s="46"/>
      <c r="BZ18" s="46"/>
      <c r="CA18"/>
      <c r="CB18"/>
      <c r="CC18"/>
    </row>
    <row r="19" spans="1:81" ht="29.25" customHeight="1" outlineLevel="1" thickBot="1">
      <c r="A19" s="418" t="s">
        <v>5</v>
      </c>
      <c r="B19" s="34" t="s">
        <v>7</v>
      </c>
      <c r="C19" s="34" t="s">
        <v>2</v>
      </c>
      <c r="D19" s="608" t="s">
        <v>46</v>
      </c>
      <c r="E19" s="608"/>
      <c r="F19" s="339" t="s">
        <v>9</v>
      </c>
      <c r="G19" s="339" t="s">
        <v>0</v>
      </c>
      <c r="H19" s="205" t="s">
        <v>345</v>
      </c>
      <c r="I19" s="30" t="s">
        <v>33</v>
      </c>
      <c r="J19" s="43" t="s">
        <v>193</v>
      </c>
      <c r="K19" s="181" t="s">
        <v>43</v>
      </c>
      <c r="L19" s="30" t="s">
        <v>58</v>
      </c>
      <c r="M19" s="30" t="s">
        <v>59</v>
      </c>
      <c r="N19" s="30" t="s">
        <v>60</v>
      </c>
      <c r="O19" s="30" t="s">
        <v>228</v>
      </c>
      <c r="P19" s="43" t="s">
        <v>58</v>
      </c>
      <c r="Q19" s="200" t="s">
        <v>59</v>
      </c>
      <c r="R19" s="43" t="s">
        <v>60</v>
      </c>
      <c r="S19" s="200" t="s">
        <v>61</v>
      </c>
      <c r="T19" s="181" t="s">
        <v>58</v>
      </c>
      <c r="U19" s="319" t="s">
        <v>59</v>
      </c>
      <c r="V19" s="181" t="s">
        <v>60</v>
      </c>
      <c r="W19" s="319" t="s">
        <v>61</v>
      </c>
      <c r="AA19" s="445" t="s">
        <v>10</v>
      </c>
      <c r="AB19" s="445" t="s">
        <v>15</v>
      </c>
      <c r="AC19" s="445" t="s">
        <v>22</v>
      </c>
      <c r="AD19" s="445" t="s">
        <v>12</v>
      </c>
      <c r="AE19" s="445" t="s">
        <v>13</v>
      </c>
      <c r="AF19" s="445" t="s">
        <v>282</v>
      </c>
      <c r="AG19" s="445" t="s">
        <v>283</v>
      </c>
      <c r="AH19" s="445" t="s">
        <v>14</v>
      </c>
      <c r="AI19" s="6"/>
      <c r="AJ19" s="6"/>
      <c r="AK19" s="6"/>
      <c r="AL19" s="446" t="s">
        <v>10</v>
      </c>
      <c r="AM19" s="446" t="s">
        <v>15</v>
      </c>
      <c r="AN19" s="446" t="s">
        <v>285</v>
      </c>
      <c r="AO19" s="446" t="s">
        <v>12</v>
      </c>
      <c r="AP19" s="446" t="s">
        <v>13</v>
      </c>
      <c r="AQ19" s="446" t="s">
        <v>282</v>
      </c>
      <c r="AR19" s="446" t="s">
        <v>283</v>
      </c>
      <c r="AS19" s="446" t="s">
        <v>14</v>
      </c>
      <c r="AT19" s="6"/>
      <c r="AU19" s="6"/>
      <c r="AV19" s="447" t="s">
        <v>10</v>
      </c>
      <c r="AW19" s="447" t="s">
        <v>15</v>
      </c>
      <c r="AX19" s="447" t="s">
        <v>285</v>
      </c>
      <c r="AY19" s="447" t="s">
        <v>12</v>
      </c>
      <c r="AZ19" s="447" t="s">
        <v>13</v>
      </c>
      <c r="BA19" s="447" t="s">
        <v>282</v>
      </c>
      <c r="BB19" s="447" t="s">
        <v>283</v>
      </c>
      <c r="BC19" s="447" t="s">
        <v>14</v>
      </c>
      <c r="BD19" s="6"/>
      <c r="BE19" s="6"/>
      <c r="BF19" s="6"/>
      <c r="BG19" s="6"/>
      <c r="BH19" s="6"/>
      <c r="BI19" s="6"/>
      <c r="BJ19" s="6"/>
      <c r="BK19" s="6"/>
      <c r="BL19" s="6"/>
      <c r="BM19" s="6"/>
      <c r="BP19"/>
      <c r="BQ19" s="6"/>
      <c r="BR19" s="6"/>
      <c r="BS19" s="6"/>
      <c r="BT19" s="585"/>
      <c r="BU19" s="88" t="s">
        <v>90</v>
      </c>
      <c r="BV19" s="258">
        <f>CH13*BW19</f>
        <v>476</v>
      </c>
      <c r="BW19" s="85">
        <v>0.1</v>
      </c>
      <c r="BX19" s="46"/>
      <c r="BY19" s="46"/>
      <c r="BZ19" s="46"/>
      <c r="CA19"/>
      <c r="CB19"/>
      <c r="CC19"/>
    </row>
    <row r="20" spans="1:81" ht="132" customHeight="1" outlineLevel="1">
      <c r="A20" s="426" t="s">
        <v>17</v>
      </c>
      <c r="B20" s="188" t="s">
        <v>261</v>
      </c>
      <c r="C20" s="188" t="s">
        <v>262</v>
      </c>
      <c r="D20" s="644" t="s">
        <v>224</v>
      </c>
      <c r="E20" s="644"/>
      <c r="F20" s="10" t="s">
        <v>269</v>
      </c>
      <c r="G20" s="10" t="s">
        <v>263</v>
      </c>
      <c r="H20" s="255">
        <v>648</v>
      </c>
      <c r="I20" s="35">
        <f>SUM(L20:P20)</f>
        <v>4990</v>
      </c>
      <c r="J20" s="38">
        <f>SUM(P20:S20)</f>
        <v>3030</v>
      </c>
      <c r="K20" s="174">
        <f>SUM(T20:W20)</f>
        <v>3020</v>
      </c>
      <c r="L20" s="586">
        <v>2000</v>
      </c>
      <c r="M20" s="587">
        <v>850</v>
      </c>
      <c r="N20" s="587">
        <v>150</v>
      </c>
      <c r="O20" s="588">
        <v>90</v>
      </c>
      <c r="P20" s="38">
        <v>1900</v>
      </c>
      <c r="Q20" s="42">
        <v>900</v>
      </c>
      <c r="R20" s="38">
        <v>150</v>
      </c>
      <c r="S20" s="42">
        <v>80</v>
      </c>
      <c r="T20" s="174">
        <v>1750</v>
      </c>
      <c r="U20" s="165">
        <v>1000</v>
      </c>
      <c r="V20" s="174">
        <v>200</v>
      </c>
      <c r="W20" s="165">
        <v>70</v>
      </c>
      <c r="AA20" s="164">
        <f>AS5</f>
        <v>314.305215</v>
      </c>
      <c r="AB20" s="164">
        <f>AX5</f>
        <v>1453.11075</v>
      </c>
      <c r="AC20" s="164">
        <f>BC5</f>
        <v>404.10247499999997</v>
      </c>
      <c r="AD20" s="164">
        <f>BH5</f>
        <v>4.0817385</v>
      </c>
      <c r="AE20" s="164">
        <f>BM5</f>
        <v>2232.7914</v>
      </c>
      <c r="AF20" s="164">
        <f>BR5</f>
        <v>159.19323</v>
      </c>
      <c r="AG20" s="164">
        <f>BW5</f>
        <v>204.09186</v>
      </c>
      <c r="AH20" s="164">
        <f>CB5</f>
        <v>163.27447500000002</v>
      </c>
      <c r="AL20" s="164">
        <f>J20*12%</f>
        <v>363.59999999999997</v>
      </c>
      <c r="AM20" s="164">
        <f>J20*18%</f>
        <v>545.4</v>
      </c>
      <c r="AN20" s="164">
        <f>J20*25%</f>
        <v>757.5</v>
      </c>
      <c r="AO20" s="164">
        <f>J20*3%</f>
        <v>90.89999999999999</v>
      </c>
      <c r="AP20" s="164">
        <f>J20*13%</f>
        <v>393.90000000000003</v>
      </c>
      <c r="AQ20" s="164">
        <f>J20*11%</f>
        <v>333.3</v>
      </c>
      <c r="AR20" s="164">
        <f>J20*10%</f>
        <v>303</v>
      </c>
      <c r="AS20" s="164">
        <f>J20*8%</f>
        <v>242.4</v>
      </c>
      <c r="AV20" s="164">
        <f>K20*12%</f>
        <v>362.4</v>
      </c>
      <c r="AW20" s="164">
        <f>K20*18%</f>
        <v>543.6</v>
      </c>
      <c r="AX20" s="164">
        <f>K20*25%</f>
        <v>755</v>
      </c>
      <c r="AY20" s="164">
        <f>K20*3%</f>
        <v>90.6</v>
      </c>
      <c r="AZ20" s="164">
        <f>K20*13%</f>
        <v>392.6</v>
      </c>
      <c r="BA20" s="164">
        <f>K20*11%</f>
        <v>332.2</v>
      </c>
      <c r="BB20" s="164">
        <f>K20*10%</f>
        <v>302</v>
      </c>
      <c r="BC20" s="164">
        <f>K20*8%</f>
        <v>241.6</v>
      </c>
      <c r="BP20"/>
      <c r="BQ20" s="6"/>
      <c r="BR20" s="6"/>
      <c r="BS20" s="6"/>
      <c r="BT20" s="585"/>
      <c r="BU20" s="6" t="s">
        <v>91</v>
      </c>
      <c r="BV20" s="258">
        <f>CH13*BW20</f>
        <v>380.8</v>
      </c>
      <c r="BW20" s="83">
        <v>0.08</v>
      </c>
      <c r="BX20" s="1"/>
      <c r="BY20" s="1"/>
      <c r="BZ20" s="1"/>
      <c r="CA20"/>
      <c r="CB20"/>
      <c r="CC20"/>
    </row>
    <row r="21" spans="1:81" ht="88.5" customHeight="1" outlineLevel="1">
      <c r="A21" s="421" t="s">
        <v>18</v>
      </c>
      <c r="B21" s="9" t="s">
        <v>161</v>
      </c>
      <c r="C21" s="9" t="s">
        <v>54</v>
      </c>
      <c r="D21" s="604" t="s">
        <v>50</v>
      </c>
      <c r="E21" s="604"/>
      <c r="F21" s="9" t="s">
        <v>56</v>
      </c>
      <c r="G21" s="9" t="s">
        <v>52</v>
      </c>
      <c r="H21" s="167">
        <v>87</v>
      </c>
      <c r="I21" s="35">
        <v>1091.2582200000002</v>
      </c>
      <c r="J21" s="38">
        <v>1087.2112679999998</v>
      </c>
      <c r="K21" s="174">
        <v>1133.27916</v>
      </c>
      <c r="L21" s="35">
        <v>706.316</v>
      </c>
      <c r="M21" s="36">
        <v>300.18430000000006</v>
      </c>
      <c r="N21" s="35">
        <v>52.9737</v>
      </c>
      <c r="O21" s="36">
        <v>31.784220000000005</v>
      </c>
      <c r="P21" s="38">
        <v>681.7496399999999</v>
      </c>
      <c r="Q21" s="42">
        <v>322.93404</v>
      </c>
      <c r="R21" s="38">
        <v>53.82234</v>
      </c>
      <c r="S21" s="42">
        <v>28.705248</v>
      </c>
      <c r="T21" s="174">
        <v>656.7015</v>
      </c>
      <c r="U21" s="165">
        <v>375.258</v>
      </c>
      <c r="V21" s="174">
        <v>75.0516</v>
      </c>
      <c r="W21" s="165">
        <v>26.26806</v>
      </c>
      <c r="AA21" s="448">
        <v>130.9509864</v>
      </c>
      <c r="AB21" s="448">
        <v>196.42647960000002</v>
      </c>
      <c r="AC21" s="448">
        <v>272.81455500000004</v>
      </c>
      <c r="AD21" s="448">
        <v>32.7377466</v>
      </c>
      <c r="AE21" s="448">
        <v>141.86356860000004</v>
      </c>
      <c r="AF21" s="448">
        <v>120.03840420000002</v>
      </c>
      <c r="AG21" s="448">
        <v>109.12582200000003</v>
      </c>
      <c r="AH21" s="448">
        <v>87.30065760000001</v>
      </c>
      <c r="AL21" s="448">
        <v>130.46535215999998</v>
      </c>
      <c r="AM21" s="448">
        <v>195.69802823999996</v>
      </c>
      <c r="AN21" s="448">
        <v>271.80281699999995</v>
      </c>
      <c r="AO21" s="448">
        <v>32.616338039999995</v>
      </c>
      <c r="AP21" s="448">
        <v>141.33746483999997</v>
      </c>
      <c r="AQ21" s="448">
        <v>119.59323947999998</v>
      </c>
      <c r="AR21" s="448">
        <v>108.72112679999998</v>
      </c>
      <c r="AS21" s="448">
        <v>86.97690143999999</v>
      </c>
      <c r="AV21" s="448">
        <v>135.9934992</v>
      </c>
      <c r="AW21" s="448">
        <v>203.9902488</v>
      </c>
      <c r="AX21" s="448">
        <v>283.31979</v>
      </c>
      <c r="AY21" s="448">
        <v>33.9983748</v>
      </c>
      <c r="AZ21" s="448">
        <v>147.3262908</v>
      </c>
      <c r="BA21" s="448">
        <v>124.66070760000001</v>
      </c>
      <c r="BB21" s="448">
        <v>113.32791600000002</v>
      </c>
      <c r="BC21" s="448">
        <v>90.6623328</v>
      </c>
      <c r="BP21"/>
      <c r="BQ21"/>
      <c r="BR21"/>
      <c r="BS21"/>
      <c r="BT21"/>
      <c r="BU21"/>
      <c r="BV21"/>
      <c r="BW21"/>
      <c r="BX21"/>
      <c r="BY21"/>
      <c r="BZ21"/>
      <c r="CA21"/>
      <c r="CB21"/>
      <c r="CC21"/>
    </row>
    <row r="22" spans="2:91" ht="31.5" customHeight="1" outlineLevel="1">
      <c r="B22" s="55"/>
      <c r="C22" s="55"/>
      <c r="D22" s="55"/>
      <c r="E22" s="55"/>
      <c r="F22" s="162"/>
      <c r="G22" s="55"/>
      <c r="H22" s="55"/>
      <c r="I22" s="55"/>
      <c r="J22" s="55"/>
      <c r="K22" s="55"/>
      <c r="L22" s="55"/>
      <c r="M22" s="55"/>
      <c r="N22" s="55"/>
      <c r="O22" s="55"/>
      <c r="P22" s="55"/>
      <c r="Q22" s="55"/>
      <c r="R22" s="55"/>
      <c r="S22" s="55"/>
      <c r="Z22" s="164"/>
      <c r="AG22" s="6"/>
      <c r="AH22" s="6"/>
      <c r="AJ22" s="164"/>
      <c r="AK22" s="417"/>
      <c r="AM22" s="64"/>
      <c r="AO22" s="65"/>
      <c r="AP22" s="65"/>
      <c r="AQ22" s="65"/>
      <c r="AR22" s="65"/>
      <c r="AS22" s="65"/>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4"/>
      <c r="CA22" s="54"/>
      <c r="CB22" s="54"/>
      <c r="CC22" s="47"/>
      <c r="CJ22" s="47"/>
      <c r="CK22" s="47" t="s">
        <v>77</v>
      </c>
      <c r="CL22" s="257" t="e">
        <f>W20+#REF!+AB20+AG20+AL20+AQ20+AV20+BA20</f>
        <v>#REF!</v>
      </c>
      <c r="CM22" s="67"/>
    </row>
    <row r="23" spans="1:91" ht="21" outlineLevel="1">
      <c r="A23" s="427" t="s">
        <v>49</v>
      </c>
      <c r="B23" s="303"/>
      <c r="C23" s="303"/>
      <c r="D23" s="303"/>
      <c r="E23" s="303"/>
      <c r="F23" s="303"/>
      <c r="G23" s="303"/>
      <c r="H23" s="303"/>
      <c r="I23" s="303"/>
      <c r="J23" s="303"/>
      <c r="K23" s="304"/>
      <c r="L23" s="69"/>
      <c r="M23" s="69"/>
      <c r="N23" s="69"/>
      <c r="O23" s="69"/>
      <c r="P23" s="69"/>
      <c r="Q23" s="69"/>
      <c r="R23" s="69"/>
      <c r="S23" s="69"/>
      <c r="T23" s="69"/>
      <c r="U23" s="69"/>
      <c r="V23" s="69"/>
      <c r="W23" s="69"/>
      <c r="X23" s="69"/>
      <c r="Y23" s="69"/>
      <c r="Z23" s="69"/>
      <c r="AA23" s="69"/>
      <c r="AB23" s="69"/>
      <c r="AC23" s="69"/>
      <c r="AD23" s="69"/>
      <c r="AE23" s="69"/>
      <c r="AF23" s="256"/>
      <c r="AK23" s="417"/>
      <c r="AM23" s="54"/>
      <c r="AN23" s="615"/>
      <c r="AO23" s="615"/>
      <c r="AP23" s="615"/>
      <c r="AQ23" s="615"/>
      <c r="AR23" s="615"/>
      <c r="AS23" s="615"/>
      <c r="AT23" s="615"/>
      <c r="AU23" s="615"/>
      <c r="AV23" s="615"/>
      <c r="AW23" s="615"/>
      <c r="AX23" s="615"/>
      <c r="AY23" s="615"/>
      <c r="AZ23" s="615"/>
      <c r="BA23" s="615"/>
      <c r="BB23" s="615"/>
      <c r="BC23" s="615"/>
      <c r="BD23" s="615"/>
      <c r="BE23" s="615"/>
      <c r="BF23" s="615"/>
      <c r="BG23" s="615"/>
      <c r="BH23" s="615"/>
      <c r="BI23" s="615"/>
      <c r="BJ23" s="615"/>
      <c r="BK23" s="615"/>
      <c r="BL23" s="615"/>
      <c r="BM23" s="615"/>
      <c r="BN23" s="615"/>
      <c r="BO23" s="615"/>
      <c r="BP23" s="615"/>
      <c r="BQ23" s="615"/>
      <c r="BV23" s="335"/>
      <c r="BW23" s="615"/>
      <c r="BX23" s="615"/>
      <c r="BY23" s="615"/>
      <c r="BZ23" s="615"/>
      <c r="CA23" s="615"/>
      <c r="CB23" s="54"/>
      <c r="CC23" s="47"/>
      <c r="CJ23" s="47"/>
      <c r="CK23" s="47" t="s">
        <v>232</v>
      </c>
      <c r="CL23" s="257" t="e">
        <f>#REF!+X20+AC20+AH20+AM20+AR20+AW20+BB20</f>
        <v>#REF!</v>
      </c>
      <c r="CM23" s="68"/>
    </row>
    <row r="24" spans="1:91" ht="24" customHeight="1" outlineLevel="1">
      <c r="A24" s="621" t="s">
        <v>62</v>
      </c>
      <c r="B24" s="622"/>
      <c r="C24" s="622"/>
      <c r="D24" s="622"/>
      <c r="E24" s="622"/>
      <c r="F24" s="622"/>
      <c r="G24" s="622"/>
      <c r="H24" s="622"/>
      <c r="I24" s="622"/>
      <c r="J24" s="622"/>
      <c r="K24" s="623"/>
      <c r="L24" s="71"/>
      <c r="M24" s="71"/>
      <c r="N24" s="71"/>
      <c r="AH24" s="67"/>
      <c r="AI24" s="67"/>
      <c r="AJ24" s="67"/>
      <c r="AK24" s="431"/>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CC24" s="47"/>
      <c r="CJ24" s="47"/>
      <c r="CK24" s="54" t="s">
        <v>233</v>
      </c>
      <c r="CL24" s="257" t="e">
        <f>#REF!+Y20+AD20+AI20+AN20+AS20+AX20+BC20</f>
        <v>#REF!</v>
      </c>
      <c r="CM24" s="68"/>
    </row>
    <row r="25" spans="1:91" ht="24" customHeight="1" outlineLevel="1">
      <c r="A25" s="609" t="s">
        <v>63</v>
      </c>
      <c r="B25" s="610"/>
      <c r="C25" s="610"/>
      <c r="D25" s="610"/>
      <c r="E25" s="610"/>
      <c r="F25" s="610"/>
      <c r="G25" s="610"/>
      <c r="H25" s="610"/>
      <c r="I25" s="610"/>
      <c r="J25" s="610"/>
      <c r="K25" s="611"/>
      <c r="L25" s="70"/>
      <c r="M25" s="70"/>
      <c r="N25" s="70"/>
      <c r="AH25" s="68"/>
      <c r="AI25" s="68"/>
      <c r="AJ25" s="68"/>
      <c r="AK25" s="432"/>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CC25" s="47"/>
      <c r="CJ25" s="47"/>
      <c r="CK25" s="54" t="s">
        <v>234</v>
      </c>
      <c r="CL25" s="257" t="e">
        <f>#REF!+Z20+AE20+AJ20+AO20+AT20+AY20+BD20</f>
        <v>#REF!</v>
      </c>
      <c r="CM25" s="68"/>
    </row>
    <row r="26" spans="1:81" ht="24" customHeight="1" outlineLevel="1">
      <c r="A26" s="669" t="s">
        <v>64</v>
      </c>
      <c r="B26" s="670"/>
      <c r="C26" s="670"/>
      <c r="D26" s="670"/>
      <c r="E26" s="670"/>
      <c r="F26" s="670"/>
      <c r="G26" s="670"/>
      <c r="H26" s="670"/>
      <c r="I26" s="670"/>
      <c r="J26" s="670"/>
      <c r="K26" s="671"/>
      <c r="L26" s="70"/>
      <c r="M26" s="70"/>
      <c r="N26" s="70"/>
      <c r="AH26" s="68"/>
      <c r="AI26" s="68"/>
      <c r="AJ26" s="68"/>
      <c r="AK26" s="432"/>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CC26" s="47"/>
    </row>
    <row r="27" spans="1:81" ht="24" customHeight="1" outlineLevel="1">
      <c r="A27" s="609" t="s">
        <v>65</v>
      </c>
      <c r="B27" s="610"/>
      <c r="C27" s="610"/>
      <c r="D27" s="610"/>
      <c r="E27" s="610"/>
      <c r="F27" s="610"/>
      <c r="G27" s="610"/>
      <c r="H27" s="610"/>
      <c r="I27" s="610"/>
      <c r="J27" s="610"/>
      <c r="K27" s="611"/>
      <c r="L27" s="70"/>
      <c r="M27" s="70"/>
      <c r="N27" s="70"/>
      <c r="AH27" s="68"/>
      <c r="AI27" s="68"/>
      <c r="AJ27" s="68"/>
      <c r="AK27" s="432"/>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54"/>
      <c r="CC27" s="47"/>
    </row>
    <row r="28" spans="1:81" s="77" customFormat="1" ht="24" customHeight="1" outlineLevel="1">
      <c r="A28" s="669" t="s">
        <v>66</v>
      </c>
      <c r="B28" s="670"/>
      <c r="C28" s="670"/>
      <c r="D28" s="670"/>
      <c r="E28" s="670"/>
      <c r="F28" s="670"/>
      <c r="G28" s="670"/>
      <c r="H28" s="670"/>
      <c r="I28" s="670"/>
      <c r="J28" s="670"/>
      <c r="K28" s="671"/>
      <c r="L28" s="73"/>
      <c r="M28" s="73"/>
      <c r="N28" s="73"/>
      <c r="O28" s="74"/>
      <c r="P28" s="74"/>
      <c r="Q28" s="74"/>
      <c r="R28" s="74"/>
      <c r="S28" s="74"/>
      <c r="T28" s="74"/>
      <c r="U28" s="74"/>
      <c r="V28" s="74"/>
      <c r="W28" s="74"/>
      <c r="X28" s="74"/>
      <c r="Y28" s="74"/>
      <c r="Z28" s="74"/>
      <c r="AA28" s="74"/>
      <c r="AB28" s="74"/>
      <c r="AC28" s="74"/>
      <c r="AD28" s="74"/>
      <c r="AE28" s="74"/>
      <c r="AF28" s="75"/>
      <c r="AG28" s="76"/>
      <c r="AH28" s="76"/>
      <c r="AI28" s="76"/>
      <c r="AJ28" s="76"/>
      <c r="AK28" s="439"/>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4"/>
      <c r="BV28" s="74"/>
      <c r="BW28" s="74"/>
      <c r="BX28" s="74"/>
      <c r="BY28" s="74"/>
      <c r="BZ28" s="74"/>
      <c r="CA28" s="74"/>
      <c r="CB28" s="74"/>
      <c r="CC28" s="74"/>
    </row>
    <row r="29" spans="1:81" s="77" customFormat="1" ht="24" customHeight="1" outlineLevel="1">
      <c r="A29" s="609" t="s">
        <v>290</v>
      </c>
      <c r="B29" s="610"/>
      <c r="C29" s="610"/>
      <c r="D29" s="610"/>
      <c r="E29" s="610"/>
      <c r="F29" s="610"/>
      <c r="G29" s="610"/>
      <c r="H29" s="610"/>
      <c r="I29" s="610"/>
      <c r="J29" s="610"/>
      <c r="K29" s="611"/>
      <c r="L29" s="73"/>
      <c r="M29" s="73"/>
      <c r="N29" s="73"/>
      <c r="O29" s="74"/>
      <c r="P29" s="74"/>
      <c r="Q29" s="74"/>
      <c r="R29" s="74"/>
      <c r="S29" s="74"/>
      <c r="T29" s="74"/>
      <c r="U29" s="74"/>
      <c r="V29" s="74"/>
      <c r="W29" s="74"/>
      <c r="X29" s="74"/>
      <c r="Y29" s="74"/>
      <c r="Z29" s="74"/>
      <c r="AA29" s="74"/>
      <c r="AB29" s="74"/>
      <c r="AC29" s="74"/>
      <c r="AD29" s="74"/>
      <c r="AE29" s="74"/>
      <c r="AF29" s="75"/>
      <c r="AG29" s="76"/>
      <c r="AH29" s="76"/>
      <c r="AI29" s="76"/>
      <c r="AJ29" s="76"/>
      <c r="AK29" s="439"/>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4"/>
      <c r="BV29" s="74"/>
      <c r="BW29" s="74"/>
      <c r="BX29" s="74"/>
      <c r="BY29" s="74"/>
      <c r="BZ29" s="74"/>
      <c r="CA29" s="74"/>
      <c r="CB29" s="74"/>
      <c r="CC29" s="74"/>
    </row>
    <row r="30" spans="1:81" s="77" customFormat="1" ht="24" customHeight="1" outlineLevel="1">
      <c r="A30" s="612" t="s">
        <v>293</v>
      </c>
      <c r="B30" s="613"/>
      <c r="C30" s="613"/>
      <c r="D30" s="613"/>
      <c r="E30" s="613"/>
      <c r="F30" s="613"/>
      <c r="G30" s="613"/>
      <c r="H30" s="613"/>
      <c r="I30" s="613"/>
      <c r="J30" s="613"/>
      <c r="K30" s="614"/>
      <c r="L30" s="73"/>
      <c r="M30" s="73"/>
      <c r="N30" s="73"/>
      <c r="O30" s="74"/>
      <c r="P30" s="74"/>
      <c r="Q30" s="74"/>
      <c r="R30" s="74"/>
      <c r="S30" s="74"/>
      <c r="T30" s="74"/>
      <c r="U30" s="74"/>
      <c r="V30" s="74"/>
      <c r="W30" s="74"/>
      <c r="X30" s="74"/>
      <c r="Y30" s="74"/>
      <c r="Z30" s="74"/>
      <c r="AA30" s="74"/>
      <c r="AB30" s="74"/>
      <c r="AC30" s="74"/>
      <c r="AD30" s="74"/>
      <c r="AE30" s="74"/>
      <c r="AF30" s="75"/>
      <c r="AG30" s="76"/>
      <c r="AH30" s="76"/>
      <c r="AI30" s="76"/>
      <c r="AJ30" s="76"/>
      <c r="AK30" s="439"/>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4"/>
      <c r="BV30" s="74"/>
      <c r="BW30" s="74"/>
      <c r="BX30" s="74"/>
      <c r="BY30" s="74"/>
      <c r="BZ30" s="74"/>
      <c r="CA30" s="74"/>
      <c r="CB30" s="74"/>
      <c r="CC30" s="74"/>
    </row>
    <row r="31" spans="37:81" ht="15">
      <c r="AK31" s="417"/>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47"/>
    </row>
    <row r="32" spans="1:81" s="1" customFormat="1" ht="27.75" customHeight="1">
      <c r="A32" s="642" t="s">
        <v>299</v>
      </c>
      <c r="B32" s="643"/>
      <c r="C32" s="643"/>
      <c r="D32" s="643"/>
      <c r="E32" s="643"/>
      <c r="F32" s="643"/>
      <c r="G32" s="643"/>
      <c r="H32" s="643"/>
      <c r="I32" s="643"/>
      <c r="J32" s="643"/>
      <c r="K32" s="643"/>
      <c r="L32" s="57"/>
      <c r="M32" s="57"/>
      <c r="N32" s="57"/>
      <c r="O32" s="57"/>
      <c r="P32" s="57"/>
      <c r="Q32" s="57"/>
      <c r="R32" s="57"/>
      <c r="S32" s="57"/>
      <c r="T32" s="57"/>
      <c r="U32" s="57"/>
      <c r="V32" s="57"/>
      <c r="W32" s="57"/>
      <c r="X32" s="57"/>
      <c r="Y32" s="57"/>
      <c r="Z32" s="57"/>
      <c r="AA32" s="57"/>
      <c r="AB32" s="57"/>
      <c r="AC32" s="57"/>
      <c r="AD32" s="57"/>
      <c r="AE32" s="58"/>
      <c r="AF32" s="58"/>
      <c r="AG32" s="53"/>
      <c r="AH32" s="53"/>
      <c r="AI32" s="53"/>
      <c r="AJ32" s="53"/>
      <c r="AK32" s="42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6"/>
      <c r="BY32" s="6"/>
      <c r="BZ32" s="6"/>
      <c r="CA32" s="6"/>
      <c r="CB32" s="6"/>
      <c r="CC32" s="6"/>
    </row>
    <row r="33" spans="1:99" s="11" customFormat="1" ht="27.75" customHeight="1">
      <c r="A33" s="425"/>
      <c r="B33" s="59"/>
      <c r="C33" s="59"/>
      <c r="D33" s="59"/>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53"/>
      <c r="AF33" s="53"/>
      <c r="AG33" s="53"/>
      <c r="AH33" s="53"/>
      <c r="AI33" s="53"/>
      <c r="AJ33" s="53"/>
      <c r="AK33" s="42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L33" s="53"/>
      <c r="CM33" s="53"/>
      <c r="CN33" s="53"/>
      <c r="CO33" s="53"/>
      <c r="CP33" s="53"/>
      <c r="CQ33" s="53"/>
      <c r="CR33" s="53"/>
      <c r="CS33" s="53"/>
      <c r="CT33" s="53"/>
      <c r="CU33" s="53"/>
    </row>
    <row r="34" spans="1:99" s="1" customFormat="1" ht="29.25" customHeight="1" outlineLevel="1">
      <c r="A34" s="416"/>
      <c r="B34" s="182" t="s">
        <v>8</v>
      </c>
      <c r="C34" s="183">
        <v>2018</v>
      </c>
      <c r="D34" s="184">
        <v>2019</v>
      </c>
      <c r="E34" s="196">
        <v>2020</v>
      </c>
      <c r="F34" s="60"/>
      <c r="G34" s="60"/>
      <c r="H34" s="60"/>
      <c r="I34" s="60"/>
      <c r="J34" s="60"/>
      <c r="K34" s="60"/>
      <c r="L34" s="55"/>
      <c r="M34" s="55"/>
      <c r="N34" s="55"/>
      <c r="O34" s="55"/>
      <c r="P34" s="55"/>
      <c r="Q34" s="55"/>
      <c r="R34" s="55"/>
      <c r="S34" s="55"/>
      <c r="T34" s="55"/>
      <c r="U34" s="55"/>
      <c r="V34" s="55"/>
      <c r="W34" s="55"/>
      <c r="X34" s="55"/>
      <c r="Y34" s="55"/>
      <c r="Z34" s="55"/>
      <c r="AA34" s="55"/>
      <c r="AB34" s="55"/>
      <c r="AC34" s="6"/>
      <c r="AD34" s="6"/>
      <c r="AE34" s="6"/>
      <c r="AF34" s="6"/>
      <c r="AG34" s="6"/>
      <c r="AH34" s="6"/>
      <c r="AI34" s="6"/>
      <c r="AJ34" s="6"/>
      <c r="AK34" s="420"/>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L34" s="6"/>
      <c r="CM34" s="53"/>
      <c r="CN34" s="78"/>
      <c r="CO34" s="78" t="s">
        <v>77</v>
      </c>
      <c r="CP34" s="78" t="s">
        <v>28</v>
      </c>
      <c r="CQ34" s="78" t="s">
        <v>27</v>
      </c>
      <c r="CR34" s="78" t="s">
        <v>4</v>
      </c>
      <c r="CS34" s="78" t="s">
        <v>229</v>
      </c>
      <c r="CT34" s="53"/>
      <c r="CU34" s="53"/>
    </row>
    <row r="35" spans="1:99" s="1" customFormat="1" ht="23.25" customHeight="1" outlineLevel="1">
      <c r="A35" s="424"/>
      <c r="B35" s="185" t="s">
        <v>25</v>
      </c>
      <c r="C35" s="186">
        <f>'Lh Budgetting'!O11+'Lh Budgetting'!O12</f>
        <v>50400000</v>
      </c>
      <c r="D35" s="187">
        <f>'Lh Budgetting'!P11+'Lh Budgetting'!P12</f>
        <v>42600000</v>
      </c>
      <c r="E35" s="195">
        <f>'Lh Budgetting'!Q11+'Lh Budgetting'!Q12</f>
        <v>27000000</v>
      </c>
      <c r="F35" s="60"/>
      <c r="G35" s="60"/>
      <c r="H35" s="60"/>
      <c r="I35" s="60"/>
      <c r="J35" s="60"/>
      <c r="K35" s="60"/>
      <c r="L35" s="55"/>
      <c r="M35" s="55"/>
      <c r="N35" s="55"/>
      <c r="O35" s="55"/>
      <c r="P35" s="55"/>
      <c r="Q35" s="55"/>
      <c r="R35" s="55"/>
      <c r="S35" s="55"/>
      <c r="T35" s="55"/>
      <c r="U35" s="55"/>
      <c r="V35" s="55"/>
      <c r="W35" s="55"/>
      <c r="X35" s="55"/>
      <c r="Y35" s="55"/>
      <c r="Z35" s="55"/>
      <c r="AA35" s="55"/>
      <c r="AB35" s="55"/>
      <c r="AC35" s="6"/>
      <c r="AD35" s="6"/>
      <c r="AE35" s="336"/>
      <c r="AF35" s="6"/>
      <c r="AG35" s="6"/>
      <c r="AH35" s="6"/>
      <c r="AI35" s="6"/>
      <c r="AJ35" s="6"/>
      <c r="AK35" s="420"/>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L35" s="6"/>
      <c r="CM35" s="665" t="s">
        <v>78</v>
      </c>
      <c r="CN35" s="79" t="s">
        <v>80</v>
      </c>
      <c r="CO35" s="80">
        <f>'Lh Budgetting'!T12</f>
        <v>512.8205128205128</v>
      </c>
      <c r="CP35" s="80">
        <f>'Lh Budgetting'!V12</f>
        <v>30.769230769230766</v>
      </c>
      <c r="CQ35" s="80">
        <f>'Lh Budgetting'!U12</f>
        <v>71.7948717948718</v>
      </c>
      <c r="CR35" s="80">
        <f>'Lh Budgetting'!S12</f>
        <v>1435.8974358974358</v>
      </c>
      <c r="CS35" s="80">
        <f>CO35+CP35+CQ35+CR35</f>
        <v>2051.2820512820513</v>
      </c>
      <c r="CT35" s="6"/>
      <c r="CU35" s="6"/>
    </row>
    <row r="36" spans="1:99" s="1" customFormat="1" ht="23.25" customHeight="1" outlineLevel="1">
      <c r="A36" s="416"/>
      <c r="B36" s="132" t="s">
        <v>23</v>
      </c>
      <c r="C36" s="62">
        <v>0</v>
      </c>
      <c r="D36" s="63">
        <v>0</v>
      </c>
      <c r="E36" s="197">
        <v>0</v>
      </c>
      <c r="F36" s="60"/>
      <c r="G36" s="60"/>
      <c r="H36" s="60"/>
      <c r="I36" s="60"/>
      <c r="J36" s="60"/>
      <c r="K36" s="60"/>
      <c r="L36" s="55"/>
      <c r="M36" s="55"/>
      <c r="N36" s="55"/>
      <c r="O36" s="55"/>
      <c r="P36" s="55"/>
      <c r="Q36" s="55"/>
      <c r="R36" s="55"/>
      <c r="S36" s="55"/>
      <c r="T36" s="55"/>
      <c r="U36" s="55"/>
      <c r="V36" s="55"/>
      <c r="W36" s="55"/>
      <c r="X36" s="55"/>
      <c r="Y36" s="55"/>
      <c r="Z36" s="55"/>
      <c r="AA36" s="55"/>
      <c r="AB36" s="55"/>
      <c r="AC36" s="55"/>
      <c r="AD36" s="55"/>
      <c r="AE36" s="55"/>
      <c r="AF36" s="6"/>
      <c r="AG36" s="6"/>
      <c r="AH36" s="6"/>
      <c r="AI36" s="6"/>
      <c r="AJ36" s="6"/>
      <c r="AK36" s="420"/>
      <c r="AL36" s="6"/>
      <c r="AM36" s="6"/>
      <c r="AN36" s="6"/>
      <c r="AO36" s="33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L36" s="6"/>
      <c r="CM36" s="665"/>
      <c r="CN36" s="81" t="s">
        <v>81</v>
      </c>
      <c r="CO36" s="264">
        <f>'Lh Budgetting'!T11</f>
        <v>461.53846153846155</v>
      </c>
      <c r="CP36" s="264">
        <f>'Lh Budgetting'!V11</f>
        <v>15.384615384615383</v>
      </c>
      <c r="CQ36" s="264">
        <f>'Lh Budgetting'!U11</f>
        <v>35.8974358974359</v>
      </c>
      <c r="CR36" s="264">
        <f>'Lh Budgetting'!S11</f>
        <v>512.8205128205128</v>
      </c>
      <c r="CS36" s="80">
        <f>CO36+CP36+CQ36+CR36</f>
        <v>1025.6410256410256</v>
      </c>
      <c r="CT36" s="6"/>
      <c r="CU36" s="6"/>
    </row>
    <row r="37" spans="1:99" s="1" customFormat="1" ht="23.25" customHeight="1" outlineLevel="1">
      <c r="A37" s="416"/>
      <c r="B37" s="132" t="s">
        <v>24</v>
      </c>
      <c r="C37" s="62">
        <v>1</v>
      </c>
      <c r="D37" s="63">
        <v>1</v>
      </c>
      <c r="E37" s="197">
        <v>1</v>
      </c>
      <c r="F37" s="60"/>
      <c r="G37" s="60"/>
      <c r="H37" s="60"/>
      <c r="I37" s="60"/>
      <c r="J37" s="60"/>
      <c r="K37" s="60"/>
      <c r="L37" s="55"/>
      <c r="M37" s="55"/>
      <c r="N37" s="55"/>
      <c r="O37" s="55"/>
      <c r="P37" s="55"/>
      <c r="Q37" s="55"/>
      <c r="R37" s="55"/>
      <c r="S37" s="55"/>
      <c r="T37" s="55"/>
      <c r="U37" s="55"/>
      <c r="V37" s="55"/>
      <c r="W37" s="55"/>
      <c r="X37" s="55"/>
      <c r="Y37" s="55"/>
      <c r="Z37" s="55"/>
      <c r="AA37" s="55"/>
      <c r="AB37" s="55"/>
      <c r="AC37" s="55"/>
      <c r="AD37" s="55"/>
      <c r="AE37" s="55"/>
      <c r="AF37" s="6"/>
      <c r="AG37" s="6"/>
      <c r="AH37" s="6"/>
      <c r="AI37" s="6"/>
      <c r="AJ37" s="6"/>
      <c r="AK37" s="420"/>
      <c r="AL37" s="6"/>
      <c r="AM37" s="6"/>
      <c r="AN37" s="6"/>
      <c r="AO37" s="33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L37" s="6"/>
      <c r="CM37" s="665" t="s">
        <v>79</v>
      </c>
      <c r="CN37" s="79" t="s">
        <v>82</v>
      </c>
      <c r="CO37" s="82">
        <f>CO35/8</f>
        <v>64.1025641025641</v>
      </c>
      <c r="CP37" s="82">
        <f>CP35/8</f>
        <v>3.846153846153846</v>
      </c>
      <c r="CQ37" s="82">
        <f>CQ35/8</f>
        <v>8.974358974358974</v>
      </c>
      <c r="CR37" s="82">
        <f>CR35/8</f>
        <v>179.48717948717947</v>
      </c>
      <c r="CS37" s="263"/>
      <c r="CT37" s="46"/>
      <c r="CU37" s="46"/>
    </row>
    <row r="38" spans="1:99" s="1" customFormat="1" ht="19.5" customHeight="1" outlineLevel="1">
      <c r="A38" s="416"/>
      <c r="B38" s="47"/>
      <c r="C38" s="47"/>
      <c r="D38" s="55"/>
      <c r="E38" s="55"/>
      <c r="F38" s="55"/>
      <c r="G38" s="55"/>
      <c r="H38" s="55"/>
      <c r="I38" s="55"/>
      <c r="J38" s="55"/>
      <c r="K38" s="55"/>
      <c r="L38" s="55"/>
      <c r="M38" s="55"/>
      <c r="N38" s="55"/>
      <c r="O38" s="55"/>
      <c r="P38" s="55"/>
      <c r="Q38" s="55"/>
      <c r="R38" s="55"/>
      <c r="S38" s="55"/>
      <c r="T38" s="55"/>
      <c r="U38" s="55"/>
      <c r="V38" s="55"/>
      <c r="W38" s="55"/>
      <c r="X38" s="55"/>
      <c r="Y38" s="55"/>
      <c r="Z38" s="6"/>
      <c r="AA38" s="6"/>
      <c r="AB38" s="6"/>
      <c r="AC38" s="6"/>
      <c r="AD38" s="6"/>
      <c r="AE38" s="6"/>
      <c r="AF38" s="6"/>
      <c r="AG38" s="6"/>
      <c r="AH38" s="6"/>
      <c r="AI38" s="6"/>
      <c r="AJ38" s="6"/>
      <c r="AK38" s="420"/>
      <c r="AL38" s="6"/>
      <c r="AM38" s="6"/>
      <c r="AN38" s="6"/>
      <c r="AO38" s="6"/>
      <c r="AP38" s="6"/>
      <c r="AQ38" s="6"/>
      <c r="AR38" s="6"/>
      <c r="AS38" s="6"/>
      <c r="AT38" s="61" t="s">
        <v>192</v>
      </c>
      <c r="AU38" s="336"/>
      <c r="AV38" s="336"/>
      <c r="AW38" s="336"/>
      <c r="AX38" s="336"/>
      <c r="AY38" s="336"/>
      <c r="AZ38" s="33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E38" s="6"/>
      <c r="CF38" s="6"/>
      <c r="CG38" s="6"/>
      <c r="CH38" s="6"/>
      <c r="CI38" s="6"/>
      <c r="CJ38" s="6"/>
      <c r="CL38" s="6"/>
      <c r="CM38" s="665"/>
      <c r="CN38" s="79" t="s">
        <v>83</v>
      </c>
      <c r="CO38" s="82">
        <f>CO36/20</f>
        <v>23.076923076923077</v>
      </c>
      <c r="CP38" s="82">
        <f>CP36/20</f>
        <v>0.7692307692307692</v>
      </c>
      <c r="CQ38" s="82">
        <f>CQ36/20</f>
        <v>1.794871794871795</v>
      </c>
      <c r="CR38" s="82">
        <f>CR36/20</f>
        <v>25.641025641025642</v>
      </c>
      <c r="CS38" s="263"/>
      <c r="CT38" s="46"/>
      <c r="CU38" s="46"/>
    </row>
    <row r="39" spans="1:88" ht="21" outlineLevel="1">
      <c r="A39" s="605" t="s">
        <v>45</v>
      </c>
      <c r="B39" s="606"/>
      <c r="C39" s="606"/>
      <c r="D39" s="606"/>
      <c r="E39" s="606"/>
      <c r="F39" s="606"/>
      <c r="G39" s="606"/>
      <c r="H39" s="636" t="s">
        <v>190</v>
      </c>
      <c r="I39" s="637"/>
      <c r="J39" s="637"/>
      <c r="K39" s="637"/>
      <c r="L39" s="637"/>
      <c r="M39" s="637"/>
      <c r="N39" s="638"/>
      <c r="O39" s="639" t="s">
        <v>210</v>
      </c>
      <c r="P39" s="640"/>
      <c r="Q39" s="640"/>
      <c r="R39" s="640"/>
      <c r="S39" s="640"/>
      <c r="T39" s="641"/>
      <c r="U39" s="651" t="s">
        <v>201</v>
      </c>
      <c r="V39" s="652"/>
      <c r="W39" s="652"/>
      <c r="X39" s="652"/>
      <c r="Y39" s="666"/>
      <c r="AK39" s="417"/>
      <c r="AO39" s="449" t="s">
        <v>10</v>
      </c>
      <c r="AP39" s="449"/>
      <c r="AQ39" s="449"/>
      <c r="AR39" s="449"/>
      <c r="AS39" s="449"/>
      <c r="AT39" s="449" t="s">
        <v>15</v>
      </c>
      <c r="AU39" s="449"/>
      <c r="AV39" s="449"/>
      <c r="AW39" s="449"/>
      <c r="AX39" s="449"/>
      <c r="AY39" s="449" t="s">
        <v>22</v>
      </c>
      <c r="AZ39" s="449"/>
      <c r="BA39" s="449"/>
      <c r="BB39" s="449"/>
      <c r="BC39" s="449"/>
      <c r="BD39" s="449" t="s">
        <v>12</v>
      </c>
      <c r="BE39" s="449"/>
      <c r="BF39" s="449"/>
      <c r="BG39" s="449"/>
      <c r="BH39" s="449"/>
      <c r="BI39" s="449" t="s">
        <v>13</v>
      </c>
      <c r="BJ39" s="449"/>
      <c r="BK39" s="449"/>
      <c r="BL39" s="449"/>
      <c r="BM39" s="449"/>
      <c r="BN39" s="449" t="s">
        <v>11</v>
      </c>
      <c r="BO39" s="449"/>
      <c r="BP39" s="449"/>
      <c r="BQ39" s="449"/>
      <c r="BR39" s="449"/>
      <c r="BS39" s="449" t="s">
        <v>16</v>
      </c>
      <c r="BT39" s="449"/>
      <c r="BU39" s="449"/>
      <c r="BV39" s="449"/>
      <c r="BW39" s="449"/>
      <c r="BX39" s="449" t="s">
        <v>14</v>
      </c>
      <c r="BY39" s="449"/>
      <c r="BZ39" s="449"/>
      <c r="CA39" s="449"/>
      <c r="CB39" s="449"/>
      <c r="CC39" s="47"/>
      <c r="CD39" s="47"/>
      <c r="CE39" s="47"/>
      <c r="CF39" s="47"/>
      <c r="CG39" s="6"/>
      <c r="CH39" s="6"/>
      <c r="CI39" s="6"/>
      <c r="CJ39" s="6"/>
    </row>
    <row r="40" spans="1:88" ht="36.75" customHeight="1" outlineLevel="1" thickBot="1">
      <c r="A40" s="418" t="s">
        <v>5</v>
      </c>
      <c r="B40" s="34" t="s">
        <v>7</v>
      </c>
      <c r="C40" s="34" t="s">
        <v>2</v>
      </c>
      <c r="D40" s="608" t="s">
        <v>46</v>
      </c>
      <c r="E40" s="608"/>
      <c r="F40" s="339" t="s">
        <v>9</v>
      </c>
      <c r="G40" s="339" t="s">
        <v>0</v>
      </c>
      <c r="H40" s="205" t="s">
        <v>345</v>
      </c>
      <c r="I40" s="29" t="s">
        <v>20</v>
      </c>
      <c r="J40" s="28" t="s">
        <v>28</v>
      </c>
      <c r="K40" s="29" t="s">
        <v>27</v>
      </c>
      <c r="L40" s="28" t="s">
        <v>21</v>
      </c>
      <c r="M40" s="30" t="s">
        <v>75</v>
      </c>
      <c r="N40" s="29" t="s">
        <v>74</v>
      </c>
      <c r="O40" s="429" t="s">
        <v>294</v>
      </c>
      <c r="P40" s="37" t="s">
        <v>20</v>
      </c>
      <c r="Q40" s="40" t="s">
        <v>28</v>
      </c>
      <c r="R40" s="37" t="s">
        <v>27</v>
      </c>
      <c r="S40" s="40" t="s">
        <v>21</v>
      </c>
      <c r="T40" s="37" t="s">
        <v>76</v>
      </c>
      <c r="U40" s="429" t="s">
        <v>295</v>
      </c>
      <c r="V40" s="172" t="s">
        <v>20</v>
      </c>
      <c r="W40" s="171" t="s">
        <v>28</v>
      </c>
      <c r="X40" s="172" t="s">
        <v>27</v>
      </c>
      <c r="Y40" s="171" t="s">
        <v>21</v>
      </c>
      <c r="AK40" s="417"/>
      <c r="AO40" s="440" t="s">
        <v>20</v>
      </c>
      <c r="AP40" s="440" t="s">
        <v>28</v>
      </c>
      <c r="AQ40" s="440" t="s">
        <v>27</v>
      </c>
      <c r="AR40" s="440" t="s">
        <v>21</v>
      </c>
      <c r="AS40" s="440" t="s">
        <v>76</v>
      </c>
      <c r="AT40" s="440" t="s">
        <v>20</v>
      </c>
      <c r="AU40" s="440" t="s">
        <v>28</v>
      </c>
      <c r="AV40" s="440" t="s">
        <v>27</v>
      </c>
      <c r="AW40" s="440" t="s">
        <v>21</v>
      </c>
      <c r="AX40" s="440" t="s">
        <v>76</v>
      </c>
      <c r="AY40" s="440" t="s">
        <v>20</v>
      </c>
      <c r="AZ40" s="440" t="s">
        <v>28</v>
      </c>
      <c r="BA40" s="440" t="s">
        <v>27</v>
      </c>
      <c r="BB40" s="440" t="s">
        <v>21</v>
      </c>
      <c r="BC40" s="440" t="s">
        <v>76</v>
      </c>
      <c r="BD40" s="440" t="s">
        <v>20</v>
      </c>
      <c r="BE40" s="440" t="s">
        <v>28</v>
      </c>
      <c r="BF40" s="440" t="s">
        <v>27</v>
      </c>
      <c r="BG40" s="440" t="s">
        <v>21</v>
      </c>
      <c r="BH40" s="440" t="s">
        <v>76</v>
      </c>
      <c r="BI40" s="440" t="s">
        <v>20</v>
      </c>
      <c r="BJ40" s="440" t="s">
        <v>28</v>
      </c>
      <c r="BK40" s="440" t="s">
        <v>27</v>
      </c>
      <c r="BL40" s="440" t="s">
        <v>21</v>
      </c>
      <c r="BM40" s="440" t="s">
        <v>76</v>
      </c>
      <c r="BN40" s="440" t="s">
        <v>20</v>
      </c>
      <c r="BO40" s="440" t="s">
        <v>28</v>
      </c>
      <c r="BP40" s="440" t="s">
        <v>27</v>
      </c>
      <c r="BQ40" s="440" t="s">
        <v>21</v>
      </c>
      <c r="BR40" s="440" t="s">
        <v>76</v>
      </c>
      <c r="BS40" s="440" t="s">
        <v>20</v>
      </c>
      <c r="BT40" s="440" t="s">
        <v>28</v>
      </c>
      <c r="BU40" s="440" t="s">
        <v>27</v>
      </c>
      <c r="BV40" s="440" t="s">
        <v>21</v>
      </c>
      <c r="BW40" s="440" t="s">
        <v>76</v>
      </c>
      <c r="BX40" s="440" t="s">
        <v>20</v>
      </c>
      <c r="BY40" s="440" t="s">
        <v>28</v>
      </c>
      <c r="BZ40" s="440" t="s">
        <v>27</v>
      </c>
      <c r="CA40" s="440" t="s">
        <v>21</v>
      </c>
      <c r="CB40" s="440" t="s">
        <v>76</v>
      </c>
      <c r="CC40" s="47"/>
      <c r="CD40" s="47"/>
      <c r="CE40" s="47"/>
      <c r="CF40" s="47"/>
      <c r="CG40" s="47"/>
      <c r="CH40" s="47"/>
      <c r="CI40" s="47"/>
      <c r="CJ40" s="47"/>
    </row>
    <row r="41" spans="1:88" ht="33" customHeight="1" outlineLevel="1">
      <c r="A41" s="419" t="s">
        <v>17</v>
      </c>
      <c r="B41" s="8" t="s">
        <v>67</v>
      </c>
      <c r="C41" s="8" t="s">
        <v>70</v>
      </c>
      <c r="D41" s="603" t="s">
        <v>72</v>
      </c>
      <c r="E41" s="603"/>
      <c r="F41" s="8" t="s">
        <v>223</v>
      </c>
      <c r="G41" s="8" t="s">
        <v>73</v>
      </c>
      <c r="H41" s="265" t="s">
        <v>346</v>
      </c>
      <c r="I41" s="202" t="s">
        <v>57</v>
      </c>
      <c r="J41" s="203"/>
      <c r="K41" s="202"/>
      <c r="L41" s="203"/>
      <c r="M41" s="32">
        <v>5</v>
      </c>
      <c r="N41" s="32">
        <v>20</v>
      </c>
      <c r="O41" s="262" t="s">
        <v>250</v>
      </c>
      <c r="P41" s="201"/>
      <c r="Q41" s="41"/>
      <c r="R41" s="39"/>
      <c r="S41" s="41"/>
      <c r="T41" s="39">
        <v>20</v>
      </c>
      <c r="U41" s="262" t="s">
        <v>245</v>
      </c>
      <c r="V41" s="173"/>
      <c r="W41" s="136"/>
      <c r="X41" s="173"/>
      <c r="Y41" s="136"/>
      <c r="AK41" s="417"/>
      <c r="AN41" s="66" t="s">
        <v>17</v>
      </c>
      <c r="AO41" s="450"/>
      <c r="AP41" s="450"/>
      <c r="AQ41" s="450"/>
      <c r="AR41" s="450"/>
      <c r="AS41" s="450">
        <v>4</v>
      </c>
      <c r="AT41" s="450"/>
      <c r="AU41" s="450"/>
      <c r="AV41" s="450"/>
      <c r="AW41" s="450"/>
      <c r="AX41" s="450">
        <v>4</v>
      </c>
      <c r="AY41" s="450"/>
      <c r="AZ41" s="450"/>
      <c r="BA41" s="450"/>
      <c r="BB41" s="450"/>
      <c r="BC41" s="450">
        <v>3</v>
      </c>
      <c r="BD41" s="450"/>
      <c r="BE41" s="450"/>
      <c r="BF41" s="450"/>
      <c r="BG41" s="450"/>
      <c r="BH41" s="450">
        <v>1</v>
      </c>
      <c r="BI41" s="450"/>
      <c r="BJ41" s="450"/>
      <c r="BK41" s="450"/>
      <c r="BL41" s="450"/>
      <c r="BM41" s="450">
        <v>4</v>
      </c>
      <c r="BN41" s="450"/>
      <c r="BO41" s="450"/>
      <c r="BP41" s="450"/>
      <c r="BQ41" s="450"/>
      <c r="BR41" s="450">
        <v>3</v>
      </c>
      <c r="BS41" s="450"/>
      <c r="BT41" s="450"/>
      <c r="BU41" s="450"/>
      <c r="BV41" s="450"/>
      <c r="BW41" s="450">
        <v>3</v>
      </c>
      <c r="BX41" s="450"/>
      <c r="BY41" s="450"/>
      <c r="BZ41" s="450"/>
      <c r="CA41" s="450"/>
      <c r="CB41" s="450">
        <v>3</v>
      </c>
      <c r="CC41" s="47"/>
      <c r="CD41" s="47"/>
      <c r="CE41" s="47"/>
      <c r="CF41" s="47"/>
      <c r="CG41" s="47"/>
      <c r="CH41" s="47"/>
      <c r="CI41" s="47"/>
      <c r="CJ41" s="47"/>
    </row>
    <row r="42" spans="1:88" ht="36.75" customHeight="1" outlineLevel="1">
      <c r="A42" s="421" t="s">
        <v>18</v>
      </c>
      <c r="B42" s="9" t="s">
        <v>68</v>
      </c>
      <c r="C42" s="9" t="s">
        <v>69</v>
      </c>
      <c r="D42" s="604" t="s">
        <v>71</v>
      </c>
      <c r="E42" s="604"/>
      <c r="F42" s="9" t="s">
        <v>55</v>
      </c>
      <c r="G42" s="9" t="s">
        <v>73</v>
      </c>
      <c r="H42" s="259" t="s">
        <v>57</v>
      </c>
      <c r="I42" s="35">
        <f>'Lh Budgetting'!T11+'Lh Budgetting'!T12</f>
        <v>974.3589743589744</v>
      </c>
      <c r="J42" s="36">
        <f>'Lh Budgetting'!V11+'Lh Budgetting'!V12</f>
        <v>46.153846153846146</v>
      </c>
      <c r="K42" s="35">
        <f>'Lh Budgetting'!U11+'Lh Budgetting'!U12</f>
        <v>107.6923076923077</v>
      </c>
      <c r="L42" s="36">
        <f>'Lh Budgetting'!S11+'Lh Budgetting'!S12</f>
        <v>1948.7179487179487</v>
      </c>
      <c r="M42" s="35" t="s">
        <v>57</v>
      </c>
      <c r="N42" s="35"/>
      <c r="O42" s="261">
        <f>I42+J42+K42+L42</f>
        <v>3076.923076923077</v>
      </c>
      <c r="P42" s="38">
        <v>974.3589743589744</v>
      </c>
      <c r="Q42" s="42">
        <v>46.153846153846146</v>
      </c>
      <c r="R42" s="38">
        <v>107.6923076923077</v>
      </c>
      <c r="S42" s="42">
        <v>1948.7179487179487</v>
      </c>
      <c r="T42" s="38"/>
      <c r="U42" s="261">
        <f>P42+Q42+R42+S42</f>
        <v>3076.923076923077</v>
      </c>
      <c r="V42" s="174">
        <v>974.3589743589744</v>
      </c>
      <c r="W42" s="36">
        <v>46.153846153846146</v>
      </c>
      <c r="X42" s="174">
        <v>107.6923076923077</v>
      </c>
      <c r="Y42" s="165">
        <v>1948.7179487179487</v>
      </c>
      <c r="AK42" s="417"/>
      <c r="AN42" s="451" t="s">
        <v>18</v>
      </c>
      <c r="AO42" s="452">
        <f>161*0.915</f>
        <v>147.315</v>
      </c>
      <c r="AP42" s="452">
        <f>7*0.915</f>
        <v>6.405</v>
      </c>
      <c r="AQ42" s="452">
        <f>17*0.915</f>
        <v>15.555</v>
      </c>
      <c r="AR42" s="452">
        <f>287*0.915</f>
        <v>262.605</v>
      </c>
      <c r="AS42" s="452"/>
      <c r="AT42" s="452">
        <f>161*0.915</f>
        <v>147.315</v>
      </c>
      <c r="AU42" s="452">
        <f>7*0.915</f>
        <v>6.405</v>
      </c>
      <c r="AV42" s="452">
        <f>17*0.915</f>
        <v>15.555</v>
      </c>
      <c r="AW42" s="452">
        <f>287*0.915</f>
        <v>262.605</v>
      </c>
      <c r="AX42" s="452"/>
      <c r="AY42" s="452">
        <f>137*0.915</f>
        <v>125.355</v>
      </c>
      <c r="AZ42" s="452">
        <f>6*0.915</f>
        <v>5.49</v>
      </c>
      <c r="BA42" s="452">
        <f>30*0.915</f>
        <v>27.450000000000003</v>
      </c>
      <c r="BB42" s="452">
        <f>260*0.915</f>
        <v>237.9</v>
      </c>
      <c r="BC42" s="452"/>
      <c r="BD42" s="452">
        <f>110*0.915</f>
        <v>100.65</v>
      </c>
      <c r="BE42" s="452">
        <f>5*0.915</f>
        <v>4.575</v>
      </c>
      <c r="BF42" s="452">
        <f>11*0.915</f>
        <v>10.065000000000001</v>
      </c>
      <c r="BG42" s="452">
        <f>134*0.915</f>
        <v>122.61</v>
      </c>
      <c r="BH42" s="452"/>
      <c r="BI42" s="452">
        <f>161*0.915</f>
        <v>147.315</v>
      </c>
      <c r="BJ42" s="452">
        <f>7*0.915</f>
        <v>6.405</v>
      </c>
      <c r="BK42" s="452">
        <f>17*0.915</f>
        <v>15.555</v>
      </c>
      <c r="BL42" s="452">
        <f>287*0.915</f>
        <v>262.605</v>
      </c>
      <c r="BM42" s="452"/>
      <c r="BN42" s="452">
        <f>137*0.915</f>
        <v>125.355</v>
      </c>
      <c r="BO42" s="452">
        <f>6*0.915</f>
        <v>5.49</v>
      </c>
      <c r="BP42" s="452">
        <f>15*0.915</f>
        <v>13.725000000000001</v>
      </c>
      <c r="BQ42" s="452">
        <f>260*0.915</f>
        <v>237.9</v>
      </c>
      <c r="BR42" s="452"/>
      <c r="BS42" s="452">
        <f>137*0.915</f>
        <v>125.355</v>
      </c>
      <c r="BT42" s="452">
        <f>6*0.915</f>
        <v>5.49</v>
      </c>
      <c r="BU42" s="452">
        <f>15*0.915</f>
        <v>13.725000000000001</v>
      </c>
      <c r="BV42" s="452">
        <f>260*0.915</f>
        <v>237.9</v>
      </c>
      <c r="BW42" s="452"/>
      <c r="BX42" s="452">
        <f>137*0.915</f>
        <v>125.355</v>
      </c>
      <c r="BY42" s="452">
        <f>6*0.915</f>
        <v>5.49</v>
      </c>
      <c r="BZ42" s="452">
        <f>15*0.915</f>
        <v>13.725000000000001</v>
      </c>
      <c r="CA42" s="452">
        <f>260*0.915</f>
        <v>237.9</v>
      </c>
      <c r="CB42" s="452"/>
      <c r="CC42" s="47"/>
      <c r="CD42" s="47"/>
      <c r="CE42" s="47"/>
      <c r="CF42" s="47"/>
      <c r="CG42" s="47"/>
      <c r="CH42" s="47"/>
      <c r="CI42" s="47"/>
      <c r="CJ42" s="47"/>
    </row>
    <row r="43" spans="2:88" ht="31.5" customHeight="1" outlineLevel="1">
      <c r="B43" s="55"/>
      <c r="C43" s="55"/>
      <c r="D43" s="55"/>
      <c r="E43" s="55"/>
      <c r="F43" s="55"/>
      <c r="G43" s="55"/>
      <c r="H43" s="620"/>
      <c r="I43" s="620"/>
      <c r="J43" s="620"/>
      <c r="K43" s="620"/>
      <c r="L43" s="55"/>
      <c r="M43" s="55"/>
      <c r="N43" s="55"/>
      <c r="O43" s="55"/>
      <c r="P43" s="55"/>
      <c r="Q43" s="55"/>
      <c r="R43" s="55"/>
      <c r="S43" s="55"/>
      <c r="T43" s="55"/>
      <c r="U43" s="55"/>
      <c r="AK43" s="417"/>
      <c r="CC43" s="47"/>
      <c r="CD43" s="47"/>
      <c r="CE43" s="47"/>
      <c r="CF43" s="47"/>
      <c r="CG43" s="47"/>
      <c r="CH43" s="47"/>
      <c r="CI43" s="47"/>
      <c r="CJ43" s="47"/>
    </row>
    <row r="44" spans="1:88" ht="23.25" outlineLevel="1">
      <c r="A44" s="427" t="s">
        <v>48</v>
      </c>
      <c r="B44" s="303"/>
      <c r="C44" s="303"/>
      <c r="D44" s="303"/>
      <c r="E44" s="303"/>
      <c r="F44" s="303"/>
      <c r="G44" s="304"/>
      <c r="H44" s="620"/>
      <c r="I44" s="620"/>
      <c r="J44" s="620"/>
      <c r="K44" s="620"/>
      <c r="L44" s="69"/>
      <c r="M44" s="69"/>
      <c r="N44" s="69"/>
      <c r="O44" s="69"/>
      <c r="P44" s="69"/>
      <c r="Q44" s="69"/>
      <c r="R44" s="69"/>
      <c r="S44" s="69"/>
      <c r="T44" s="69"/>
      <c r="U44" s="69"/>
      <c r="V44" s="69"/>
      <c r="W44" s="69"/>
      <c r="X44" s="69"/>
      <c r="Y44" s="69"/>
      <c r="AK44" s="417"/>
      <c r="AN44" s="69"/>
      <c r="AO44" s="69"/>
      <c r="AP44" s="69"/>
      <c r="AQ44" s="69"/>
      <c r="AR44" s="69"/>
      <c r="AS44" s="69"/>
      <c r="AT44" s="69"/>
      <c r="BA44" s="54"/>
      <c r="BB44" s="335"/>
      <c r="BC44" s="335"/>
      <c r="BD44" s="335"/>
      <c r="BE44" s="335"/>
      <c r="BF44" s="335"/>
      <c r="BG44" s="335"/>
      <c r="BH44" s="335"/>
      <c r="BI44" s="335"/>
      <c r="BJ44" s="335"/>
      <c r="BK44" s="335"/>
      <c r="BL44" s="335"/>
      <c r="BM44" s="335"/>
      <c r="BN44" s="335"/>
      <c r="BO44" s="335"/>
      <c r="BP44" s="335"/>
      <c r="BQ44" s="335"/>
      <c r="BR44" s="335"/>
      <c r="BS44" s="335"/>
      <c r="BT44" s="335"/>
      <c r="BU44" s="335"/>
      <c r="BV44" s="335"/>
      <c r="BW44" s="335"/>
      <c r="BX44" s="335"/>
      <c r="BY44" s="335"/>
      <c r="BZ44" s="335"/>
      <c r="CA44" s="335"/>
      <c r="CB44" s="335"/>
      <c r="CC44" s="335"/>
      <c r="CD44" s="335"/>
      <c r="CE44" s="335"/>
      <c r="CF44" s="335"/>
      <c r="CG44" s="335"/>
      <c r="CH44" s="335"/>
      <c r="CI44" s="335"/>
      <c r="CJ44" s="335"/>
    </row>
    <row r="45" spans="1:88" ht="24" customHeight="1" outlineLevel="1">
      <c r="A45" s="621" t="s">
        <v>162</v>
      </c>
      <c r="B45" s="622"/>
      <c r="C45" s="622"/>
      <c r="D45" s="622"/>
      <c r="E45" s="622"/>
      <c r="F45" s="622"/>
      <c r="G45" s="623"/>
      <c r="H45" s="620"/>
      <c r="I45" s="620"/>
      <c r="J45" s="620"/>
      <c r="K45" s="620"/>
      <c r="L45" s="71"/>
      <c r="M45" s="71"/>
      <c r="N45" s="71"/>
      <c r="O45" s="71"/>
      <c r="P45" s="71"/>
      <c r="Q45" s="71"/>
      <c r="R45" s="71"/>
      <c r="S45" s="71"/>
      <c r="T45" s="164"/>
      <c r="AK45" s="417"/>
      <c r="AT45" s="66"/>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54"/>
      <c r="CJ45" s="47"/>
    </row>
    <row r="46" spans="1:88" ht="24" customHeight="1" outlineLevel="1">
      <c r="A46" s="624" t="s">
        <v>220</v>
      </c>
      <c r="B46" s="625"/>
      <c r="C46" s="625"/>
      <c r="D46" s="625"/>
      <c r="E46" s="625"/>
      <c r="F46" s="625"/>
      <c r="G46" s="626"/>
      <c r="H46" s="620"/>
      <c r="I46" s="620"/>
      <c r="J46" s="620"/>
      <c r="K46" s="620"/>
      <c r="L46" s="70"/>
      <c r="M46" s="70"/>
      <c r="N46" s="70"/>
      <c r="AK46" s="417"/>
      <c r="AT46" s="66"/>
      <c r="AU46" s="68"/>
      <c r="AV46" s="68"/>
      <c r="AW46" s="68"/>
      <c r="AX46" s="68"/>
      <c r="AY46" s="68"/>
      <c r="AZ46" s="68"/>
      <c r="BA46" s="68"/>
      <c r="BB46" s="68"/>
      <c r="BC46" s="68"/>
      <c r="BD46" s="68"/>
      <c r="BE46" s="68"/>
      <c r="BF46" s="274"/>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54"/>
      <c r="CJ46" s="47"/>
    </row>
    <row r="47" spans="1:88" ht="23.25">
      <c r="A47" s="617" t="s">
        <v>292</v>
      </c>
      <c r="B47" s="618"/>
      <c r="C47" s="618"/>
      <c r="D47" s="618"/>
      <c r="E47" s="618"/>
      <c r="F47" s="618"/>
      <c r="G47" s="619"/>
      <c r="H47" s="55"/>
      <c r="I47" s="55"/>
      <c r="J47" s="55"/>
      <c r="K47" s="55"/>
      <c r="AK47" s="417"/>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47"/>
    </row>
    <row r="48" spans="37:88" ht="15">
      <c r="AK48" s="417"/>
      <c r="CC48" s="47"/>
      <c r="CD48" s="47"/>
      <c r="CE48" s="47"/>
      <c r="CF48" s="47"/>
      <c r="CG48" s="47"/>
      <c r="CH48" s="47"/>
      <c r="CI48" s="47"/>
      <c r="CJ48" s="47"/>
    </row>
    <row r="49" spans="1:88" ht="47.25" customHeight="1">
      <c r="A49" s="642" t="s">
        <v>331</v>
      </c>
      <c r="B49" s="643"/>
      <c r="C49" s="643"/>
      <c r="D49" s="643"/>
      <c r="E49" s="643"/>
      <c r="F49" s="643"/>
      <c r="G49" s="643"/>
      <c r="H49" s="643"/>
      <c r="I49" s="643"/>
      <c r="J49" s="643"/>
      <c r="K49" s="643"/>
      <c r="L49" s="57"/>
      <c r="M49" s="57"/>
      <c r="N49" s="57"/>
      <c r="O49" s="57"/>
      <c r="P49" s="57"/>
      <c r="Q49" s="57"/>
      <c r="R49" s="57"/>
      <c r="S49" s="57"/>
      <c r="T49" s="57"/>
      <c r="U49" s="57"/>
      <c r="V49" s="57"/>
      <c r="W49" s="57"/>
      <c r="X49" s="57"/>
      <c r="Y49" s="57"/>
      <c r="AK49" s="417"/>
      <c r="AN49" s="57"/>
      <c r="AO49" s="57"/>
      <c r="AP49" s="57"/>
      <c r="AQ49" s="57"/>
      <c r="AR49" s="57"/>
      <c r="AS49" s="58"/>
      <c r="AT49" s="58"/>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row>
    <row r="50" spans="1:88" ht="23.25">
      <c r="A50" s="425"/>
      <c r="B50" s="59"/>
      <c r="C50" s="59"/>
      <c r="D50" s="59"/>
      <c r="E50" s="60"/>
      <c r="F50" s="60"/>
      <c r="G50" s="60"/>
      <c r="H50" s="60"/>
      <c r="I50" s="60"/>
      <c r="J50" s="60"/>
      <c r="K50" s="60"/>
      <c r="L50" s="60"/>
      <c r="M50" s="60"/>
      <c r="N50" s="60"/>
      <c r="O50" s="60"/>
      <c r="P50" s="60"/>
      <c r="Q50" s="60"/>
      <c r="R50" s="60"/>
      <c r="S50" s="60"/>
      <c r="T50" s="60"/>
      <c r="U50" s="60"/>
      <c r="V50" s="60"/>
      <c r="W50" s="60"/>
      <c r="X50" s="60"/>
      <c r="Y50" s="60"/>
      <c r="AK50" s="417"/>
      <c r="AN50" s="60"/>
      <c r="AO50" s="60"/>
      <c r="AP50" s="60"/>
      <c r="AQ50" s="60"/>
      <c r="AR50" s="60"/>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row>
    <row r="51" spans="2:88" ht="23.25">
      <c r="B51" s="223" t="s">
        <v>8</v>
      </c>
      <c r="C51" s="189" t="s">
        <v>191</v>
      </c>
      <c r="D51" s="184">
        <v>2019</v>
      </c>
      <c r="E51" s="190">
        <v>2020</v>
      </c>
      <c r="F51" s="55"/>
      <c r="G51" s="55"/>
      <c r="H51" s="55"/>
      <c r="I51" s="55"/>
      <c r="J51" s="55"/>
      <c r="K51" s="55"/>
      <c r="L51" s="55"/>
      <c r="M51" s="55"/>
      <c r="N51" s="55"/>
      <c r="O51" s="55"/>
      <c r="P51" s="55"/>
      <c r="Q51" s="55"/>
      <c r="R51" s="55"/>
      <c r="S51" s="55"/>
      <c r="T51" s="55"/>
      <c r="U51" s="55"/>
      <c r="V51" s="55"/>
      <c r="W51" s="55"/>
      <c r="X51" s="55"/>
      <c r="Y51" s="55"/>
      <c r="AK51" s="417"/>
      <c r="AN51" s="55"/>
      <c r="AO51" s="55"/>
      <c r="AP51" s="55"/>
      <c r="AQ51" s="6"/>
      <c r="AR51" s="6"/>
      <c r="AS51" s="6"/>
      <c r="AT51" s="336"/>
      <c r="AU51" s="336"/>
      <c r="AV51" s="336"/>
      <c r="AW51" s="336"/>
      <c r="AX51" s="336"/>
      <c r="AY51" s="33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row>
    <row r="52" spans="1:88" ht="23.25" customHeight="1">
      <c r="A52" s="424"/>
      <c r="B52" s="185" t="s">
        <v>25</v>
      </c>
      <c r="C52" s="186">
        <f>'Lh Budgetting'!O14</f>
        <v>56475000</v>
      </c>
      <c r="D52" s="187">
        <f>'Lh Budgetting'!P14</f>
        <v>56475000</v>
      </c>
      <c r="E52" s="191">
        <f>'Lh Budgetting'!Q14</f>
        <v>56475000</v>
      </c>
      <c r="F52" s="55"/>
      <c r="G52" s="55"/>
      <c r="H52" s="55"/>
      <c r="I52" s="55"/>
      <c r="J52" s="55"/>
      <c r="K52" s="55"/>
      <c r="L52" s="55"/>
      <c r="M52" s="55"/>
      <c r="N52" s="55"/>
      <c r="O52" s="55"/>
      <c r="P52" s="55"/>
      <c r="Q52" s="55"/>
      <c r="R52" s="55"/>
      <c r="S52" s="55"/>
      <c r="T52" s="55"/>
      <c r="U52" s="55"/>
      <c r="V52" s="55"/>
      <c r="W52" s="55"/>
      <c r="X52" s="55"/>
      <c r="Y52" s="55"/>
      <c r="AK52" s="417"/>
      <c r="CC52" s="6"/>
      <c r="CD52" s="6"/>
      <c r="CE52" s="6"/>
      <c r="CF52" s="6"/>
      <c r="CG52" s="6"/>
      <c r="CH52" s="6"/>
      <c r="CI52" s="6"/>
      <c r="CJ52" s="6"/>
    </row>
    <row r="53" spans="2:124" ht="23.25" customHeight="1">
      <c r="B53" s="132" t="s">
        <v>23</v>
      </c>
      <c r="C53" s="62">
        <v>0.3</v>
      </c>
      <c r="D53" s="63">
        <v>0.3</v>
      </c>
      <c r="E53" s="222">
        <v>0.3</v>
      </c>
      <c r="F53" s="55"/>
      <c r="G53" s="55"/>
      <c r="H53" s="55"/>
      <c r="I53" s="55"/>
      <c r="J53" s="55"/>
      <c r="K53" s="55"/>
      <c r="L53" s="55"/>
      <c r="M53" s="55"/>
      <c r="N53" s="55"/>
      <c r="O53" s="55"/>
      <c r="P53" s="55"/>
      <c r="Q53" s="55"/>
      <c r="R53" s="55"/>
      <c r="S53" s="55"/>
      <c r="T53" s="55"/>
      <c r="U53" s="55"/>
      <c r="V53" s="55"/>
      <c r="W53" s="55"/>
      <c r="X53" s="55"/>
      <c r="Y53" s="55"/>
      <c r="AK53" s="417"/>
      <c r="CC53" s="6"/>
      <c r="CD53" s="6"/>
      <c r="CE53" s="6"/>
      <c r="CF53" s="6"/>
      <c r="CG53" s="6"/>
      <c r="CH53" s="6"/>
      <c r="CI53" s="6"/>
      <c r="CJ53" s="6"/>
      <c r="CK53" s="336"/>
      <c r="CL53" s="336"/>
      <c r="CM53" s="336"/>
      <c r="CN53" s="336"/>
      <c r="CO53" s="33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row>
    <row r="54" spans="2:124" ht="23.25" customHeight="1">
      <c r="B54" s="132" t="s">
        <v>24</v>
      </c>
      <c r="C54" s="62">
        <v>0.7</v>
      </c>
      <c r="D54" s="63">
        <v>0.7</v>
      </c>
      <c r="E54" s="222">
        <v>0.7</v>
      </c>
      <c r="F54" s="55"/>
      <c r="G54" s="55"/>
      <c r="H54" s="55"/>
      <c r="I54" s="55"/>
      <c r="J54" s="55"/>
      <c r="K54" s="55"/>
      <c r="L54" s="55"/>
      <c r="M54" s="55"/>
      <c r="N54" s="55"/>
      <c r="O54" s="55"/>
      <c r="P54" s="55"/>
      <c r="Q54" s="55"/>
      <c r="R54" s="55"/>
      <c r="S54" s="55"/>
      <c r="T54" s="55"/>
      <c r="U54" s="55"/>
      <c r="V54" s="55"/>
      <c r="W54" s="55"/>
      <c r="X54" s="55"/>
      <c r="Y54" s="55"/>
      <c r="AK54" s="417"/>
      <c r="CC54" s="6"/>
      <c r="CD54" s="6"/>
      <c r="CE54" s="6"/>
      <c r="CF54" s="6"/>
      <c r="CG54" s="6"/>
      <c r="CH54" s="6"/>
      <c r="CI54" s="6"/>
      <c r="CJ54" s="6"/>
      <c r="CK54" s="6"/>
      <c r="CL54" s="6"/>
      <c r="CM54" s="6"/>
      <c r="CN54" s="336"/>
      <c r="CO54" s="336"/>
      <c r="CP54" s="336"/>
      <c r="CQ54" s="336"/>
      <c r="CR54" s="336"/>
      <c r="CS54" s="336"/>
      <c r="CT54" s="33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row>
    <row r="55" spans="4:124" ht="23.25">
      <c r="D55" s="55"/>
      <c r="E55" s="55"/>
      <c r="F55" s="55"/>
      <c r="G55" s="55"/>
      <c r="H55" s="55"/>
      <c r="I55" s="55"/>
      <c r="J55" s="55"/>
      <c r="K55" s="55"/>
      <c r="L55" s="55"/>
      <c r="M55" s="55"/>
      <c r="N55" s="55"/>
      <c r="O55" s="55"/>
      <c r="P55" s="55"/>
      <c r="Q55" s="55"/>
      <c r="R55" s="55"/>
      <c r="S55" s="55"/>
      <c r="T55" s="55"/>
      <c r="U55" s="55"/>
      <c r="V55" s="55"/>
      <c r="AK55" s="417"/>
      <c r="AN55" s="55"/>
      <c r="AO55" s="55"/>
      <c r="AP55" s="55"/>
      <c r="AQ55" s="55"/>
      <c r="AR55" s="55"/>
      <c r="AS55" s="6"/>
      <c r="AT55" s="6"/>
      <c r="AU55" s="6"/>
      <c r="AV55" s="6"/>
      <c r="AW55" s="6"/>
      <c r="AX55" s="6"/>
      <c r="AY55" s="6"/>
      <c r="AZ55" s="61" t="s">
        <v>251</v>
      </c>
      <c r="BA55" s="336"/>
      <c r="BB55" s="336"/>
      <c r="BC55" s="336"/>
      <c r="BD55" s="336"/>
      <c r="BE55" s="336"/>
      <c r="BF55" s="33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f>S60/251</f>
        <v>148500</v>
      </c>
      <c r="CL55" s="55">
        <v>67.5</v>
      </c>
      <c r="CM55" s="55">
        <v>2.25</v>
      </c>
      <c r="CN55" s="55">
        <v>5.25</v>
      </c>
      <c r="CO55" s="55">
        <v>75</v>
      </c>
      <c r="CP55" s="6">
        <v>148500</v>
      </c>
      <c r="CQ55" s="55">
        <v>67.5</v>
      </c>
      <c r="CR55" s="55">
        <v>2.25</v>
      </c>
      <c r="CS55" s="55">
        <v>5.25</v>
      </c>
      <c r="CT55" s="55">
        <v>75</v>
      </c>
      <c r="CU55" s="6">
        <v>148500</v>
      </c>
      <c r="CV55" s="55">
        <v>67.5</v>
      </c>
      <c r="CW55" s="55">
        <v>2.25</v>
      </c>
      <c r="CX55" s="55">
        <v>5.25</v>
      </c>
      <c r="CY55" s="55">
        <v>75</v>
      </c>
      <c r="CZ55" s="6">
        <v>148500</v>
      </c>
      <c r="DA55" s="55">
        <v>67.5</v>
      </c>
      <c r="DB55" s="55">
        <v>2.25</v>
      </c>
      <c r="DC55" s="55">
        <v>5.25</v>
      </c>
      <c r="DD55" s="55">
        <v>75</v>
      </c>
      <c r="DE55" s="6">
        <v>148500</v>
      </c>
      <c r="DF55" s="55">
        <v>67.5</v>
      </c>
      <c r="DG55" s="55">
        <v>2.25</v>
      </c>
      <c r="DH55" s="55">
        <v>5.25</v>
      </c>
      <c r="DI55" s="55">
        <v>75</v>
      </c>
      <c r="DJ55" s="6">
        <v>148500</v>
      </c>
      <c r="DK55" s="55">
        <v>67.5</v>
      </c>
      <c r="DL55" s="55">
        <v>4.5</v>
      </c>
      <c r="DM55" s="55">
        <v>10.5</v>
      </c>
      <c r="DN55" s="55">
        <v>75</v>
      </c>
      <c r="DO55" s="6">
        <v>148500</v>
      </c>
      <c r="DP55" s="55">
        <v>67.5</v>
      </c>
      <c r="DQ55" s="55">
        <v>2.25</v>
      </c>
      <c r="DR55" s="55">
        <v>5.25</v>
      </c>
      <c r="DS55" s="55">
        <v>75</v>
      </c>
      <c r="DT55" s="6">
        <v>148500</v>
      </c>
    </row>
    <row r="56" spans="1:88" ht="21">
      <c r="A56" s="605" t="s">
        <v>118</v>
      </c>
      <c r="B56" s="606"/>
      <c r="C56" s="606"/>
      <c r="D56" s="606"/>
      <c r="E56" s="606"/>
      <c r="F56" s="606"/>
      <c r="G56" s="606"/>
      <c r="H56" s="650" t="s">
        <v>190</v>
      </c>
      <c r="I56" s="650"/>
      <c r="J56" s="650"/>
      <c r="K56" s="650"/>
      <c r="L56" s="650"/>
      <c r="M56" s="650"/>
      <c r="N56" s="633" t="s">
        <v>210</v>
      </c>
      <c r="O56" s="633"/>
      <c r="P56" s="633"/>
      <c r="Q56" s="633"/>
      <c r="R56" s="633"/>
      <c r="S56" s="633"/>
      <c r="T56" s="634" t="s">
        <v>230</v>
      </c>
      <c r="U56" s="634"/>
      <c r="V56" s="634"/>
      <c r="W56" s="634"/>
      <c r="X56" s="634"/>
      <c r="Y56" s="634"/>
      <c r="AK56" s="417"/>
      <c r="AO56" s="607" t="s">
        <v>10</v>
      </c>
      <c r="AP56" s="607"/>
      <c r="AQ56" s="607"/>
      <c r="AR56" s="607"/>
      <c r="AS56" s="607"/>
      <c r="AT56" s="449" t="s">
        <v>15</v>
      </c>
      <c r="AU56" s="449"/>
      <c r="AV56" s="449"/>
      <c r="AW56" s="449"/>
      <c r="AX56" s="449"/>
      <c r="AY56" s="449" t="s">
        <v>22</v>
      </c>
      <c r="AZ56" s="449"/>
      <c r="BA56" s="449"/>
      <c r="BB56" s="449"/>
      <c r="BC56" s="449"/>
      <c r="BD56" s="449" t="s">
        <v>12</v>
      </c>
      <c r="BE56" s="449"/>
      <c r="BF56" s="449"/>
      <c r="BG56" s="449"/>
      <c r="BH56" s="449"/>
      <c r="BI56" s="449" t="s">
        <v>13</v>
      </c>
      <c r="BJ56" s="449"/>
      <c r="BK56" s="449"/>
      <c r="BL56" s="449"/>
      <c r="BM56" s="449"/>
      <c r="BN56" s="449" t="s">
        <v>11</v>
      </c>
      <c r="BO56" s="449"/>
      <c r="BP56" s="449"/>
      <c r="BQ56" s="449"/>
      <c r="BR56" s="449"/>
      <c r="BS56" s="449" t="s">
        <v>16</v>
      </c>
      <c r="BT56" s="449"/>
      <c r="BU56" s="449"/>
      <c r="BV56" s="449"/>
      <c r="BW56" s="449"/>
      <c r="BX56" s="449" t="s">
        <v>14</v>
      </c>
      <c r="BY56" s="449"/>
      <c r="BZ56" s="449"/>
      <c r="CA56" s="449"/>
      <c r="CB56" s="449"/>
      <c r="CC56" s="47"/>
      <c r="CD56" s="47"/>
      <c r="CE56" s="47"/>
      <c r="CF56" s="47"/>
      <c r="CG56" s="47"/>
      <c r="CH56" s="47"/>
      <c r="CI56" s="47"/>
      <c r="CJ56" s="47"/>
    </row>
    <row r="57" spans="1:88" ht="29.25" customHeight="1" thickBot="1">
      <c r="A57" s="418" t="s">
        <v>5</v>
      </c>
      <c r="B57" s="34" t="s">
        <v>7</v>
      </c>
      <c r="C57" s="34" t="s">
        <v>2</v>
      </c>
      <c r="D57" s="608" t="s">
        <v>46</v>
      </c>
      <c r="E57" s="608"/>
      <c r="F57" s="339" t="s">
        <v>9</v>
      </c>
      <c r="G57" s="339" t="s">
        <v>0</v>
      </c>
      <c r="H57" s="205" t="s">
        <v>345</v>
      </c>
      <c r="I57" s="29" t="s">
        <v>20</v>
      </c>
      <c r="J57" s="28" t="s">
        <v>28</v>
      </c>
      <c r="K57" s="29" t="s">
        <v>27</v>
      </c>
      <c r="L57" s="28" t="s">
        <v>21</v>
      </c>
      <c r="M57" s="29" t="s">
        <v>95</v>
      </c>
      <c r="N57" s="260" t="s">
        <v>294</v>
      </c>
      <c r="O57" s="37" t="s">
        <v>20</v>
      </c>
      <c r="P57" s="40" t="s">
        <v>28</v>
      </c>
      <c r="Q57" s="37" t="s">
        <v>27</v>
      </c>
      <c r="R57" s="40" t="s">
        <v>21</v>
      </c>
      <c r="S57" s="37" t="s">
        <v>95</v>
      </c>
      <c r="T57" s="260" t="s">
        <v>295</v>
      </c>
      <c r="U57" s="172" t="s">
        <v>20</v>
      </c>
      <c r="V57" s="171" t="s">
        <v>28</v>
      </c>
      <c r="W57" s="172" t="s">
        <v>27</v>
      </c>
      <c r="X57" s="40" t="s">
        <v>21</v>
      </c>
      <c r="Y57" s="172" t="s">
        <v>95</v>
      </c>
      <c r="AK57" s="417"/>
      <c r="AO57" s="440" t="s">
        <v>20</v>
      </c>
      <c r="AP57" s="440" t="s">
        <v>28</v>
      </c>
      <c r="AQ57" s="440" t="s">
        <v>27</v>
      </c>
      <c r="AR57" s="440" t="s">
        <v>21</v>
      </c>
      <c r="AS57" s="440" t="s">
        <v>96</v>
      </c>
      <c r="AT57" s="440" t="s">
        <v>20</v>
      </c>
      <c r="AU57" s="440" t="s">
        <v>28</v>
      </c>
      <c r="AV57" s="440" t="s">
        <v>27</v>
      </c>
      <c r="AW57" s="440" t="s">
        <v>21</v>
      </c>
      <c r="AX57" s="440" t="s">
        <v>96</v>
      </c>
      <c r="AY57" s="440" t="s">
        <v>20</v>
      </c>
      <c r="AZ57" s="440" t="s">
        <v>28</v>
      </c>
      <c r="BA57" s="440" t="s">
        <v>27</v>
      </c>
      <c r="BB57" s="440" t="s">
        <v>21</v>
      </c>
      <c r="BC57" s="440" t="s">
        <v>96</v>
      </c>
      <c r="BD57" s="440" t="s">
        <v>20</v>
      </c>
      <c r="BE57" s="440" t="s">
        <v>28</v>
      </c>
      <c r="BF57" s="440" t="s">
        <v>27</v>
      </c>
      <c r="BG57" s="440" t="s">
        <v>21</v>
      </c>
      <c r="BH57" s="440" t="s">
        <v>96</v>
      </c>
      <c r="BI57" s="440" t="s">
        <v>20</v>
      </c>
      <c r="BJ57" s="440" t="s">
        <v>28</v>
      </c>
      <c r="BK57" s="440" t="s">
        <v>27</v>
      </c>
      <c r="BL57" s="440" t="s">
        <v>21</v>
      </c>
      <c r="BM57" s="440" t="s">
        <v>96</v>
      </c>
      <c r="BN57" s="440" t="s">
        <v>20</v>
      </c>
      <c r="BO57" s="440" t="s">
        <v>28</v>
      </c>
      <c r="BP57" s="440" t="s">
        <v>27</v>
      </c>
      <c r="BQ57" s="440" t="s">
        <v>21</v>
      </c>
      <c r="BR57" s="440" t="s">
        <v>96</v>
      </c>
      <c r="BS57" s="440" t="s">
        <v>20</v>
      </c>
      <c r="BT57" s="440" t="s">
        <v>28</v>
      </c>
      <c r="BU57" s="440" t="s">
        <v>27</v>
      </c>
      <c r="BV57" s="440" t="s">
        <v>21</v>
      </c>
      <c r="BW57" s="440" t="s">
        <v>96</v>
      </c>
      <c r="BX57" s="440" t="s">
        <v>20</v>
      </c>
      <c r="BY57" s="440" t="s">
        <v>28</v>
      </c>
      <c r="BZ57" s="440" t="s">
        <v>27</v>
      </c>
      <c r="CA57" s="440" t="s">
        <v>21</v>
      </c>
      <c r="CB57" s="440" t="s">
        <v>96</v>
      </c>
      <c r="CC57" s="47"/>
      <c r="CD57" s="47"/>
      <c r="CE57" s="47"/>
      <c r="CF57" s="47"/>
      <c r="CG57" s="47"/>
      <c r="CH57" s="47"/>
      <c r="CI57" s="47"/>
      <c r="CJ57" s="47"/>
    </row>
    <row r="58" spans="1:88" ht="74.25" customHeight="1">
      <c r="A58" s="419" t="s">
        <v>17</v>
      </c>
      <c r="B58" s="8" t="s">
        <v>160</v>
      </c>
      <c r="C58" s="8" t="s">
        <v>181</v>
      </c>
      <c r="D58" s="603" t="s">
        <v>198</v>
      </c>
      <c r="E58" s="603"/>
      <c r="F58" s="8" t="s">
        <v>93</v>
      </c>
      <c r="G58" s="8" t="s">
        <v>94</v>
      </c>
      <c r="H58" s="324" t="s">
        <v>347</v>
      </c>
      <c r="I58" s="202">
        <f>'Lh Budgetting'!T14</f>
        <v>16943</v>
      </c>
      <c r="J58" s="203">
        <f>'Lh Budgetting'!V14</f>
        <v>565</v>
      </c>
      <c r="K58" s="202">
        <f>'Lh Budgetting'!U14</f>
        <v>1318</v>
      </c>
      <c r="L58" s="203">
        <f>'Lh Budgetting'!S14</f>
        <v>18825</v>
      </c>
      <c r="M58" s="202">
        <v>251</v>
      </c>
      <c r="N58" s="269">
        <f>SUM(I58:L58)</f>
        <v>37651</v>
      </c>
      <c r="O58" s="201">
        <f>'Lh Budgetting'!AB14</f>
        <v>16943</v>
      </c>
      <c r="P58" s="266">
        <f>'Lh Budgetting'!AD14</f>
        <v>565</v>
      </c>
      <c r="Q58" s="201">
        <f>'Lh Budgetting'!AC14</f>
        <v>1318</v>
      </c>
      <c r="R58" s="266">
        <f>'Lh Budgetting'!AA14</f>
        <v>18825</v>
      </c>
      <c r="S58" s="201">
        <v>251</v>
      </c>
      <c r="T58" s="269">
        <f>SUM(O58:R58)</f>
        <v>37651</v>
      </c>
      <c r="U58" s="267">
        <f>'Lh Budgetting'!AH14</f>
        <v>16943</v>
      </c>
      <c r="V58" s="268">
        <f>'Lh Budgetting'!AJ14</f>
        <v>565</v>
      </c>
      <c r="W58" s="267">
        <f>'Lh Budgetting'!AI14</f>
        <v>1318</v>
      </c>
      <c r="X58" s="268">
        <f>'Lh Budgetting'!AG14</f>
        <v>18825</v>
      </c>
      <c r="Y58" s="267">
        <v>251</v>
      </c>
      <c r="AK58" s="417"/>
      <c r="AN58" s="66" t="s">
        <v>17</v>
      </c>
      <c r="AO58" s="450"/>
      <c r="AP58" s="450"/>
      <c r="AQ58" s="450"/>
      <c r="AR58" s="450"/>
      <c r="AS58" s="450">
        <v>32</v>
      </c>
      <c r="AT58" s="450"/>
      <c r="AU58" s="450"/>
      <c r="AV58" s="450"/>
      <c r="AW58" s="450"/>
      <c r="AX58" s="450">
        <v>33</v>
      </c>
      <c r="AY58" s="450"/>
      <c r="AZ58" s="450"/>
      <c r="BA58" s="450"/>
      <c r="BB58" s="450"/>
      <c r="BC58" s="450">
        <v>46</v>
      </c>
      <c r="BD58" s="450"/>
      <c r="BE58" s="450"/>
      <c r="BF58" s="450"/>
      <c r="BG58" s="450"/>
      <c r="BH58" s="450">
        <v>6</v>
      </c>
      <c r="BI58" s="450"/>
      <c r="BJ58" s="450"/>
      <c r="BK58" s="450"/>
      <c r="BL58" s="450"/>
      <c r="BM58" s="450">
        <v>39</v>
      </c>
      <c r="BN58" s="450"/>
      <c r="BO58" s="450"/>
      <c r="BP58" s="450"/>
      <c r="BQ58" s="450"/>
      <c r="BR58" s="450">
        <v>26</v>
      </c>
      <c r="BS58" s="450"/>
      <c r="BT58" s="450"/>
      <c r="BU58" s="450"/>
      <c r="BV58" s="450"/>
      <c r="BW58" s="450">
        <v>39</v>
      </c>
      <c r="BX58" s="450"/>
      <c r="BY58" s="450"/>
      <c r="BZ58" s="450"/>
      <c r="CA58" s="450"/>
      <c r="CB58" s="450">
        <v>30</v>
      </c>
      <c r="CC58" s="47"/>
      <c r="CD58" s="47"/>
      <c r="CE58" s="47"/>
      <c r="CF58" s="47"/>
      <c r="CG58" s="47"/>
      <c r="CH58" s="47"/>
      <c r="CI58" s="47"/>
      <c r="CJ58" s="47"/>
    </row>
    <row r="59" spans="1:88" ht="54" customHeight="1">
      <c r="A59" s="421" t="s">
        <v>18</v>
      </c>
      <c r="B59" s="9" t="s">
        <v>180</v>
      </c>
      <c r="C59" s="9" t="s">
        <v>182</v>
      </c>
      <c r="D59" s="663" t="s">
        <v>198</v>
      </c>
      <c r="E59" s="664"/>
      <c r="F59" s="9" t="s">
        <v>93</v>
      </c>
      <c r="G59" s="9" t="s">
        <v>94</v>
      </c>
      <c r="H59" s="270">
        <v>83959</v>
      </c>
      <c r="I59" s="35">
        <f>I58*30</f>
        <v>508290</v>
      </c>
      <c r="J59" s="36">
        <f>J58*30</f>
        <v>16950</v>
      </c>
      <c r="K59" s="35">
        <f>K58*30</f>
        <v>39540</v>
      </c>
      <c r="L59" s="36">
        <f>L58*30</f>
        <v>564750</v>
      </c>
      <c r="M59" s="35">
        <v>251</v>
      </c>
      <c r="N59" s="269">
        <f>SUM(I59:L59)</f>
        <v>1129530</v>
      </c>
      <c r="O59" s="38">
        <f>30*O58</f>
        <v>508290</v>
      </c>
      <c r="P59" s="42">
        <f>30*P58</f>
        <v>16950</v>
      </c>
      <c r="Q59" s="38">
        <f>30*Q58</f>
        <v>39540</v>
      </c>
      <c r="R59" s="42">
        <f>30*R58</f>
        <v>564750</v>
      </c>
      <c r="S59" s="38">
        <v>251</v>
      </c>
      <c r="T59" s="269">
        <f>SUM(O59:R59)</f>
        <v>1129530</v>
      </c>
      <c r="U59" s="174">
        <f>30*U58</f>
        <v>508290</v>
      </c>
      <c r="V59" s="165">
        <f>30*V58</f>
        <v>16950</v>
      </c>
      <c r="W59" s="174">
        <f>30*W58</f>
        <v>39540</v>
      </c>
      <c r="X59" s="165">
        <f>30*X58</f>
        <v>564750</v>
      </c>
      <c r="Y59" s="174">
        <v>251</v>
      </c>
      <c r="AK59" s="417"/>
      <c r="AN59" s="451" t="s">
        <v>18</v>
      </c>
      <c r="AO59" s="452" t="e">
        <f>AS58*#REF!</f>
        <v>#REF!</v>
      </c>
      <c r="AP59" s="452"/>
      <c r="AQ59" s="452"/>
      <c r="AR59" s="452" t="e">
        <f>AS58*#REF!</f>
        <v>#REF!</v>
      </c>
      <c r="AS59" s="452"/>
      <c r="AT59" s="452">
        <f>AX58*CL55</f>
        <v>2227.5</v>
      </c>
      <c r="AU59" s="452">
        <f>AX58*CM55</f>
        <v>74.25</v>
      </c>
      <c r="AV59" s="452">
        <f>AX58*CN55</f>
        <v>173.25</v>
      </c>
      <c r="AW59" s="452">
        <f>AX58*CO55</f>
        <v>2475</v>
      </c>
      <c r="AX59" s="452"/>
      <c r="AY59" s="452">
        <f>BC58*CQ55</f>
        <v>3105</v>
      </c>
      <c r="AZ59" s="452">
        <f>BC58*CR55</f>
        <v>103.5</v>
      </c>
      <c r="BA59" s="452">
        <f>BC58*CS55</f>
        <v>241.5</v>
      </c>
      <c r="BB59" s="452">
        <f>BC58*CT55</f>
        <v>3450</v>
      </c>
      <c r="BC59" s="452"/>
      <c r="BD59" s="452">
        <f>BH58*CV55</f>
        <v>405</v>
      </c>
      <c r="BE59" s="452">
        <f>BH58*CW55</f>
        <v>13.5</v>
      </c>
      <c r="BF59" s="452">
        <f>BH58*CX55</f>
        <v>31.5</v>
      </c>
      <c r="BG59" s="452">
        <f>BH58*CY55</f>
        <v>450</v>
      </c>
      <c r="BH59" s="452"/>
      <c r="BI59" s="452">
        <f>BM58*DA55</f>
        <v>2632.5</v>
      </c>
      <c r="BJ59" s="452">
        <f>BM58*DB55</f>
        <v>87.75</v>
      </c>
      <c r="BK59" s="452">
        <f>BM58*DC55</f>
        <v>204.75</v>
      </c>
      <c r="BL59" s="452">
        <f>BM58*DD55</f>
        <v>2925</v>
      </c>
      <c r="BM59" s="452"/>
      <c r="BN59" s="452">
        <f>BR58*DF55</f>
        <v>1755</v>
      </c>
      <c r="BO59" s="452">
        <f>BR58*DG55</f>
        <v>58.5</v>
      </c>
      <c r="BP59" s="452">
        <f>BR58*DH55</f>
        <v>136.5</v>
      </c>
      <c r="BQ59" s="452">
        <f>BR58*DI55</f>
        <v>1950</v>
      </c>
      <c r="BR59" s="452"/>
      <c r="BS59" s="452">
        <f>BW58*DK55</f>
        <v>2632.5</v>
      </c>
      <c r="BT59" s="452">
        <f>BW58*DL55</f>
        <v>175.5</v>
      </c>
      <c r="BU59" s="452">
        <f>BW58*DM55</f>
        <v>409.5</v>
      </c>
      <c r="BV59" s="452">
        <f>BW58*DN55</f>
        <v>2925</v>
      </c>
      <c r="BW59" s="452"/>
      <c r="BX59" s="452">
        <f>CB58*DP55</f>
        <v>2025</v>
      </c>
      <c r="BY59" s="452">
        <f>CB58*DQ55</f>
        <v>67.5</v>
      </c>
      <c r="BZ59" s="452">
        <f>CB58*DR55</f>
        <v>157.5</v>
      </c>
      <c r="CA59" s="452">
        <f>CB58*DS55</f>
        <v>2250</v>
      </c>
      <c r="CB59" s="452"/>
      <c r="CC59" s="47"/>
      <c r="CD59" s="47"/>
      <c r="CE59" s="47"/>
      <c r="CF59" s="47"/>
      <c r="CG59" s="47"/>
      <c r="CH59" s="47"/>
      <c r="CI59" s="47"/>
      <c r="CJ59" s="47"/>
    </row>
    <row r="60" spans="1:88" s="103" customFormat="1" ht="54" customHeight="1">
      <c r="A60" s="426" t="s">
        <v>19</v>
      </c>
      <c r="B60" s="10" t="s">
        <v>235</v>
      </c>
      <c r="C60" s="10" t="s">
        <v>236</v>
      </c>
      <c r="D60" s="645" t="s">
        <v>198</v>
      </c>
      <c r="E60" s="646"/>
      <c r="F60" s="10" t="s">
        <v>237</v>
      </c>
      <c r="G60" s="10" t="s">
        <v>94</v>
      </c>
      <c r="H60" s="270">
        <v>2362127</v>
      </c>
      <c r="I60" s="647"/>
      <c r="J60" s="648"/>
      <c r="K60" s="648"/>
      <c r="L60" s="649"/>
      <c r="M60" s="35">
        <f>0.66*C52</f>
        <v>37273500</v>
      </c>
      <c r="N60" s="271">
        <f>M60</f>
        <v>37273500</v>
      </c>
      <c r="O60" s="627"/>
      <c r="P60" s="628"/>
      <c r="Q60" s="628"/>
      <c r="R60" s="629"/>
      <c r="S60" s="272">
        <f>0.66*D52</f>
        <v>37273500</v>
      </c>
      <c r="T60" s="271">
        <f>S60</f>
        <v>37273500</v>
      </c>
      <c r="U60" s="630"/>
      <c r="V60" s="631"/>
      <c r="W60" s="631"/>
      <c r="X60" s="632"/>
      <c r="Y60" s="273">
        <f>0.66*E52</f>
        <v>37273500</v>
      </c>
      <c r="Z60" s="54"/>
      <c r="AA60" s="54"/>
      <c r="AB60" s="54"/>
      <c r="AC60" s="54"/>
      <c r="AD60" s="54"/>
      <c r="AE60" s="54"/>
      <c r="AF60" s="54"/>
      <c r="AG60" s="54"/>
      <c r="AH60" s="54"/>
      <c r="AI60" s="54"/>
      <c r="AJ60" s="54"/>
      <c r="AK60" s="428"/>
      <c r="AL60" s="54"/>
      <c r="AM60" s="54"/>
      <c r="AN60" s="453" t="s">
        <v>19</v>
      </c>
      <c r="AO60" s="454"/>
      <c r="AP60" s="454"/>
      <c r="AQ60" s="454"/>
      <c r="AR60" s="454"/>
      <c r="AS60" s="454">
        <f>CK55*AS58</f>
        <v>4752000</v>
      </c>
      <c r="AT60" s="454"/>
      <c r="AU60" s="454"/>
      <c r="AV60" s="454"/>
      <c r="AW60" s="454"/>
      <c r="AX60" s="454">
        <f>AX58*CP55</f>
        <v>4900500</v>
      </c>
      <c r="AY60" s="454"/>
      <c r="AZ60" s="454"/>
      <c r="BA60" s="454"/>
      <c r="BB60" s="454"/>
      <c r="BC60" s="454">
        <f>BC58*CU55</f>
        <v>6831000</v>
      </c>
      <c r="BD60" s="454"/>
      <c r="BE60" s="454"/>
      <c r="BF60" s="454"/>
      <c r="BG60" s="454"/>
      <c r="BH60" s="454">
        <f>BH58*CZ55</f>
        <v>891000</v>
      </c>
      <c r="BI60" s="454"/>
      <c r="BJ60" s="454"/>
      <c r="BK60" s="454"/>
      <c r="BL60" s="454"/>
      <c r="BM60" s="454">
        <f>BM58*DE55</f>
        <v>5791500</v>
      </c>
      <c r="BN60" s="454"/>
      <c r="BO60" s="454"/>
      <c r="BP60" s="454"/>
      <c r="BQ60" s="454"/>
      <c r="BR60" s="454">
        <f>BR58*DJ55</f>
        <v>3861000</v>
      </c>
      <c r="BS60" s="454"/>
      <c r="BT60" s="454"/>
      <c r="BU60" s="454"/>
      <c r="BV60" s="454"/>
      <c r="BW60" s="454">
        <f>BW58*DO55</f>
        <v>5791500</v>
      </c>
      <c r="BX60" s="454"/>
      <c r="BY60" s="454"/>
      <c r="BZ60" s="454"/>
      <c r="CA60" s="454"/>
      <c r="CB60" s="454">
        <f>CB58*DT55</f>
        <v>4455000</v>
      </c>
      <c r="CC60" s="47"/>
      <c r="CD60" s="47"/>
      <c r="CE60" s="47"/>
      <c r="CF60" s="47"/>
      <c r="CG60" s="47"/>
      <c r="CH60" s="47"/>
      <c r="CI60" s="47"/>
      <c r="CJ60" s="54"/>
    </row>
    <row r="61" spans="2:88" ht="23.25">
      <c r="B61" s="55"/>
      <c r="C61" s="55"/>
      <c r="D61" s="55"/>
      <c r="E61" s="55"/>
      <c r="F61" s="55"/>
      <c r="G61" s="55"/>
      <c r="H61" s="55"/>
      <c r="I61" s="55"/>
      <c r="J61" s="55"/>
      <c r="K61" s="55"/>
      <c r="L61" s="55"/>
      <c r="M61" s="55"/>
      <c r="N61" s="55"/>
      <c r="O61" s="55"/>
      <c r="P61" s="55"/>
      <c r="Q61" s="55"/>
      <c r="R61" s="55"/>
      <c r="S61" s="55"/>
      <c r="AK61" s="417"/>
      <c r="AP61" s="6"/>
      <c r="AU61" s="64"/>
      <c r="AV61" s="65"/>
      <c r="AW61" s="65"/>
      <c r="AX61" s="65"/>
      <c r="AY61" s="65"/>
      <c r="AZ61" s="65"/>
      <c r="BA61" s="65"/>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4"/>
      <c r="CI61" s="54"/>
      <c r="CJ61" s="53"/>
    </row>
    <row r="62" spans="1:88" ht="23.25">
      <c r="A62" s="427" t="s">
        <v>119</v>
      </c>
      <c r="B62" s="303"/>
      <c r="C62" s="303"/>
      <c r="D62" s="303"/>
      <c r="E62" s="303"/>
      <c r="F62" s="303"/>
      <c r="G62" s="304"/>
      <c r="H62" s="55"/>
      <c r="I62" s="55"/>
      <c r="J62" s="55"/>
      <c r="K62" s="55"/>
      <c r="L62" s="69"/>
      <c r="M62" s="69"/>
      <c r="N62" s="69"/>
      <c r="O62" s="69"/>
      <c r="P62" s="69"/>
      <c r="Q62" s="69"/>
      <c r="R62" s="69"/>
      <c r="S62" s="69"/>
      <c r="T62" s="69"/>
      <c r="U62" s="69"/>
      <c r="V62" s="69"/>
      <c r="AK62" s="417"/>
      <c r="AN62" s="69"/>
      <c r="AU62" s="54"/>
      <c r="AV62" s="335"/>
      <c r="AW62" s="335"/>
      <c r="AX62" s="335"/>
      <c r="AY62" s="335"/>
      <c r="AZ62" s="335"/>
      <c r="BA62" s="335"/>
      <c r="BB62" s="335"/>
      <c r="BC62" s="335"/>
      <c r="BD62" s="335"/>
      <c r="BE62" s="335"/>
      <c r="BF62" s="335"/>
      <c r="BG62" s="335"/>
      <c r="BH62" s="335"/>
      <c r="BI62" s="335"/>
      <c r="BJ62" s="335"/>
      <c r="BK62" s="335"/>
      <c r="BL62" s="335"/>
      <c r="BM62" s="335"/>
      <c r="BN62" s="335"/>
      <c r="BO62" s="335"/>
      <c r="BP62" s="335"/>
      <c r="BQ62" s="335"/>
      <c r="BR62" s="335"/>
      <c r="BS62" s="335"/>
      <c r="BT62" s="335"/>
      <c r="BU62" s="335"/>
      <c r="BV62" s="335"/>
      <c r="BW62" s="335"/>
      <c r="BX62" s="335"/>
      <c r="BY62" s="335"/>
      <c r="BZ62" s="335"/>
      <c r="CA62" s="335"/>
      <c r="CB62" s="335"/>
      <c r="CC62" s="335"/>
      <c r="CD62" s="335"/>
      <c r="CE62" s="335"/>
      <c r="CF62" s="335"/>
      <c r="CG62" s="335"/>
      <c r="CH62" s="335"/>
      <c r="CI62" s="335"/>
      <c r="CJ62" s="335"/>
    </row>
    <row r="63" spans="1:88" ht="36" customHeight="1">
      <c r="A63" s="621" t="s">
        <v>98</v>
      </c>
      <c r="B63" s="622"/>
      <c r="C63" s="622"/>
      <c r="D63" s="622"/>
      <c r="E63" s="622"/>
      <c r="F63" s="622"/>
      <c r="G63" s="623"/>
      <c r="H63" s="55"/>
      <c r="I63" s="55"/>
      <c r="J63" s="55"/>
      <c r="K63" s="55"/>
      <c r="L63" s="71"/>
      <c r="M63" s="71"/>
      <c r="N63" s="71"/>
      <c r="W63" s="66"/>
      <c r="X63" s="67"/>
      <c r="AK63" s="417"/>
      <c r="CC63" s="47"/>
      <c r="CD63" s="47"/>
      <c r="CE63" s="47"/>
      <c r="CF63" s="47"/>
      <c r="CG63" s="47"/>
      <c r="CH63" s="47"/>
      <c r="CI63" s="47"/>
      <c r="CJ63" s="47"/>
    </row>
    <row r="64" spans="1:132" ht="29.25" customHeight="1">
      <c r="A64" s="609" t="s">
        <v>97</v>
      </c>
      <c r="B64" s="610"/>
      <c r="C64" s="610"/>
      <c r="D64" s="610"/>
      <c r="E64" s="610"/>
      <c r="F64" s="610"/>
      <c r="G64" s="611"/>
      <c r="H64" s="55"/>
      <c r="I64" s="55"/>
      <c r="J64" s="55"/>
      <c r="K64" s="55"/>
      <c r="L64" s="131"/>
      <c r="M64" s="70"/>
      <c r="N64" s="70"/>
      <c r="W64" s="66"/>
      <c r="X64" s="68"/>
      <c r="AK64" s="417"/>
      <c r="CC64" s="47"/>
      <c r="CI64" s="67"/>
      <c r="CJ64" s="66"/>
      <c r="CK64" s="67"/>
      <c r="CL64" s="67"/>
      <c r="CM64" s="67"/>
      <c r="CN64" s="67">
        <v>821752</v>
      </c>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54"/>
      <c r="DZ64" s="47"/>
      <c r="EA64" s="47"/>
      <c r="EB64" s="47"/>
    </row>
    <row r="65" spans="1:132" ht="27" customHeight="1">
      <c r="A65" s="660" t="s">
        <v>177</v>
      </c>
      <c r="B65" s="661"/>
      <c r="C65" s="661"/>
      <c r="D65" s="661"/>
      <c r="E65" s="661"/>
      <c r="F65" s="661"/>
      <c r="G65" s="662"/>
      <c r="H65" s="55"/>
      <c r="I65" s="55"/>
      <c r="J65" s="55"/>
      <c r="K65" s="55"/>
      <c r="L65" s="70"/>
      <c r="M65" s="70"/>
      <c r="N65" s="70"/>
      <c r="W65" s="66"/>
      <c r="X65" s="68"/>
      <c r="AK65" s="417"/>
      <c r="BS65" s="54"/>
      <c r="BT65" s="54"/>
      <c r="BU65" s="54"/>
      <c r="CC65" s="47"/>
      <c r="CI65" s="68"/>
      <c r="CJ65" s="66" t="s">
        <v>238</v>
      </c>
      <c r="CK65" s="68"/>
      <c r="CL65" s="68"/>
      <c r="CM65" s="68"/>
      <c r="CN65" s="68">
        <v>90887</v>
      </c>
      <c r="CO65" s="68"/>
      <c r="CP65" s="68"/>
      <c r="CQ65" s="68"/>
      <c r="CR65" s="68"/>
      <c r="CS65" s="68">
        <v>136475</v>
      </c>
      <c r="CT65" s="68"/>
      <c r="CU65" s="68"/>
      <c r="CV65" s="68"/>
      <c r="CW65" s="68"/>
      <c r="CX65" s="68">
        <v>230582</v>
      </c>
      <c r="CY65" s="68"/>
      <c r="CZ65" s="68"/>
      <c r="DA65" s="68"/>
      <c r="DB65" s="68"/>
      <c r="DC65" s="68">
        <v>31655</v>
      </c>
      <c r="DD65" s="68"/>
      <c r="DE65" s="68"/>
      <c r="DF65" s="68"/>
      <c r="DG65" s="68"/>
      <c r="DH65" s="47">
        <v>43246</v>
      </c>
      <c r="DI65" s="68"/>
      <c r="DJ65" s="68"/>
      <c r="DK65" s="68"/>
      <c r="DL65" s="68"/>
      <c r="DM65" s="68">
        <v>88235</v>
      </c>
      <c r="DN65" s="68"/>
      <c r="DO65" s="68"/>
      <c r="DP65" s="68"/>
      <c r="DQ65" s="68"/>
      <c r="DR65" s="68">
        <v>130205</v>
      </c>
      <c r="DS65" s="68"/>
      <c r="DT65" s="68"/>
      <c r="DU65" s="68"/>
      <c r="DV65" s="68"/>
      <c r="DW65" s="68">
        <v>70467</v>
      </c>
      <c r="DX65" s="68"/>
      <c r="DY65" s="54"/>
      <c r="DZ65" s="47"/>
      <c r="EA65" s="47"/>
      <c r="EB65" s="47"/>
    </row>
    <row r="66" spans="1:132" ht="27.75" customHeight="1">
      <c r="A66" s="657" t="s">
        <v>178</v>
      </c>
      <c r="B66" s="658"/>
      <c r="C66" s="658"/>
      <c r="D66" s="658"/>
      <c r="E66" s="658"/>
      <c r="F66" s="658"/>
      <c r="G66" s="659"/>
      <c r="H66" s="55"/>
      <c r="I66" s="55"/>
      <c r="J66" s="55"/>
      <c r="K66" s="55"/>
      <c r="L66" s="70"/>
      <c r="M66" s="70"/>
      <c r="N66" s="70"/>
      <c r="W66" s="66"/>
      <c r="X66" s="68"/>
      <c r="AK66" s="417"/>
      <c r="BS66" s="6"/>
      <c r="BT66" s="6"/>
      <c r="BU66" s="6"/>
      <c r="CC66" s="47"/>
      <c r="CI66" s="68"/>
      <c r="CJ66" s="47"/>
      <c r="CK66" s="47"/>
      <c r="CL66" s="47"/>
      <c r="CM66" s="47"/>
      <c r="CN66" s="47">
        <f>CN65/CN64</f>
        <v>0.11060149534166026</v>
      </c>
      <c r="CO66" s="47"/>
      <c r="CP66" s="47"/>
      <c r="CQ66" s="47"/>
      <c r="CR66" s="47"/>
      <c r="CS66" s="47">
        <f>CS65/CN64</f>
        <v>0.16607808681938102</v>
      </c>
      <c r="CT66" s="47"/>
      <c r="CU66" s="47"/>
      <c r="CV66" s="47"/>
      <c r="CW66" s="47"/>
      <c r="CX66" s="47">
        <f>CX65/CN64</f>
        <v>0.28059803931113037</v>
      </c>
      <c r="CY66" s="47"/>
      <c r="CZ66" s="47"/>
      <c r="DA66" s="47"/>
      <c r="DB66" s="47"/>
      <c r="DC66" s="47">
        <f>DC65/CN64</f>
        <v>0.038521354374555825</v>
      </c>
      <c r="DD66" s="47"/>
      <c r="DE66" s="47"/>
      <c r="DF66" s="47"/>
      <c r="DG66" s="47"/>
      <c r="DH66" s="47">
        <f>DH65/CN64</f>
        <v>0.0526265832027181</v>
      </c>
      <c r="DI66" s="47"/>
      <c r="DJ66" s="47"/>
      <c r="DK66" s="47"/>
      <c r="DL66" s="47"/>
      <c r="DM66" s="47">
        <f>DM65/CN64</f>
        <v>0.10737424429754963</v>
      </c>
      <c r="DN66" s="47"/>
      <c r="DO66" s="47"/>
      <c r="DP66" s="47"/>
      <c r="DQ66" s="47"/>
      <c r="DR66" s="47">
        <f>DR65/CN64</f>
        <v>0.15844804758613304</v>
      </c>
      <c r="DS66" s="47"/>
      <c r="DT66" s="47"/>
      <c r="DU66" s="47"/>
      <c r="DV66" s="47"/>
      <c r="DW66" s="47">
        <f>DW65/CN64</f>
        <v>0.08575214906687176</v>
      </c>
      <c r="DX66" s="54"/>
      <c r="DY66" s="54"/>
      <c r="DZ66" s="54"/>
      <c r="EA66" s="54"/>
      <c r="EB66" s="54"/>
    </row>
    <row r="67" spans="1:132" ht="15.75" thickBot="1">
      <c r="A67" s="433"/>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CC67" s="47"/>
      <c r="CI67" s="68"/>
      <c r="CJ67" s="47" t="s">
        <v>239</v>
      </c>
      <c r="CK67" s="53"/>
      <c r="CL67" s="53"/>
      <c r="CM67" s="53"/>
      <c r="CN67" s="47">
        <v>6.6</v>
      </c>
      <c r="CO67" s="47"/>
      <c r="CP67" s="47"/>
      <c r="CQ67" s="54"/>
      <c r="CR67" s="54"/>
      <c r="CS67" s="54">
        <v>13.8</v>
      </c>
      <c r="CT67" s="54"/>
      <c r="CU67" s="54"/>
      <c r="CV67" s="54"/>
      <c r="CW67" s="54"/>
      <c r="CX67" s="54">
        <v>37.4</v>
      </c>
      <c r="CY67" s="54"/>
      <c r="CZ67" s="54"/>
      <c r="DA67" s="54"/>
      <c r="DB67" s="54"/>
      <c r="DC67" s="54">
        <v>10</v>
      </c>
      <c r="DD67" s="54"/>
      <c r="DE67" s="54"/>
      <c r="DF67" s="54"/>
      <c r="DG67" s="54"/>
      <c r="DH67" s="54">
        <v>6.9</v>
      </c>
      <c r="DI67" s="54"/>
      <c r="DJ67" s="54"/>
      <c r="DK67" s="54"/>
      <c r="DL67" s="54"/>
      <c r="DM67" s="54">
        <v>6.8</v>
      </c>
      <c r="DN67" s="54"/>
      <c r="DO67" s="54"/>
      <c r="DP67" s="54"/>
      <c r="DQ67" s="54"/>
      <c r="DR67" s="54">
        <v>11.7</v>
      </c>
      <c r="DS67" s="54"/>
      <c r="DT67" s="54"/>
      <c r="DU67" s="54"/>
      <c r="DV67" s="54"/>
      <c r="DW67" s="54">
        <v>6.8</v>
      </c>
      <c r="DX67" s="53"/>
      <c r="DY67" s="53"/>
      <c r="DZ67" s="53"/>
      <c r="EA67" s="53"/>
      <c r="EB67" s="6"/>
    </row>
    <row r="68" spans="81:132" ht="15">
      <c r="CC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row>
    <row r="69" spans="81:132" ht="15">
      <c r="CC69" s="47"/>
      <c r="CI69" s="47"/>
      <c r="CJ69" s="47"/>
      <c r="CK69" s="47"/>
      <c r="CL69" s="47"/>
      <c r="CM69" s="47">
        <f>37650*6.6%</f>
        <v>2484.9</v>
      </c>
      <c r="CN69" s="47"/>
      <c r="CO69" s="47"/>
      <c r="CP69" s="47"/>
      <c r="CQ69" s="47"/>
      <c r="CR69" s="47"/>
      <c r="CS69" s="47">
        <f>22500*13.8%</f>
        <v>3105.0000000000005</v>
      </c>
      <c r="CT69" s="47"/>
      <c r="CU69" s="47"/>
      <c r="CV69" s="47"/>
      <c r="CW69" s="47"/>
      <c r="CX69" s="47">
        <f>22500*37.4%</f>
        <v>8415</v>
      </c>
      <c r="CY69" s="47"/>
      <c r="CZ69" s="47"/>
      <c r="DA69" s="47"/>
      <c r="DB69" s="47"/>
      <c r="DC69" s="47">
        <f>22500*10%</f>
        <v>2250</v>
      </c>
      <c r="DD69" s="47"/>
      <c r="DE69" s="47"/>
      <c r="DF69" s="47"/>
      <c r="DG69" s="47"/>
      <c r="DH69" s="47"/>
      <c r="DI69" s="47"/>
      <c r="DJ69" s="47"/>
      <c r="DK69" s="47"/>
      <c r="DL69" s="47"/>
      <c r="DM69" s="47">
        <f>22500*6.8%</f>
        <v>1530</v>
      </c>
      <c r="DN69" s="47"/>
      <c r="DO69" s="47"/>
      <c r="DP69" s="47"/>
      <c r="DQ69" s="47"/>
      <c r="DR69" s="47">
        <f>22500*11.7%</f>
        <v>2632.5</v>
      </c>
      <c r="DS69" s="47"/>
      <c r="DT69" s="47"/>
      <c r="DU69" s="47"/>
      <c r="DV69" s="47"/>
      <c r="DW69" s="47">
        <f>22500*6.8%</f>
        <v>1530</v>
      </c>
      <c r="DX69" s="47"/>
      <c r="DY69" s="47"/>
      <c r="DZ69" s="47"/>
      <c r="EA69" s="47"/>
      <c r="EB69" s="47"/>
    </row>
    <row r="70" spans="81:132" ht="15">
      <c r="CC70" s="47"/>
      <c r="CI70" s="47"/>
      <c r="CJ70" s="47"/>
      <c r="CK70" s="47"/>
      <c r="CL70" s="47">
        <f>37650/10125</f>
        <v>3.7185185185185183</v>
      </c>
      <c r="CM70" s="47">
        <f>CM69/CL70</f>
        <v>668.2500000000001</v>
      </c>
      <c r="CN70" s="47"/>
      <c r="CO70" s="47"/>
      <c r="CP70" s="47"/>
      <c r="CQ70" s="47"/>
      <c r="CR70" s="47">
        <f>22500/10125</f>
        <v>2.2222222222222223</v>
      </c>
      <c r="CS70" s="47">
        <f>CS69/CR70</f>
        <v>1397.2500000000002</v>
      </c>
      <c r="CT70" s="47"/>
      <c r="CU70" s="47"/>
      <c r="CV70" s="47"/>
      <c r="CW70" s="47">
        <f>22500/10125</f>
        <v>2.2222222222222223</v>
      </c>
      <c r="CX70" s="47">
        <f>CX69/CW70</f>
        <v>3786.75</v>
      </c>
      <c r="CY70" s="47"/>
      <c r="CZ70" s="47"/>
      <c r="DA70" s="47"/>
      <c r="DB70" s="47">
        <f>22500/10125</f>
        <v>2.2222222222222223</v>
      </c>
      <c r="DC70" s="47">
        <f>DC69/DB70</f>
        <v>1012.5</v>
      </c>
      <c r="DD70" s="47"/>
      <c r="DE70" s="47"/>
      <c r="DF70" s="47"/>
      <c r="DG70" s="47"/>
      <c r="DH70" s="47">
        <f>22500*6.9%</f>
        <v>1552.5000000000002</v>
      </c>
      <c r="DI70" s="47"/>
      <c r="DJ70" s="47"/>
      <c r="DK70" s="47"/>
      <c r="DL70" s="47">
        <f>22500/10125</f>
        <v>2.2222222222222223</v>
      </c>
      <c r="DM70" s="47">
        <f>DM69/DL70</f>
        <v>688.5</v>
      </c>
      <c r="DN70" s="47"/>
      <c r="DO70" s="47"/>
      <c r="DP70" s="47"/>
      <c r="DQ70" s="47">
        <f>22500/10125</f>
        <v>2.2222222222222223</v>
      </c>
      <c r="DR70" s="47">
        <f>DR69/DQ70</f>
        <v>1184.625</v>
      </c>
      <c r="DS70" s="47"/>
      <c r="DT70" s="47"/>
      <c r="DU70" s="47"/>
      <c r="DV70" s="47">
        <f>22500/10125</f>
        <v>2.2222222222222223</v>
      </c>
      <c r="DW70" s="47">
        <f>DW69/DV70</f>
        <v>688.5</v>
      </c>
      <c r="DX70" s="47"/>
      <c r="DY70" s="47"/>
      <c r="DZ70" s="47"/>
      <c r="EA70" s="47"/>
      <c r="EB70" s="47"/>
    </row>
    <row r="71" spans="81:132" ht="15">
      <c r="CC71" s="47"/>
      <c r="CI71" s="47"/>
      <c r="CJ71" s="47"/>
      <c r="CK71" s="47"/>
      <c r="CL71" s="47">
        <f>37650/338</f>
        <v>111.3905325443787</v>
      </c>
      <c r="CM71" s="47">
        <f>CM69/CL71</f>
        <v>22.308</v>
      </c>
      <c r="CN71" s="47"/>
      <c r="CO71" s="47"/>
      <c r="CP71" s="47"/>
      <c r="CQ71" s="47"/>
      <c r="CR71" s="47">
        <f>22500/338</f>
        <v>66.5680473372781</v>
      </c>
      <c r="CS71" s="47">
        <f>CS69/CR71</f>
        <v>46.64400000000001</v>
      </c>
      <c r="CT71" s="47"/>
      <c r="CU71" s="47"/>
      <c r="CV71" s="47"/>
      <c r="CW71" s="47">
        <f>22500/338</f>
        <v>66.5680473372781</v>
      </c>
      <c r="CX71" s="47">
        <f>CX69/CW71</f>
        <v>126.412</v>
      </c>
      <c r="CY71" s="47"/>
      <c r="CZ71" s="47"/>
      <c r="DA71" s="47"/>
      <c r="DB71" s="47">
        <f>22500/338</f>
        <v>66.5680473372781</v>
      </c>
      <c r="DC71" s="47">
        <f>DC69/DB71</f>
        <v>33.800000000000004</v>
      </c>
      <c r="DD71" s="47"/>
      <c r="DE71" s="47"/>
      <c r="DF71" s="47"/>
      <c r="DG71" s="47">
        <f>22500/10125</f>
        <v>2.2222222222222223</v>
      </c>
      <c r="DH71" s="47">
        <f>DH70/DG71</f>
        <v>698.6250000000001</v>
      </c>
      <c r="DI71" s="47"/>
      <c r="DJ71" s="47"/>
      <c r="DK71" s="47"/>
      <c r="DL71" s="47">
        <f>22500/338</f>
        <v>66.5680473372781</v>
      </c>
      <c r="DM71" s="47">
        <f>DM69/DL71</f>
        <v>22.984</v>
      </c>
      <c r="DN71" s="47"/>
      <c r="DO71" s="47"/>
      <c r="DP71" s="47"/>
      <c r="DQ71" s="47">
        <f>22500/338</f>
        <v>66.5680473372781</v>
      </c>
      <c r="DR71" s="47">
        <f>DR69/DQ71</f>
        <v>39.546</v>
      </c>
      <c r="DS71" s="47"/>
      <c r="DT71" s="47"/>
      <c r="DU71" s="47"/>
      <c r="DV71" s="47">
        <f>22500/338</f>
        <v>66.5680473372781</v>
      </c>
      <c r="DW71" s="47">
        <f>DW69/DV71</f>
        <v>22.984</v>
      </c>
      <c r="DX71" s="47"/>
      <c r="DY71" s="47"/>
      <c r="DZ71" s="47"/>
      <c r="EA71" s="47"/>
      <c r="EB71" s="47"/>
    </row>
    <row r="72" spans="81:132" ht="15">
      <c r="CC72" s="47"/>
      <c r="CI72" s="47"/>
      <c r="CJ72" s="47"/>
      <c r="CK72" s="47"/>
      <c r="CL72" s="47">
        <f>37650/788</f>
        <v>47.77918781725889</v>
      </c>
      <c r="CM72" s="47">
        <f>CM69/CL72</f>
        <v>52.007999999999996</v>
      </c>
      <c r="CN72" s="47"/>
      <c r="CO72" s="47"/>
      <c r="CP72" s="47"/>
      <c r="CQ72" s="47"/>
      <c r="CR72" s="47">
        <f>22500/788</f>
        <v>28.553299492385786</v>
      </c>
      <c r="CS72" s="47">
        <f>CS69/CR72</f>
        <v>108.74400000000001</v>
      </c>
      <c r="CT72" s="47"/>
      <c r="CU72" s="47"/>
      <c r="CV72" s="47"/>
      <c r="CW72" s="47">
        <f>22500/788</f>
        <v>28.553299492385786</v>
      </c>
      <c r="CX72" s="47">
        <f>CX69/CW72</f>
        <v>294.712</v>
      </c>
      <c r="CY72" s="47"/>
      <c r="CZ72" s="47"/>
      <c r="DA72" s="47"/>
      <c r="DB72" s="47">
        <f>22500/788</f>
        <v>28.553299492385786</v>
      </c>
      <c r="DC72" s="47">
        <f>DC69/DB72</f>
        <v>78.8</v>
      </c>
      <c r="DD72" s="47"/>
      <c r="DE72" s="47"/>
      <c r="DF72" s="47"/>
      <c r="DG72" s="47">
        <f>22500/338</f>
        <v>66.5680473372781</v>
      </c>
      <c r="DH72" s="47">
        <f>DH70/DG72</f>
        <v>23.322000000000006</v>
      </c>
      <c r="DI72" s="47"/>
      <c r="DJ72" s="47"/>
      <c r="DK72" s="47"/>
      <c r="DL72" s="47">
        <f>22500/788</f>
        <v>28.553299492385786</v>
      </c>
      <c r="DM72" s="47">
        <f>DM69/DL72</f>
        <v>53.584</v>
      </c>
      <c r="DN72" s="47"/>
      <c r="DO72" s="47"/>
      <c r="DP72" s="47"/>
      <c r="DQ72" s="47">
        <f>22500/788</f>
        <v>28.553299492385786</v>
      </c>
      <c r="DR72" s="47">
        <f>DR69/DQ72</f>
        <v>92.196</v>
      </c>
      <c r="DS72" s="47"/>
      <c r="DT72" s="47"/>
      <c r="DU72" s="47"/>
      <c r="DV72" s="47">
        <f>22500/788</f>
        <v>28.553299492385786</v>
      </c>
      <c r="DW72" s="47">
        <f>DW69/DV72</f>
        <v>53.584</v>
      </c>
      <c r="DX72" s="47"/>
      <c r="DY72" s="47"/>
      <c r="DZ72" s="47"/>
      <c r="EA72" s="47"/>
      <c r="EB72" s="47"/>
    </row>
    <row r="73" spans="81:132" ht="15">
      <c r="CC73" s="47"/>
      <c r="CI73" s="47"/>
      <c r="CJ73" s="47"/>
      <c r="CK73" s="47"/>
      <c r="CL73" s="47">
        <f>37650/11250</f>
        <v>3.3466666666666667</v>
      </c>
      <c r="CM73" s="47">
        <f>CM69/CL73</f>
        <v>742.5</v>
      </c>
      <c r="CN73" s="47"/>
      <c r="CO73" s="47"/>
      <c r="CP73" s="47"/>
      <c r="CQ73" s="47"/>
      <c r="CR73" s="47">
        <f>22500/11250</f>
        <v>2</v>
      </c>
      <c r="CS73" s="47">
        <f>CS69/CR73</f>
        <v>1552.5000000000002</v>
      </c>
      <c r="CT73" s="47"/>
      <c r="CU73" s="47"/>
      <c r="CV73" s="47"/>
      <c r="CW73" s="47">
        <f>22500/11250</f>
        <v>2</v>
      </c>
      <c r="CX73" s="47">
        <f>CX69/CW73</f>
        <v>4207.5</v>
      </c>
      <c r="CY73" s="47"/>
      <c r="CZ73" s="47"/>
      <c r="DA73" s="47"/>
      <c r="DB73" s="47">
        <f>22500/11250</f>
        <v>2</v>
      </c>
      <c r="DC73" s="47">
        <f>DC69/DB73</f>
        <v>1125</v>
      </c>
      <c r="DD73" s="47"/>
      <c r="DE73" s="47"/>
      <c r="DF73" s="47"/>
      <c r="DG73" s="47">
        <f>22500/788</f>
        <v>28.553299492385786</v>
      </c>
      <c r="DH73" s="47">
        <f>DH70/DG73</f>
        <v>54.37200000000001</v>
      </c>
      <c r="DI73" s="47"/>
      <c r="DJ73" s="47"/>
      <c r="DK73" s="47"/>
      <c r="DL73" s="47">
        <f>22500/11250</f>
        <v>2</v>
      </c>
      <c r="DM73" s="47">
        <f>DM69/DL73</f>
        <v>765</v>
      </c>
      <c r="DN73" s="47"/>
      <c r="DO73" s="47"/>
      <c r="DP73" s="47"/>
      <c r="DQ73" s="47">
        <f>22500/11250</f>
        <v>2</v>
      </c>
      <c r="DR73" s="47">
        <f>DR69/DQ73</f>
        <v>1316.25</v>
      </c>
      <c r="DS73" s="47"/>
      <c r="DT73" s="47"/>
      <c r="DU73" s="47"/>
      <c r="DV73" s="47">
        <f>22500/11250</f>
        <v>2</v>
      </c>
      <c r="DW73" s="47">
        <f>DW69/DV73</f>
        <v>765</v>
      </c>
      <c r="DX73" s="47"/>
      <c r="DY73" s="47"/>
      <c r="DZ73" s="47"/>
      <c r="EA73" s="47"/>
      <c r="EB73" s="47"/>
    </row>
    <row r="74" spans="81:132" ht="15">
      <c r="CC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f>22500/11250</f>
        <v>2</v>
      </c>
      <c r="DH74" s="47">
        <f>DH70/DG74</f>
        <v>776.2500000000001</v>
      </c>
      <c r="DI74" s="47"/>
      <c r="DJ74" s="47"/>
      <c r="DK74" s="47"/>
      <c r="DL74" s="47"/>
      <c r="DM74" s="47"/>
      <c r="DN74" s="47"/>
      <c r="DO74" s="47"/>
      <c r="DP74" s="47"/>
      <c r="DQ74" s="47"/>
      <c r="DR74" s="47"/>
      <c r="DS74" s="47"/>
      <c r="DT74" s="47"/>
      <c r="DU74" s="47"/>
      <c r="DV74" s="47"/>
      <c r="DW74" s="47"/>
      <c r="DX74" s="47"/>
      <c r="DY74" s="47"/>
      <c r="DZ74" s="47"/>
      <c r="EA74" s="47"/>
      <c r="EB74" s="47"/>
    </row>
    <row r="75" spans="81:132" ht="15">
      <c r="CC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row>
    <row r="76" ht="15">
      <c r="CC76" s="47"/>
    </row>
    <row r="77" ht="15">
      <c r="CC77" s="47"/>
    </row>
    <row r="78" ht="15">
      <c r="CC78" s="47"/>
    </row>
    <row r="79" ht="15">
      <c r="CC79" s="47"/>
    </row>
    <row r="80" ht="15">
      <c r="CC80" s="47"/>
    </row>
    <row r="81" ht="15">
      <c r="CC81" s="47"/>
    </row>
    <row r="82" ht="15">
      <c r="CC82" s="47"/>
    </row>
    <row r="83" ht="15">
      <c r="CC83" s="47"/>
    </row>
    <row r="84" ht="15">
      <c r="CC84" s="47"/>
    </row>
    <row r="85" ht="15">
      <c r="CC85" s="47"/>
    </row>
    <row r="86" ht="15">
      <c r="CC86" s="47"/>
    </row>
    <row r="87" ht="15">
      <c r="CC87" s="47"/>
    </row>
    <row r="88" ht="15">
      <c r="CC88" s="47"/>
    </row>
    <row r="89" ht="15">
      <c r="CC89" s="47"/>
    </row>
    <row r="90" ht="15">
      <c r="CC90" s="47"/>
    </row>
    <row r="91" ht="15">
      <c r="CC91" s="47"/>
    </row>
    <row r="92" ht="15">
      <c r="CC92" s="47"/>
    </row>
    <row r="93" ht="15">
      <c r="CC93" s="47"/>
    </row>
    <row r="94" ht="15">
      <c r="CC94" s="47"/>
    </row>
    <row r="95" ht="15">
      <c r="CC95" s="47"/>
    </row>
    <row r="96" ht="15">
      <c r="CC96" s="47"/>
    </row>
    <row r="97" ht="15">
      <c r="CC97" s="47"/>
    </row>
    <row r="98" ht="15">
      <c r="CC98" s="47"/>
    </row>
    <row r="99" ht="15">
      <c r="CC99" s="47"/>
    </row>
    <row r="100" ht="15">
      <c r="CC100" s="47"/>
    </row>
    <row r="101" ht="15">
      <c r="CC101" s="47"/>
    </row>
    <row r="102" ht="15">
      <c r="CC102" s="47"/>
    </row>
    <row r="103" ht="15">
      <c r="CC103" s="47"/>
    </row>
    <row r="104" ht="15">
      <c r="CC104" s="47"/>
    </row>
    <row r="105" ht="15">
      <c r="CC105" s="47"/>
    </row>
  </sheetData>
  <sheetProtection/>
  <mergeCells count="86">
    <mergeCell ref="A1:O1"/>
    <mergeCell ref="T3:W3"/>
    <mergeCell ref="D4:E4"/>
    <mergeCell ref="D5:E5"/>
    <mergeCell ref="A3:G3"/>
    <mergeCell ref="L3:O3"/>
    <mergeCell ref="P3:S3"/>
    <mergeCell ref="CM35:CM36"/>
    <mergeCell ref="U39:Y39"/>
    <mergeCell ref="CM37:CM38"/>
    <mergeCell ref="X3:AA3"/>
    <mergeCell ref="H3:K3"/>
    <mergeCell ref="A26:K26"/>
    <mergeCell ref="A27:K27"/>
    <mergeCell ref="A28:K28"/>
    <mergeCell ref="A24:K24"/>
    <mergeCell ref="A25:K25"/>
    <mergeCell ref="AC6:AK6"/>
    <mergeCell ref="AO6:AV6"/>
    <mergeCell ref="AZ6:BG6"/>
    <mergeCell ref="BJ6:BQ6"/>
    <mergeCell ref="D21:E21"/>
    <mergeCell ref="L6:S6"/>
    <mergeCell ref="A66:G66"/>
    <mergeCell ref="A64:G64"/>
    <mergeCell ref="A65:G65"/>
    <mergeCell ref="A56:G56"/>
    <mergeCell ref="D57:E57"/>
    <mergeCell ref="D59:E59"/>
    <mergeCell ref="A63:G63"/>
    <mergeCell ref="T6:AB6"/>
    <mergeCell ref="A11:J11"/>
    <mergeCell ref="AY3:BC3"/>
    <mergeCell ref="L18:O18"/>
    <mergeCell ref="P18:S18"/>
    <mergeCell ref="T18:W18"/>
    <mergeCell ref="D7:E7"/>
    <mergeCell ref="H6:K6"/>
    <mergeCell ref="A18:G18"/>
    <mergeCell ref="D8:E8"/>
    <mergeCell ref="A6:G6"/>
    <mergeCell ref="AV18:BC18"/>
    <mergeCell ref="AO56:AS56"/>
    <mergeCell ref="BW23:CA23"/>
    <mergeCell ref="BC23:BG23"/>
    <mergeCell ref="BH23:BL23"/>
    <mergeCell ref="BM23:BQ23"/>
    <mergeCell ref="AX23:BB23"/>
    <mergeCell ref="O60:R60"/>
    <mergeCell ref="U60:X60"/>
    <mergeCell ref="N56:S56"/>
    <mergeCell ref="T56:Y56"/>
    <mergeCell ref="AA18:AH18"/>
    <mergeCell ref="H39:N39"/>
    <mergeCell ref="O39:T39"/>
    <mergeCell ref="A32:K32"/>
    <mergeCell ref="D19:E19"/>
    <mergeCell ref="D20:E20"/>
    <mergeCell ref="A49:K49"/>
    <mergeCell ref="D58:E58"/>
    <mergeCell ref="D60:E60"/>
    <mergeCell ref="I60:L60"/>
    <mergeCell ref="H56:M56"/>
    <mergeCell ref="H46:K46"/>
    <mergeCell ref="A47:G47"/>
    <mergeCell ref="H43:K43"/>
    <mergeCell ref="A45:G45"/>
    <mergeCell ref="A46:G46"/>
    <mergeCell ref="H44:K44"/>
    <mergeCell ref="H45:K45"/>
    <mergeCell ref="D41:E41"/>
    <mergeCell ref="D42:E42"/>
    <mergeCell ref="A39:G39"/>
    <mergeCell ref="BX3:CB3"/>
    <mergeCell ref="BS3:BW3"/>
    <mergeCell ref="BN3:BR3"/>
    <mergeCell ref="BI3:BM3"/>
    <mergeCell ref="BD3:BH3"/>
    <mergeCell ref="D40:E40"/>
    <mergeCell ref="AO3:AS3"/>
    <mergeCell ref="AT3:AX3"/>
    <mergeCell ref="A29:K29"/>
    <mergeCell ref="A30:K30"/>
    <mergeCell ref="AN23:AR23"/>
    <mergeCell ref="AS23:AW23"/>
    <mergeCell ref="AL18:AS18"/>
  </mergeCells>
  <printOptions/>
  <pageMargins left="0.25" right="0.25" top="0.75" bottom="0.75" header="0.3" footer="0.3"/>
  <pageSetup fitToHeight="1" fitToWidth="1" horizontalDpi="600" verticalDpi="600" orientation="landscape" paperSize="9" scale="10"/>
</worksheet>
</file>

<file path=xl/worksheets/sheet4.xml><?xml version="1.0" encoding="utf-8"?>
<worksheet xmlns="http://schemas.openxmlformats.org/spreadsheetml/2006/main" xmlns:r="http://schemas.openxmlformats.org/officeDocument/2006/relationships">
  <sheetPr>
    <pageSetUpPr fitToPage="1"/>
  </sheetPr>
  <dimension ref="A1:BU46"/>
  <sheetViews>
    <sheetView zoomScale="60" zoomScaleNormal="60" zoomScalePageLayoutView="60" workbookViewId="0" topLeftCell="A1">
      <selection activeCell="C11" sqref="C11"/>
    </sheetView>
  </sheetViews>
  <sheetFormatPr defaultColWidth="8.8515625" defaultRowHeight="15"/>
  <cols>
    <col min="1" max="1" width="8.8515625" style="0" customWidth="1"/>
    <col min="2" max="2" width="19.8515625" style="0" customWidth="1"/>
    <col min="3" max="3" width="30.140625" style="0" customWidth="1"/>
    <col min="4" max="4" width="37.00390625" style="0" customWidth="1"/>
    <col min="5" max="5" width="27.421875" style="0" customWidth="1"/>
    <col min="6" max="6" width="8.8515625" style="0" customWidth="1"/>
    <col min="7" max="7" width="23.00390625" style="0" customWidth="1"/>
    <col min="8" max="8" width="12.00390625" style="0" customWidth="1"/>
    <col min="9" max="9" width="13.421875" style="0" bestFit="1" customWidth="1"/>
    <col min="10" max="13" width="8.8515625" style="0" customWidth="1"/>
    <col min="14" max="14" width="12.28125" style="0" customWidth="1"/>
    <col min="15" max="19" width="8.8515625" style="0" customWidth="1"/>
    <col min="20" max="20" width="13.8515625" style="0" customWidth="1"/>
    <col min="21" max="21" width="8.8515625" style="0" customWidth="1"/>
    <col min="22" max="22" width="14.00390625" style="0" bestFit="1" customWidth="1"/>
    <col min="23" max="24" width="8.8515625" style="0" customWidth="1"/>
    <col min="25" max="25" width="13.421875" style="0" bestFit="1" customWidth="1"/>
    <col min="26" max="26" width="8.8515625" style="0" customWidth="1"/>
    <col min="27" max="27" width="12.28125" style="0" bestFit="1" customWidth="1"/>
    <col min="28" max="29" width="8.8515625" style="0" customWidth="1"/>
    <col min="30" max="30" width="13.421875" style="0" customWidth="1"/>
    <col min="31" max="34" width="8.8515625" style="0" customWidth="1"/>
    <col min="35" max="35" width="13.00390625" style="0" bestFit="1" customWidth="1"/>
    <col min="36" max="36" width="8.8515625" style="0" customWidth="1"/>
    <col min="37" max="37" width="14.00390625" style="0" bestFit="1" customWidth="1"/>
    <col min="38" max="44" width="8.8515625" style="0" customWidth="1"/>
    <col min="45" max="45" width="13.00390625" style="0" bestFit="1" customWidth="1"/>
    <col min="46" max="46" width="8.8515625" style="0" customWidth="1"/>
    <col min="47" max="47" width="13.421875" style="0" bestFit="1" customWidth="1"/>
    <col min="48" max="49" width="8.8515625" style="0" customWidth="1"/>
    <col min="50" max="50" width="14.00390625" style="0" bestFit="1" customWidth="1"/>
    <col min="51" max="54" width="8.8515625" style="0" customWidth="1"/>
    <col min="55" max="55" width="13.00390625" style="0" bestFit="1" customWidth="1"/>
    <col min="56" max="59" width="8.8515625" style="0" customWidth="1"/>
    <col min="60" max="60" width="12.421875" style="0" bestFit="1" customWidth="1"/>
  </cols>
  <sheetData>
    <row r="1" spans="1:73" ht="23.25" customHeight="1">
      <c r="A1" s="681" t="s">
        <v>327</v>
      </c>
      <c r="B1" s="682"/>
      <c r="C1" s="682"/>
      <c r="D1" s="682"/>
      <c r="E1" s="682"/>
      <c r="F1" s="682"/>
      <c r="G1" s="682"/>
      <c r="H1" s="414"/>
      <c r="I1" s="457"/>
      <c r="J1" s="457"/>
      <c r="K1" s="457"/>
      <c r="L1" s="457"/>
      <c r="M1" s="457"/>
      <c r="N1" s="457"/>
      <c r="O1" s="457"/>
      <c r="P1" s="457"/>
      <c r="Q1" s="457"/>
      <c r="R1" s="457"/>
      <c r="S1" s="457"/>
      <c r="T1" s="457"/>
      <c r="U1" s="457"/>
      <c r="V1" s="457"/>
      <c r="W1" s="457"/>
      <c r="X1" s="457"/>
      <c r="Y1" s="457"/>
      <c r="Z1" s="458"/>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54"/>
      <c r="BK1" s="54"/>
      <c r="BL1" s="54"/>
      <c r="BM1" s="54"/>
      <c r="BN1" s="54"/>
      <c r="BO1" s="54"/>
      <c r="BP1" s="54"/>
      <c r="BQ1" s="54"/>
      <c r="BR1" s="47"/>
      <c r="BS1" s="47"/>
      <c r="BT1" s="47"/>
      <c r="BU1" s="47"/>
    </row>
    <row r="2" spans="1:73" ht="23.25">
      <c r="A2" s="683" t="s">
        <v>164</v>
      </c>
      <c r="B2" s="684"/>
      <c r="C2" s="684"/>
      <c r="D2" s="684"/>
      <c r="E2" s="684"/>
      <c r="F2" s="684"/>
      <c r="G2" s="684"/>
      <c r="H2" s="275"/>
      <c r="I2" s="176"/>
      <c r="J2" s="176"/>
      <c r="K2" s="176"/>
      <c r="L2" s="176"/>
      <c r="M2" s="176"/>
      <c r="N2" s="176"/>
      <c r="O2" s="176"/>
      <c r="P2" s="176"/>
      <c r="Q2" s="176"/>
      <c r="R2" s="176"/>
      <c r="S2" s="176"/>
      <c r="T2" s="176"/>
      <c r="U2" s="176"/>
      <c r="V2" s="176"/>
      <c r="W2" s="176"/>
      <c r="X2" s="176"/>
      <c r="Y2" s="176"/>
      <c r="Z2" s="459"/>
      <c r="AA2" s="176"/>
      <c r="AB2" s="176"/>
      <c r="AC2" s="176"/>
      <c r="AD2" s="176"/>
      <c r="AE2" s="176"/>
      <c r="AF2" s="177"/>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54"/>
      <c r="BK2" s="54"/>
      <c r="BL2" s="54"/>
      <c r="BM2" s="54"/>
      <c r="BN2" s="54"/>
      <c r="BO2" s="54"/>
      <c r="BP2" s="54"/>
      <c r="BQ2" s="54"/>
      <c r="BR2" s="47"/>
      <c r="BS2" s="47"/>
      <c r="BT2" s="47"/>
      <c r="BU2" s="47"/>
    </row>
    <row r="3" spans="1:73" ht="21">
      <c r="A3" s="685"/>
      <c r="B3" s="686"/>
      <c r="C3" s="686"/>
      <c r="D3" s="686"/>
      <c r="E3" s="686"/>
      <c r="F3" s="686"/>
      <c r="G3" s="686"/>
      <c r="H3" s="650" t="s">
        <v>190</v>
      </c>
      <c r="I3" s="650"/>
      <c r="J3" s="650"/>
      <c r="K3" s="650"/>
      <c r="L3" s="650"/>
      <c r="M3" s="650"/>
      <c r="N3" s="633" t="s">
        <v>210</v>
      </c>
      <c r="O3" s="633"/>
      <c r="P3" s="633"/>
      <c r="Q3" s="633"/>
      <c r="R3" s="633"/>
      <c r="S3" s="633"/>
      <c r="T3" s="634" t="s">
        <v>230</v>
      </c>
      <c r="U3" s="634"/>
      <c r="V3" s="634"/>
      <c r="W3" s="634"/>
      <c r="X3" s="634"/>
      <c r="Y3" s="634"/>
      <c r="Z3" s="417"/>
      <c r="AA3" s="118"/>
      <c r="AB3" s="678" t="s">
        <v>10</v>
      </c>
      <c r="AC3" s="679"/>
      <c r="AD3" s="679"/>
      <c r="AE3" s="679"/>
      <c r="AF3" s="680"/>
      <c r="AG3" s="678" t="s">
        <v>15</v>
      </c>
      <c r="AH3" s="679"/>
      <c r="AI3" s="679"/>
      <c r="AJ3" s="679"/>
      <c r="AK3" s="680"/>
      <c r="AL3" s="678" t="s">
        <v>22</v>
      </c>
      <c r="AM3" s="679"/>
      <c r="AN3" s="679"/>
      <c r="AO3" s="679"/>
      <c r="AP3" s="680"/>
      <c r="AQ3" s="678" t="s">
        <v>12</v>
      </c>
      <c r="AR3" s="679"/>
      <c r="AS3" s="679"/>
      <c r="AT3" s="679"/>
      <c r="AU3" s="680"/>
      <c r="AV3" s="678" t="s">
        <v>13</v>
      </c>
      <c r="AW3" s="679"/>
      <c r="AX3" s="679"/>
      <c r="AY3" s="679"/>
      <c r="AZ3" s="680"/>
      <c r="BA3" s="678" t="s">
        <v>11</v>
      </c>
      <c r="BB3" s="679"/>
      <c r="BC3" s="679"/>
      <c r="BD3" s="679"/>
      <c r="BE3" s="680"/>
      <c r="BF3" s="678" t="s">
        <v>16</v>
      </c>
      <c r="BG3" s="679"/>
      <c r="BH3" s="679"/>
      <c r="BI3" s="679"/>
      <c r="BJ3" s="680"/>
      <c r="BK3" s="678" t="s">
        <v>14</v>
      </c>
      <c r="BL3" s="679"/>
      <c r="BM3" s="679"/>
      <c r="BN3" s="679"/>
      <c r="BO3" s="680"/>
      <c r="BU3" s="47"/>
    </row>
    <row r="4" spans="1:73" ht="34.5" customHeight="1" thickBot="1">
      <c r="A4" s="418" t="s">
        <v>5</v>
      </c>
      <c r="B4" s="34" t="s">
        <v>171</v>
      </c>
      <c r="C4" s="34" t="s">
        <v>2</v>
      </c>
      <c r="D4" s="690" t="s">
        <v>46</v>
      </c>
      <c r="E4" s="691"/>
      <c r="F4" s="339" t="s">
        <v>9</v>
      </c>
      <c r="G4" s="339" t="s">
        <v>0</v>
      </c>
      <c r="H4" s="205" t="s">
        <v>345</v>
      </c>
      <c r="I4" s="29" t="s">
        <v>20</v>
      </c>
      <c r="J4" s="28" t="s">
        <v>28</v>
      </c>
      <c r="K4" s="29" t="s">
        <v>27</v>
      </c>
      <c r="L4" s="28" t="s">
        <v>21</v>
      </c>
      <c r="M4" s="29" t="s">
        <v>34</v>
      </c>
      <c r="N4" s="205" t="s">
        <v>294</v>
      </c>
      <c r="O4" s="37" t="s">
        <v>20</v>
      </c>
      <c r="P4" s="40" t="s">
        <v>28</v>
      </c>
      <c r="Q4" s="37" t="s">
        <v>27</v>
      </c>
      <c r="R4" s="40" t="s">
        <v>21</v>
      </c>
      <c r="S4" s="37" t="s">
        <v>34</v>
      </c>
      <c r="T4" s="205" t="s">
        <v>295</v>
      </c>
      <c r="U4" s="172" t="s">
        <v>20</v>
      </c>
      <c r="V4" s="171" t="s">
        <v>28</v>
      </c>
      <c r="W4" s="172" t="s">
        <v>27</v>
      </c>
      <c r="X4" s="171" t="s">
        <v>21</v>
      </c>
      <c r="Y4" s="172" t="s">
        <v>34</v>
      </c>
      <c r="Z4" s="417"/>
      <c r="AA4" s="118"/>
      <c r="AB4" s="179" t="s">
        <v>20</v>
      </c>
      <c r="AC4" s="179" t="s">
        <v>28</v>
      </c>
      <c r="AD4" s="179" t="s">
        <v>27</v>
      </c>
      <c r="AE4" s="179" t="s">
        <v>21</v>
      </c>
      <c r="AF4" s="179" t="s">
        <v>34</v>
      </c>
      <c r="AG4" s="179" t="s">
        <v>20</v>
      </c>
      <c r="AH4" s="179" t="s">
        <v>28</v>
      </c>
      <c r="AI4" s="179" t="s">
        <v>27</v>
      </c>
      <c r="AJ4" s="179" t="s">
        <v>21</v>
      </c>
      <c r="AK4" s="179" t="s">
        <v>34</v>
      </c>
      <c r="AL4" s="179" t="s">
        <v>20</v>
      </c>
      <c r="AM4" s="179" t="s">
        <v>28</v>
      </c>
      <c r="AN4" s="179" t="s">
        <v>27</v>
      </c>
      <c r="AO4" s="179" t="s">
        <v>21</v>
      </c>
      <c r="AP4" s="179" t="s">
        <v>34</v>
      </c>
      <c r="AQ4" s="179" t="s">
        <v>20</v>
      </c>
      <c r="AR4" s="179" t="s">
        <v>28</v>
      </c>
      <c r="AS4" s="179" t="s">
        <v>27</v>
      </c>
      <c r="AT4" s="179" t="s">
        <v>21</v>
      </c>
      <c r="AU4" s="179" t="s">
        <v>34</v>
      </c>
      <c r="AV4" s="179" t="s">
        <v>20</v>
      </c>
      <c r="AW4" s="179" t="s">
        <v>28</v>
      </c>
      <c r="AX4" s="179" t="s">
        <v>27</v>
      </c>
      <c r="AY4" s="179" t="s">
        <v>21</v>
      </c>
      <c r="AZ4" s="179" t="s">
        <v>34</v>
      </c>
      <c r="BA4" s="178" t="s">
        <v>20</v>
      </c>
      <c r="BB4" s="168" t="s">
        <v>28</v>
      </c>
      <c r="BC4" s="168" t="s">
        <v>27</v>
      </c>
      <c r="BD4" s="168" t="s">
        <v>21</v>
      </c>
      <c r="BE4" s="180"/>
      <c r="BF4" s="168" t="s">
        <v>20</v>
      </c>
      <c r="BG4" s="168" t="s">
        <v>28</v>
      </c>
      <c r="BH4" s="168" t="s">
        <v>27</v>
      </c>
      <c r="BI4" s="168" t="s">
        <v>21</v>
      </c>
      <c r="BJ4" s="168"/>
      <c r="BK4" s="178" t="s">
        <v>20</v>
      </c>
      <c r="BL4" s="168" t="s">
        <v>28</v>
      </c>
      <c r="BM4" s="168" t="s">
        <v>27</v>
      </c>
      <c r="BN4" s="168" t="s">
        <v>21</v>
      </c>
      <c r="BO4" s="168" t="s">
        <v>34</v>
      </c>
      <c r="BU4" s="47"/>
    </row>
    <row r="5" spans="1:73" ht="95.25" customHeight="1">
      <c r="A5" s="460" t="s">
        <v>17</v>
      </c>
      <c r="B5" s="8" t="s">
        <v>326</v>
      </c>
      <c r="C5" s="8" t="s">
        <v>240</v>
      </c>
      <c r="D5" s="692" t="s">
        <v>99</v>
      </c>
      <c r="E5" s="693"/>
      <c r="F5" s="192" t="s">
        <v>93</v>
      </c>
      <c r="G5" s="192" t="s">
        <v>94</v>
      </c>
      <c r="H5" s="254" t="s">
        <v>57</v>
      </c>
      <c r="I5" s="35">
        <f>1000*0.75</f>
        <v>750</v>
      </c>
      <c r="J5" s="36">
        <f>60*0.75</f>
        <v>45</v>
      </c>
      <c r="K5" s="35">
        <f>140*0.75</f>
        <v>105</v>
      </c>
      <c r="L5" s="36">
        <f>2800*0.75</f>
        <v>2100</v>
      </c>
      <c r="M5" s="32"/>
      <c r="N5" s="254">
        <f>SUM(I5:L5)</f>
        <v>3000</v>
      </c>
      <c r="O5" s="38">
        <v>750</v>
      </c>
      <c r="P5" s="42">
        <v>45</v>
      </c>
      <c r="Q5" s="38">
        <v>105</v>
      </c>
      <c r="R5" s="42">
        <v>2100</v>
      </c>
      <c r="S5" s="39"/>
      <c r="T5" s="254">
        <f>SUM(O5:R5)</f>
        <v>3000</v>
      </c>
      <c r="U5" s="174">
        <v>750</v>
      </c>
      <c r="V5" s="165">
        <v>45</v>
      </c>
      <c r="W5" s="174">
        <v>105</v>
      </c>
      <c r="X5" s="165">
        <v>2100</v>
      </c>
      <c r="Y5" s="173"/>
      <c r="Z5" s="417"/>
      <c r="AA5" s="325" t="s">
        <v>17</v>
      </c>
      <c r="AB5" s="99">
        <f>175*0.75</f>
        <v>131.25</v>
      </c>
      <c r="AC5" s="99">
        <v>0</v>
      </c>
      <c r="AD5" s="99">
        <v>0</v>
      </c>
      <c r="AE5" s="99">
        <f>249*0.75</f>
        <v>186.75</v>
      </c>
      <c r="AF5" s="99">
        <v>0</v>
      </c>
      <c r="AG5" s="99">
        <f>175*0.75</f>
        <v>131.25</v>
      </c>
      <c r="AH5" s="99">
        <f>10*0.75</f>
        <v>7.5</v>
      </c>
      <c r="AI5" s="99">
        <f>20*0.75</f>
        <v>15</v>
      </c>
      <c r="AJ5" s="99">
        <f>374*0.75</f>
        <v>280.5</v>
      </c>
      <c r="AK5" s="99">
        <v>0</v>
      </c>
      <c r="AL5" s="45">
        <f>175*0.75</f>
        <v>131.25</v>
      </c>
      <c r="AM5" s="45">
        <f>10*0.75</f>
        <v>7.5</v>
      </c>
      <c r="AN5" s="45">
        <f>20*0.75</f>
        <v>15</v>
      </c>
      <c r="AO5" s="45">
        <f>633*0.75</f>
        <v>474.75</v>
      </c>
      <c r="AP5" s="45">
        <v>0</v>
      </c>
      <c r="AQ5" s="45">
        <f>59*0.75</f>
        <v>44.25</v>
      </c>
      <c r="AR5" s="45">
        <f>10*0.75</f>
        <v>7.5</v>
      </c>
      <c r="AS5" s="45">
        <f>20*0.75</f>
        <v>15</v>
      </c>
      <c r="AT5" s="45">
        <f>633*0.75</f>
        <v>474.75</v>
      </c>
      <c r="AU5" s="45">
        <v>0</v>
      </c>
      <c r="AV5" s="45">
        <f>125*0.75</f>
        <v>93.75</v>
      </c>
      <c r="AW5" s="45">
        <v>0</v>
      </c>
      <c r="AX5" s="45">
        <f>20*0.75</f>
        <v>15</v>
      </c>
      <c r="AY5" s="45">
        <f>119*0.75</f>
        <v>89.25</v>
      </c>
      <c r="AZ5" s="45">
        <v>0</v>
      </c>
      <c r="BA5" s="45">
        <f>175*0.75</f>
        <v>131.25</v>
      </c>
      <c r="BB5" s="45">
        <f>10*0.75</f>
        <v>7.5</v>
      </c>
      <c r="BC5" s="45">
        <f>20*0.75</f>
        <v>15</v>
      </c>
      <c r="BD5" s="45">
        <f>242*0.75</f>
        <v>181.5</v>
      </c>
      <c r="BE5" s="45">
        <v>0</v>
      </c>
      <c r="BF5" s="45">
        <f>58*0.75</f>
        <v>43.5</v>
      </c>
      <c r="BG5" s="45">
        <f>10*0.75</f>
        <v>7.5</v>
      </c>
      <c r="BH5" s="45">
        <f>20*0.75</f>
        <v>15</v>
      </c>
      <c r="BI5" s="45">
        <f>357*0.75</f>
        <v>267.75</v>
      </c>
      <c r="BJ5" s="45">
        <v>0</v>
      </c>
      <c r="BK5" s="45">
        <f>58*0.75</f>
        <v>43.5</v>
      </c>
      <c r="BL5" s="45">
        <f>10*0.75</f>
        <v>7.5</v>
      </c>
      <c r="BM5" s="45">
        <f>20*0.75</f>
        <v>15</v>
      </c>
      <c r="BN5" s="45">
        <f>193*0.75</f>
        <v>144.75</v>
      </c>
      <c r="BO5" s="45">
        <v>0</v>
      </c>
      <c r="BU5" s="47"/>
    </row>
    <row r="6" spans="1:67" ht="135" customHeight="1">
      <c r="A6" s="421" t="s">
        <v>18</v>
      </c>
      <c r="B6" s="9" t="s">
        <v>159</v>
      </c>
      <c r="C6" s="9" t="s">
        <v>183</v>
      </c>
      <c r="D6" s="663" t="s">
        <v>99</v>
      </c>
      <c r="E6" s="664"/>
      <c r="F6" s="9" t="s">
        <v>93</v>
      </c>
      <c r="G6" s="9" t="s">
        <v>94</v>
      </c>
      <c r="H6" s="167" t="s">
        <v>57</v>
      </c>
      <c r="I6" s="35">
        <f>1000*0.75</f>
        <v>750</v>
      </c>
      <c r="J6" s="36">
        <f>60*0.75</f>
        <v>45</v>
      </c>
      <c r="K6" s="35">
        <f>140*0.75</f>
        <v>105</v>
      </c>
      <c r="L6" s="36">
        <f>2800*0.75</f>
        <v>2100</v>
      </c>
      <c r="M6" s="35"/>
      <c r="N6" s="254">
        <f>SUM(I6:L6)</f>
        <v>3000</v>
      </c>
      <c r="O6" s="38">
        <v>750</v>
      </c>
      <c r="P6" s="42">
        <v>45</v>
      </c>
      <c r="Q6" s="38">
        <v>105</v>
      </c>
      <c r="R6" s="42">
        <v>2100</v>
      </c>
      <c r="S6" s="38"/>
      <c r="T6" s="254">
        <f>SUM(O6:R6)</f>
        <v>3000</v>
      </c>
      <c r="U6" s="174">
        <v>750</v>
      </c>
      <c r="V6" s="165">
        <v>45</v>
      </c>
      <c r="W6" s="174">
        <v>105</v>
      </c>
      <c r="X6" s="165">
        <v>2100</v>
      </c>
      <c r="Y6" s="174"/>
      <c r="Z6" s="417"/>
      <c r="AA6" s="455" t="s">
        <v>18</v>
      </c>
      <c r="AB6" s="99">
        <f>175*0.75</f>
        <v>131.25</v>
      </c>
      <c r="AC6" s="99">
        <v>0</v>
      </c>
      <c r="AD6" s="99">
        <v>0</v>
      </c>
      <c r="AE6" s="99">
        <f>249*0.75</f>
        <v>186.75</v>
      </c>
      <c r="AF6" s="99">
        <v>0</v>
      </c>
      <c r="AG6" s="99">
        <f>175*0.75</f>
        <v>131.25</v>
      </c>
      <c r="AH6" s="99">
        <f>10*0.75</f>
        <v>7.5</v>
      </c>
      <c r="AI6" s="99">
        <f>20*0.75</f>
        <v>15</v>
      </c>
      <c r="AJ6" s="99">
        <f>374*0.75</f>
        <v>280.5</v>
      </c>
      <c r="AK6" s="99">
        <v>0</v>
      </c>
      <c r="AL6" s="45">
        <f>175*0.75</f>
        <v>131.25</v>
      </c>
      <c r="AM6" s="45">
        <f>10*0.75</f>
        <v>7.5</v>
      </c>
      <c r="AN6" s="45">
        <f>20*0.75</f>
        <v>15</v>
      </c>
      <c r="AO6" s="45">
        <f>633*0.75</f>
        <v>474.75</v>
      </c>
      <c r="AP6" s="45">
        <v>0</v>
      </c>
      <c r="AQ6" s="45">
        <f>59*0.75</f>
        <v>44.25</v>
      </c>
      <c r="AR6" s="45">
        <f>10*0.75</f>
        <v>7.5</v>
      </c>
      <c r="AS6" s="45">
        <f>20*0.75</f>
        <v>15</v>
      </c>
      <c r="AT6" s="45">
        <f>633*0.75</f>
        <v>474.75</v>
      </c>
      <c r="AU6" s="45">
        <v>0</v>
      </c>
      <c r="AV6" s="45">
        <f>125*0.75</f>
        <v>93.75</v>
      </c>
      <c r="AW6" s="45">
        <v>0</v>
      </c>
      <c r="AX6" s="45">
        <f>20*0.75</f>
        <v>15</v>
      </c>
      <c r="AY6" s="45">
        <f>119*0.75</f>
        <v>89.25</v>
      </c>
      <c r="AZ6" s="45">
        <v>0</v>
      </c>
      <c r="BA6" s="45">
        <f>175*0.75</f>
        <v>131.25</v>
      </c>
      <c r="BB6" s="45">
        <f>10*0.75</f>
        <v>7.5</v>
      </c>
      <c r="BC6" s="45">
        <f>20*0.75</f>
        <v>15</v>
      </c>
      <c r="BD6" s="45">
        <f>242*0.75</f>
        <v>181.5</v>
      </c>
      <c r="BE6" s="45">
        <v>0</v>
      </c>
      <c r="BF6" s="45">
        <f>58*0.75</f>
        <v>43.5</v>
      </c>
      <c r="BG6" s="45">
        <f>10*0.75</f>
        <v>7.5</v>
      </c>
      <c r="BH6" s="45">
        <f>20*0.75</f>
        <v>15</v>
      </c>
      <c r="BI6" s="45">
        <f>357*0.75</f>
        <v>267.75</v>
      </c>
      <c r="BJ6" s="45">
        <v>0</v>
      </c>
      <c r="BK6" s="45">
        <f>58*0.75</f>
        <v>43.5</v>
      </c>
      <c r="BL6" s="45">
        <f>10*0.75</f>
        <v>7.5</v>
      </c>
      <c r="BM6" s="45">
        <f>20*0.75</f>
        <v>15</v>
      </c>
      <c r="BN6" s="45">
        <f>193*0.75</f>
        <v>144.75</v>
      </c>
      <c r="BO6" s="45">
        <v>0</v>
      </c>
    </row>
    <row r="7" spans="1:68" ht="15">
      <c r="A7" s="422"/>
      <c r="B7" s="71"/>
      <c r="C7" s="71"/>
      <c r="D7" s="106"/>
      <c r="E7" s="71"/>
      <c r="F7" s="71"/>
      <c r="G7" s="71"/>
      <c r="H7" s="71"/>
      <c r="I7" s="71"/>
      <c r="J7" s="71"/>
      <c r="K7" s="71"/>
      <c r="L7" s="71"/>
      <c r="M7" s="71"/>
      <c r="N7" s="71"/>
      <c r="O7" s="71"/>
      <c r="P7" s="71"/>
      <c r="Q7" s="71"/>
      <c r="R7" s="71"/>
      <c r="S7" s="71"/>
      <c r="T7" s="71"/>
      <c r="U7" s="71"/>
      <c r="V7" s="71"/>
      <c r="W7" s="71"/>
      <c r="X7" s="71"/>
      <c r="Y7" s="71"/>
      <c r="Z7" s="461"/>
      <c r="AA7" s="71"/>
      <c r="AB7" s="71"/>
      <c r="AC7" s="71"/>
      <c r="AD7" s="71"/>
      <c r="AE7" s="71"/>
      <c r="AF7" s="71"/>
      <c r="BI7" s="54"/>
      <c r="BJ7" s="54"/>
      <c r="BK7" s="54"/>
      <c r="BL7" s="54"/>
      <c r="BM7" s="54"/>
      <c r="BN7" s="54"/>
      <c r="BO7" s="54"/>
      <c r="BP7" s="54"/>
    </row>
    <row r="8" spans="1:68" s="212" customFormat="1" ht="23.25" customHeight="1">
      <c r="A8" s="642" t="s">
        <v>332</v>
      </c>
      <c r="B8" s="643"/>
      <c r="C8" s="643"/>
      <c r="D8" s="643"/>
      <c r="E8" s="643"/>
      <c r="F8" s="643"/>
      <c r="G8" s="643"/>
      <c r="H8" s="206"/>
      <c r="I8" s="206"/>
      <c r="J8" s="206"/>
      <c r="K8" s="206"/>
      <c r="L8" s="206"/>
      <c r="M8" s="206"/>
      <c r="N8" s="206"/>
      <c r="O8" s="206"/>
      <c r="P8" s="206"/>
      <c r="Q8" s="206"/>
      <c r="R8" s="206"/>
      <c r="S8" s="206"/>
      <c r="T8" s="206"/>
      <c r="U8" s="207"/>
      <c r="V8" s="208"/>
      <c r="W8" s="209"/>
      <c r="X8" s="209"/>
      <c r="Y8" s="210"/>
      <c r="Z8" s="462"/>
      <c r="AA8" s="207"/>
      <c r="AB8" s="207"/>
      <c r="AC8" s="207"/>
      <c r="AD8" s="207"/>
      <c r="AE8" s="207"/>
      <c r="AF8" s="24"/>
      <c r="AG8" s="24"/>
      <c r="AH8" s="24"/>
      <c r="AI8" s="24"/>
      <c r="AJ8" s="24"/>
      <c r="AK8" s="24"/>
      <c r="AL8" s="24"/>
      <c r="AM8" s="24"/>
      <c r="AN8" s="24"/>
      <c r="AO8" s="24"/>
      <c r="AP8" s="24"/>
      <c r="AQ8" s="24"/>
      <c r="AR8" s="24"/>
      <c r="AS8" s="24"/>
      <c r="AT8" s="24"/>
      <c r="AU8" s="211"/>
      <c r="AV8" s="24"/>
      <c r="AW8" s="24"/>
      <c r="AX8" s="24"/>
      <c r="AY8" s="24"/>
      <c r="AZ8" s="24"/>
      <c r="BA8" s="24"/>
      <c r="BB8" s="24"/>
      <c r="BC8" s="24"/>
      <c r="BD8" s="24"/>
      <c r="BE8" s="24"/>
      <c r="BF8" s="24"/>
      <c r="BG8" s="24"/>
      <c r="BH8" s="24"/>
      <c r="BI8" s="58"/>
      <c r="BJ8" s="58"/>
      <c r="BK8" s="58"/>
      <c r="BL8" s="58"/>
      <c r="BM8" s="58"/>
      <c r="BN8" s="58"/>
      <c r="BO8" s="58"/>
      <c r="BP8" s="58"/>
    </row>
    <row r="9" spans="1:68" ht="23.25">
      <c r="A9" s="463"/>
      <c r="B9" s="115"/>
      <c r="C9" s="115"/>
      <c r="D9" s="115"/>
      <c r="E9" s="116"/>
      <c r="F9" s="71"/>
      <c r="G9" s="71"/>
      <c r="H9" s="71"/>
      <c r="I9" s="71"/>
      <c r="J9" s="71"/>
      <c r="K9" s="71"/>
      <c r="L9" s="71"/>
      <c r="M9" s="71"/>
      <c r="N9" s="71"/>
      <c r="O9" s="71"/>
      <c r="P9" s="71"/>
      <c r="Q9" s="71"/>
      <c r="R9" s="71"/>
      <c r="S9" s="71"/>
      <c r="T9" s="71"/>
      <c r="U9" s="113"/>
      <c r="V9" s="133"/>
      <c r="W9" s="133"/>
      <c r="X9" s="133"/>
      <c r="Y9" s="134"/>
      <c r="Z9" s="464"/>
      <c r="AA9" s="113"/>
      <c r="AB9" s="113"/>
      <c r="AC9" s="113"/>
      <c r="AD9" s="113"/>
      <c r="AE9" s="11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row>
    <row r="10" spans="1:68" ht="23.25">
      <c r="A10" s="465"/>
      <c r="B10" s="182" t="s">
        <v>8</v>
      </c>
      <c r="C10" s="189" t="s">
        <v>191</v>
      </c>
      <c r="D10" s="184">
        <v>2019</v>
      </c>
      <c r="E10" s="190">
        <v>2020</v>
      </c>
      <c r="F10" s="116"/>
      <c r="G10" s="116"/>
      <c r="H10" s="116"/>
      <c r="I10" s="198"/>
      <c r="J10" s="198"/>
      <c r="K10" s="198"/>
      <c r="L10" s="198"/>
      <c r="M10" s="117"/>
      <c r="N10" s="117"/>
      <c r="O10" s="117"/>
      <c r="P10" s="117"/>
      <c r="Q10" s="117"/>
      <c r="R10" s="117"/>
      <c r="S10" s="117"/>
      <c r="T10" s="117"/>
      <c r="U10" s="695"/>
      <c r="V10" s="695"/>
      <c r="W10" s="695"/>
      <c r="X10" s="695"/>
      <c r="Y10" s="695"/>
      <c r="Z10" s="696"/>
      <c r="AA10" s="118"/>
      <c r="AB10" s="118"/>
      <c r="AC10" s="118"/>
      <c r="AD10" s="118"/>
      <c r="AE10" s="118"/>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row>
    <row r="11" spans="1:68" ht="38.25">
      <c r="A11" s="466"/>
      <c r="B11" s="185" t="s">
        <v>25</v>
      </c>
      <c r="C11" s="186">
        <f>'Lh Budgetting'!O18*2/3</f>
        <v>17500000</v>
      </c>
      <c r="D11" s="187">
        <f>'Lh Budgetting'!P18*2/3</f>
        <v>17500000</v>
      </c>
      <c r="E11" s="191">
        <f>'Lh Budgetting'!Q18*2/3</f>
        <v>17500000</v>
      </c>
      <c r="F11" s="116"/>
      <c r="G11" s="116"/>
      <c r="H11" s="116"/>
      <c r="I11" s="199"/>
      <c r="J11" s="199"/>
      <c r="K11" s="199"/>
      <c r="L11" s="199"/>
      <c r="M11" s="117"/>
      <c r="N11" s="117"/>
      <c r="O11" s="117"/>
      <c r="P11" s="117"/>
      <c r="Q11" s="117"/>
      <c r="R11" s="117"/>
      <c r="S11" s="117"/>
      <c r="T11" s="117"/>
      <c r="U11" s="342"/>
      <c r="V11" s="342"/>
      <c r="W11" s="342"/>
      <c r="X11" s="342"/>
      <c r="Y11" s="118"/>
      <c r="Z11" s="467"/>
      <c r="AA11" s="118"/>
      <c r="AB11" s="118"/>
      <c r="AC11" s="118"/>
      <c r="AD11" s="118"/>
      <c r="AE11" s="118"/>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row>
    <row r="12" spans="1:68" ht="23.25" customHeight="1">
      <c r="A12" s="465"/>
      <c r="B12" s="132" t="s">
        <v>23</v>
      </c>
      <c r="C12" s="62">
        <v>0.25</v>
      </c>
      <c r="D12" s="63">
        <v>0.2</v>
      </c>
      <c r="E12" s="222">
        <v>0.2</v>
      </c>
      <c r="F12" s="116"/>
      <c r="G12" s="116"/>
      <c r="H12" s="116"/>
      <c r="I12" s="199"/>
      <c r="J12" s="199"/>
      <c r="K12" s="199"/>
      <c r="L12" s="199"/>
      <c r="M12" s="117"/>
      <c r="N12" s="117"/>
      <c r="O12" s="117"/>
      <c r="P12" s="117"/>
      <c r="Q12" s="117"/>
      <c r="R12" s="117"/>
      <c r="S12" s="117"/>
      <c r="T12" s="117"/>
      <c r="U12" s="118"/>
      <c r="V12" s="118"/>
      <c r="W12" s="118"/>
      <c r="X12" s="342"/>
      <c r="Y12" s="342"/>
      <c r="Z12" s="468"/>
      <c r="AA12" s="119"/>
      <c r="AB12" s="119"/>
      <c r="AC12" s="119"/>
      <c r="AD12" s="119"/>
      <c r="AE12" s="118"/>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row>
    <row r="13" spans="1:68" ht="23.25" customHeight="1">
      <c r="A13" s="465"/>
      <c r="B13" s="132" t="s">
        <v>24</v>
      </c>
      <c r="C13" s="62">
        <v>0.75</v>
      </c>
      <c r="D13" s="63">
        <v>0.8</v>
      </c>
      <c r="E13" s="222">
        <v>0.8</v>
      </c>
      <c r="F13" s="116"/>
      <c r="G13" s="116"/>
      <c r="H13" s="116"/>
      <c r="I13" s="199"/>
      <c r="J13" s="199"/>
      <c r="K13" s="199"/>
      <c r="L13" s="199"/>
      <c r="M13" s="117"/>
      <c r="N13" s="117"/>
      <c r="O13" s="117"/>
      <c r="P13" s="117"/>
      <c r="Q13" s="117"/>
      <c r="R13" s="117"/>
      <c r="S13" s="117"/>
      <c r="T13" s="117"/>
      <c r="U13" s="118"/>
      <c r="V13" s="118"/>
      <c r="W13" s="118"/>
      <c r="X13" s="342"/>
      <c r="Y13" s="342"/>
      <c r="Z13" s="468"/>
      <c r="AA13" s="119"/>
      <c r="AB13" s="119"/>
      <c r="AC13" s="119"/>
      <c r="AD13" s="119"/>
      <c r="AE13" s="118"/>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row>
    <row r="14" spans="1:71" ht="23.25">
      <c r="A14" s="465"/>
      <c r="B14" s="110"/>
      <c r="C14" s="110"/>
      <c r="D14" s="117"/>
      <c r="E14" s="117"/>
      <c r="F14" s="117"/>
      <c r="G14" s="117"/>
      <c r="H14" s="117"/>
      <c r="I14" s="117"/>
      <c r="J14" s="117"/>
      <c r="K14" s="117"/>
      <c r="L14" s="117"/>
      <c r="M14" s="117"/>
      <c r="N14" s="117"/>
      <c r="O14" s="117"/>
      <c r="P14" s="117"/>
      <c r="Q14" s="117"/>
      <c r="R14" s="117"/>
      <c r="S14" s="117"/>
      <c r="T14" s="117"/>
      <c r="U14" s="47"/>
      <c r="V14" s="47"/>
      <c r="W14" s="47"/>
      <c r="X14" s="47"/>
      <c r="Y14" s="47"/>
      <c r="Z14" s="417"/>
      <c r="AA14" s="118"/>
      <c r="AB14" s="118"/>
      <c r="AC14" s="118"/>
      <c r="AD14" s="118"/>
      <c r="AE14" s="118"/>
      <c r="AF14" s="118"/>
      <c r="AG14" s="118"/>
      <c r="AH14" s="120" t="s">
        <v>192</v>
      </c>
      <c r="AI14" s="121"/>
      <c r="AJ14" s="121"/>
      <c r="AK14" s="121"/>
      <c r="AL14" s="5"/>
      <c r="AM14" s="5"/>
      <c r="AN14" s="5"/>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67" ht="21">
      <c r="A15" s="687" t="s">
        <v>186</v>
      </c>
      <c r="B15" s="688"/>
      <c r="C15" s="688"/>
      <c r="D15" s="688"/>
      <c r="E15" s="688"/>
      <c r="F15" s="688"/>
      <c r="G15" s="689"/>
      <c r="H15" s="636" t="s">
        <v>190</v>
      </c>
      <c r="I15" s="637"/>
      <c r="J15" s="637"/>
      <c r="K15" s="637"/>
      <c r="L15" s="637"/>
      <c r="M15" s="638"/>
      <c r="N15" s="639" t="s">
        <v>210</v>
      </c>
      <c r="O15" s="640"/>
      <c r="P15" s="640"/>
      <c r="Q15" s="640"/>
      <c r="R15" s="640"/>
      <c r="S15" s="641"/>
      <c r="T15" s="651" t="s">
        <v>230</v>
      </c>
      <c r="U15" s="652"/>
      <c r="V15" s="652"/>
      <c r="W15" s="652"/>
      <c r="X15" s="652"/>
      <c r="Y15" s="666"/>
      <c r="Z15" s="417"/>
      <c r="AA15" s="110"/>
      <c r="AB15" s="694" t="s">
        <v>10</v>
      </c>
      <c r="AC15" s="694"/>
      <c r="AD15" s="694"/>
      <c r="AE15" s="694"/>
      <c r="AF15" s="694"/>
      <c r="AG15" s="678" t="s">
        <v>15</v>
      </c>
      <c r="AH15" s="679"/>
      <c r="AI15" s="679"/>
      <c r="AJ15" s="679"/>
      <c r="AK15" s="680"/>
      <c r="AL15" s="678" t="s">
        <v>22</v>
      </c>
      <c r="AM15" s="679"/>
      <c r="AN15" s="679"/>
      <c r="AO15" s="679"/>
      <c r="AP15" s="680"/>
      <c r="AQ15" s="678" t="s">
        <v>12</v>
      </c>
      <c r="AR15" s="679"/>
      <c r="AS15" s="679"/>
      <c r="AT15" s="679"/>
      <c r="AU15" s="680"/>
      <c r="AV15" s="678" t="s">
        <v>13</v>
      </c>
      <c r="AW15" s="679"/>
      <c r="AX15" s="679"/>
      <c r="AY15" s="679"/>
      <c r="AZ15" s="680"/>
      <c r="BA15" s="678" t="s">
        <v>11</v>
      </c>
      <c r="BB15" s="679"/>
      <c r="BC15" s="679"/>
      <c r="BD15" s="679"/>
      <c r="BE15" s="680"/>
      <c r="BF15" s="678" t="s">
        <v>16</v>
      </c>
      <c r="BG15" s="679"/>
      <c r="BH15" s="679"/>
      <c r="BI15" s="679"/>
      <c r="BJ15" s="680"/>
      <c r="BK15" s="678" t="s">
        <v>14</v>
      </c>
      <c r="BL15" s="679"/>
      <c r="BM15" s="679"/>
      <c r="BN15" s="679"/>
      <c r="BO15" s="680"/>
    </row>
    <row r="16" spans="1:67" ht="34.5" customHeight="1" thickBot="1">
      <c r="A16" s="418" t="s">
        <v>5</v>
      </c>
      <c r="B16" s="34" t="s">
        <v>7</v>
      </c>
      <c r="C16" s="34" t="s">
        <v>2</v>
      </c>
      <c r="D16" s="690" t="s">
        <v>46</v>
      </c>
      <c r="E16" s="691"/>
      <c r="F16" s="339" t="s">
        <v>9</v>
      </c>
      <c r="G16" s="339" t="s">
        <v>0</v>
      </c>
      <c r="H16" s="276" t="s">
        <v>345</v>
      </c>
      <c r="I16" s="29" t="s">
        <v>20</v>
      </c>
      <c r="J16" s="28" t="s">
        <v>28</v>
      </c>
      <c r="K16" s="29" t="s">
        <v>27</v>
      </c>
      <c r="L16" s="28" t="s">
        <v>21</v>
      </c>
      <c r="M16" s="29" t="s">
        <v>34</v>
      </c>
      <c r="N16" s="276" t="s">
        <v>294</v>
      </c>
      <c r="O16" s="37" t="s">
        <v>20</v>
      </c>
      <c r="P16" s="40" t="s">
        <v>28</v>
      </c>
      <c r="Q16" s="37" t="s">
        <v>27</v>
      </c>
      <c r="R16" s="40" t="s">
        <v>21</v>
      </c>
      <c r="S16" s="37" t="s">
        <v>34</v>
      </c>
      <c r="T16" s="276" t="s">
        <v>295</v>
      </c>
      <c r="U16" s="172" t="s">
        <v>20</v>
      </c>
      <c r="V16" s="171" t="s">
        <v>28</v>
      </c>
      <c r="W16" s="172" t="s">
        <v>27</v>
      </c>
      <c r="X16" s="171" t="s">
        <v>21</v>
      </c>
      <c r="Y16" s="172" t="s">
        <v>34</v>
      </c>
      <c r="Z16" s="417"/>
      <c r="AA16" s="110"/>
      <c r="AB16" s="179" t="s">
        <v>20</v>
      </c>
      <c r="AC16" s="179" t="s">
        <v>28</v>
      </c>
      <c r="AD16" s="179" t="s">
        <v>27</v>
      </c>
      <c r="AE16" s="179" t="s">
        <v>21</v>
      </c>
      <c r="AF16" s="179" t="s">
        <v>34</v>
      </c>
      <c r="AG16" s="179" t="s">
        <v>20</v>
      </c>
      <c r="AH16" s="179" t="s">
        <v>28</v>
      </c>
      <c r="AI16" s="179" t="s">
        <v>27</v>
      </c>
      <c r="AJ16" s="179" t="s">
        <v>21</v>
      </c>
      <c r="AK16" s="179" t="s">
        <v>34</v>
      </c>
      <c r="AL16" s="179" t="s">
        <v>20</v>
      </c>
      <c r="AM16" s="179" t="s">
        <v>28</v>
      </c>
      <c r="AN16" s="179" t="s">
        <v>27</v>
      </c>
      <c r="AO16" s="179" t="s">
        <v>21</v>
      </c>
      <c r="AP16" s="179" t="s">
        <v>34</v>
      </c>
      <c r="AQ16" s="179" t="s">
        <v>20</v>
      </c>
      <c r="AR16" s="179" t="s">
        <v>28</v>
      </c>
      <c r="AS16" s="179" t="s">
        <v>27</v>
      </c>
      <c r="AT16" s="179" t="s">
        <v>21</v>
      </c>
      <c r="AU16" s="179" t="s">
        <v>34</v>
      </c>
      <c r="AV16" s="179" t="s">
        <v>20</v>
      </c>
      <c r="AW16" s="179" t="s">
        <v>28</v>
      </c>
      <c r="AX16" s="179" t="s">
        <v>27</v>
      </c>
      <c r="AY16" s="179" t="s">
        <v>21</v>
      </c>
      <c r="AZ16" s="179" t="s">
        <v>34</v>
      </c>
      <c r="BA16" s="179" t="s">
        <v>20</v>
      </c>
      <c r="BB16" s="179" t="s">
        <v>28</v>
      </c>
      <c r="BC16" s="179" t="s">
        <v>27</v>
      </c>
      <c r="BD16" s="179" t="s">
        <v>21</v>
      </c>
      <c r="BE16" s="179" t="s">
        <v>34</v>
      </c>
      <c r="BF16" s="179" t="s">
        <v>20</v>
      </c>
      <c r="BG16" s="179" t="s">
        <v>28</v>
      </c>
      <c r="BH16" s="179" t="s">
        <v>27</v>
      </c>
      <c r="BI16" s="179" t="s">
        <v>21</v>
      </c>
      <c r="BJ16" s="179" t="s">
        <v>34</v>
      </c>
      <c r="BK16" s="179" t="s">
        <v>20</v>
      </c>
      <c r="BL16" s="179" t="s">
        <v>28</v>
      </c>
      <c r="BM16" s="179" t="s">
        <v>27</v>
      </c>
      <c r="BN16" s="179" t="s">
        <v>21</v>
      </c>
      <c r="BO16" s="179" t="s">
        <v>34</v>
      </c>
    </row>
    <row r="17" spans="1:67" ht="72.75" customHeight="1">
      <c r="A17" s="419" t="s">
        <v>17</v>
      </c>
      <c r="B17" s="8" t="s">
        <v>165</v>
      </c>
      <c r="C17" s="8" t="s">
        <v>166</v>
      </c>
      <c r="D17" s="697" t="s">
        <v>99</v>
      </c>
      <c r="E17" s="698"/>
      <c r="F17" s="8" t="s">
        <v>93</v>
      </c>
      <c r="G17" s="8" t="s">
        <v>94</v>
      </c>
      <c r="H17" s="254" t="s">
        <v>348</v>
      </c>
      <c r="I17" s="35">
        <f>5000*0.75</f>
        <v>3750</v>
      </c>
      <c r="J17" s="33">
        <f>300*0.75</f>
        <v>225</v>
      </c>
      <c r="K17" s="32">
        <f>700*0.75</f>
        <v>525</v>
      </c>
      <c r="L17" s="33">
        <f>14000*0.75</f>
        <v>10500</v>
      </c>
      <c r="M17" s="32"/>
      <c r="N17" s="254">
        <f>SUM(I17:L17)</f>
        <v>15000</v>
      </c>
      <c r="O17" s="38">
        <v>3750</v>
      </c>
      <c r="P17" s="41">
        <v>225</v>
      </c>
      <c r="Q17" s="39">
        <v>525</v>
      </c>
      <c r="R17" s="41">
        <v>10500</v>
      </c>
      <c r="S17" s="39"/>
      <c r="T17" s="254">
        <f>SUM(O17:R17)</f>
        <v>15000</v>
      </c>
      <c r="U17" s="174">
        <v>3750</v>
      </c>
      <c r="V17" s="136">
        <v>225</v>
      </c>
      <c r="W17" s="173">
        <v>525</v>
      </c>
      <c r="X17" s="136">
        <v>10500</v>
      </c>
      <c r="Y17" s="173"/>
      <c r="Z17" s="417"/>
      <c r="AA17" s="325" t="s">
        <v>17</v>
      </c>
      <c r="AB17" s="45">
        <f>791.3906*0.75</f>
        <v>593.54295</v>
      </c>
      <c r="AC17" s="45">
        <v>0</v>
      </c>
      <c r="AD17" s="45">
        <v>0</v>
      </c>
      <c r="AE17" s="45">
        <f>1306.40274267662*0.75</f>
        <v>979.802057007465</v>
      </c>
      <c r="AF17" s="45"/>
      <c r="AG17" s="45">
        <f>791.3906*0.75</f>
        <v>593.54295</v>
      </c>
      <c r="AH17" s="45">
        <f>42.185*0.75</f>
        <v>31.63875</v>
      </c>
      <c r="AI17" s="45">
        <f>84.37*0.75</f>
        <v>63.2775</v>
      </c>
      <c r="AJ17" s="45">
        <f>1961.68114589316*0.75</f>
        <v>1471.26085941987</v>
      </c>
      <c r="AK17" s="45"/>
      <c r="AL17" s="45">
        <f>791.3906*0.75</f>
        <v>593.54295</v>
      </c>
      <c r="AM17" s="45">
        <f>42.185*0.75</f>
        <v>31.63875</v>
      </c>
      <c r="AN17" s="45">
        <f>84.37*0.75</f>
        <v>63.2775</v>
      </c>
      <c r="AO17" s="45">
        <f>3314.36792073521*0.75</f>
        <v>2485.7759405514075</v>
      </c>
      <c r="AP17" s="45"/>
      <c r="AQ17" s="45">
        <f>263.65625*0.75</f>
        <v>197.7421875</v>
      </c>
      <c r="AR17" s="45">
        <f>42.185*0.75</f>
        <v>31.63875</v>
      </c>
      <c r="AS17" s="45">
        <f>84.37*0.75</f>
        <v>63.2775</v>
      </c>
      <c r="AT17" s="45">
        <f>3314.36792073521*0.75</f>
        <v>2485.7759405514075</v>
      </c>
      <c r="AU17" s="45"/>
      <c r="AV17" s="45">
        <f>527.3125*0.75</f>
        <v>395.484375</v>
      </c>
      <c r="AW17" s="45"/>
      <c r="AX17" s="45">
        <f>84.37*0.75</f>
        <v>63.2775</v>
      </c>
      <c r="AY17" s="45">
        <f>621.614675473865*0.75</f>
        <v>466.2110066053987</v>
      </c>
      <c r="AZ17" s="45"/>
      <c r="BA17" s="45">
        <f>791.3906*0.75</f>
        <v>593.54295</v>
      </c>
      <c r="BB17" s="45">
        <f>42.185*0.75</f>
        <v>31.63875</v>
      </c>
      <c r="BC17" s="45">
        <f>84.37*0.75</f>
        <v>63.2775</v>
      </c>
      <c r="BD17" s="45">
        <f>1268.28309879379*0.75</f>
        <v>951.2123240953425</v>
      </c>
      <c r="BE17" s="45"/>
      <c r="BF17" s="45">
        <f>264.0781*0.75</f>
        <v>198.05857500000002</v>
      </c>
      <c r="BG17" s="45">
        <f>42.185*0.75</f>
        <v>31.63875</v>
      </c>
      <c r="BH17" s="45">
        <f>84.37*0.75</f>
        <v>63.2775</v>
      </c>
      <c r="BI17" s="45">
        <f>1871.55664847788*0.75</f>
        <v>1403.6674863584099</v>
      </c>
      <c r="BJ17" s="45"/>
      <c r="BK17" s="45">
        <f>264.0781*0.75</f>
        <v>198.05857500000002</v>
      </c>
      <c r="BL17" s="45">
        <f>42.185*0.75</f>
        <v>31.63875</v>
      </c>
      <c r="BM17" s="45">
        <f>84.37*0.75</f>
        <v>63.2775</v>
      </c>
      <c r="BN17" s="45">
        <f>1012.88723434807*0.75</f>
        <v>759.6654257610526</v>
      </c>
      <c r="BO17" s="45"/>
    </row>
    <row r="18" spans="1:26" ht="15">
      <c r="A18" s="416"/>
      <c r="B18" s="47"/>
      <c r="C18" s="47"/>
      <c r="D18" s="47"/>
      <c r="E18" s="47"/>
      <c r="F18" s="47"/>
      <c r="G18" s="47"/>
      <c r="H18" s="47"/>
      <c r="I18" s="47"/>
      <c r="J18" s="47"/>
      <c r="K18" s="47"/>
      <c r="L18" s="47"/>
      <c r="M18" s="47"/>
      <c r="N18" s="47"/>
      <c r="O18" s="47"/>
      <c r="P18" s="47"/>
      <c r="Q18" s="47"/>
      <c r="R18" s="47"/>
      <c r="S18" s="47"/>
      <c r="T18" s="47"/>
      <c r="U18" s="47"/>
      <c r="V18" s="47"/>
      <c r="W18" s="47"/>
      <c r="X18" s="47"/>
      <c r="Y18" s="47"/>
      <c r="Z18" s="417"/>
    </row>
    <row r="19" spans="1:73" ht="23.25">
      <c r="A19" s="465"/>
      <c r="B19" s="117"/>
      <c r="C19" s="117"/>
      <c r="D19" s="117"/>
      <c r="E19" s="117"/>
      <c r="F19" s="117"/>
      <c r="G19" s="117"/>
      <c r="H19" s="117"/>
      <c r="I19" s="117"/>
      <c r="J19" s="117"/>
      <c r="K19" s="117"/>
      <c r="L19" s="117"/>
      <c r="M19" s="117"/>
      <c r="N19" s="117"/>
      <c r="O19" s="117"/>
      <c r="P19" s="117"/>
      <c r="Q19" s="117"/>
      <c r="R19" s="110"/>
      <c r="S19" s="110"/>
      <c r="T19" s="110"/>
      <c r="U19" s="110"/>
      <c r="V19" s="110"/>
      <c r="W19" s="110"/>
      <c r="X19" s="110"/>
      <c r="Y19" s="110"/>
      <c r="Z19" s="469"/>
      <c r="AA19" s="118"/>
      <c r="AB19" s="118"/>
      <c r="AC19" s="110"/>
      <c r="AD19" s="110"/>
      <c r="AE19" s="110"/>
      <c r="AF19" s="47"/>
      <c r="AG19" s="64"/>
      <c r="AH19" s="65"/>
      <c r="AI19" s="65"/>
      <c r="AJ19" s="65"/>
      <c r="AK19" s="65"/>
      <c r="AL19" s="65"/>
      <c r="AM19" s="65"/>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4"/>
      <c r="BU19" s="54"/>
    </row>
    <row r="20" spans="1:73" ht="23.25">
      <c r="A20" s="470" t="s">
        <v>187</v>
      </c>
      <c r="B20" s="340"/>
      <c r="C20" s="340"/>
      <c r="D20" s="340"/>
      <c r="E20" s="340"/>
      <c r="F20" s="340"/>
      <c r="G20" s="341"/>
      <c r="H20" s="117"/>
      <c r="I20" s="117"/>
      <c r="J20" s="117"/>
      <c r="K20" s="117"/>
      <c r="L20" s="117"/>
      <c r="M20" s="117"/>
      <c r="N20" s="117"/>
      <c r="O20" s="69"/>
      <c r="P20" s="69"/>
      <c r="Q20" s="69"/>
      <c r="R20" s="69"/>
      <c r="S20" s="69"/>
      <c r="T20" s="69"/>
      <c r="U20" s="69"/>
      <c r="V20" s="69"/>
      <c r="W20" s="69"/>
      <c r="X20" s="69"/>
      <c r="Y20" s="69"/>
      <c r="Z20" s="471"/>
      <c r="AA20" s="110"/>
      <c r="AB20" s="110"/>
      <c r="AC20" s="110"/>
      <c r="AD20" s="110"/>
      <c r="AE20" s="110"/>
      <c r="AF20" s="47"/>
      <c r="AG20" s="54"/>
      <c r="AH20" s="615"/>
      <c r="AI20" s="615"/>
      <c r="AJ20" s="615"/>
      <c r="AK20" s="615"/>
      <c r="AL20" s="615"/>
      <c r="AM20" s="615"/>
      <c r="AN20" s="615"/>
      <c r="AO20" s="615"/>
      <c r="AP20" s="615"/>
      <c r="AQ20" s="615"/>
      <c r="AR20" s="615"/>
      <c r="AS20" s="615"/>
      <c r="AT20" s="615"/>
      <c r="AU20" s="615"/>
      <c r="AV20" s="615"/>
      <c r="AW20" s="615"/>
      <c r="AX20" s="615"/>
      <c r="AY20" s="615"/>
      <c r="AZ20" s="615"/>
      <c r="BA20" s="615"/>
      <c r="BB20" s="615"/>
      <c r="BC20" s="615"/>
      <c r="BD20" s="615"/>
      <c r="BE20" s="615"/>
      <c r="BF20" s="615"/>
      <c r="BG20" s="615"/>
      <c r="BH20" s="615"/>
      <c r="BI20" s="615"/>
      <c r="BJ20" s="615"/>
      <c r="BK20" s="615"/>
      <c r="BL20" s="615"/>
      <c r="BM20" s="615"/>
      <c r="BN20" s="615"/>
      <c r="BO20" s="615"/>
      <c r="BP20" s="615"/>
      <c r="BQ20" s="615"/>
      <c r="BR20" s="615"/>
      <c r="BS20" s="615"/>
      <c r="BT20" s="615"/>
      <c r="BU20" s="615"/>
    </row>
    <row r="21" spans="1:67" ht="23.25">
      <c r="A21" s="660" t="s">
        <v>629</v>
      </c>
      <c r="B21" s="661"/>
      <c r="C21" s="661"/>
      <c r="D21" s="661"/>
      <c r="E21" s="661"/>
      <c r="F21" s="661"/>
      <c r="G21" s="662"/>
      <c r="H21" s="117"/>
      <c r="I21" s="117"/>
      <c r="J21" s="117"/>
      <c r="K21" s="117"/>
      <c r="L21" s="117"/>
      <c r="M21" s="117"/>
      <c r="N21" s="117"/>
      <c r="O21" s="70"/>
      <c r="P21" s="70"/>
      <c r="Q21" s="110"/>
      <c r="R21" s="110"/>
      <c r="S21" s="110"/>
      <c r="T21" s="110"/>
      <c r="U21" s="110"/>
      <c r="V21" s="110"/>
      <c r="W21" s="110"/>
      <c r="X21" s="110"/>
      <c r="Y21" s="110"/>
      <c r="Z21" s="461"/>
      <c r="AA21" s="122"/>
      <c r="AB21" s="122"/>
      <c r="AC21" s="122"/>
      <c r="AD21" s="122"/>
      <c r="AE21" s="122"/>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54"/>
    </row>
    <row r="22" spans="1:31" ht="23.25">
      <c r="A22" s="465"/>
      <c r="B22" s="110"/>
      <c r="C22" s="110"/>
      <c r="D22" s="110"/>
      <c r="E22" s="110"/>
      <c r="F22" s="110"/>
      <c r="G22" s="110"/>
      <c r="H22" s="117"/>
      <c r="I22" s="110"/>
      <c r="J22" s="110"/>
      <c r="K22" s="110"/>
      <c r="L22" s="110"/>
      <c r="M22" s="110"/>
      <c r="N22" s="110"/>
      <c r="O22" s="110"/>
      <c r="P22" s="110"/>
      <c r="Q22" s="110"/>
      <c r="R22" s="110"/>
      <c r="S22" s="110"/>
      <c r="T22" s="110"/>
      <c r="U22" s="110"/>
      <c r="V22" s="110"/>
      <c r="W22" s="110"/>
      <c r="X22" s="110"/>
      <c r="Y22" s="110"/>
      <c r="Z22" s="469"/>
      <c r="AA22" s="111"/>
      <c r="AB22" s="111"/>
      <c r="AC22" s="111"/>
      <c r="AD22" s="111"/>
      <c r="AE22" s="111"/>
    </row>
    <row r="23" spans="1:61" ht="23.25">
      <c r="A23" s="687" t="s">
        <v>188</v>
      </c>
      <c r="B23" s="688"/>
      <c r="C23" s="688"/>
      <c r="D23" s="688"/>
      <c r="E23" s="688"/>
      <c r="F23" s="688"/>
      <c r="G23" s="689"/>
      <c r="H23" s="117"/>
      <c r="I23" s="110"/>
      <c r="J23" s="110"/>
      <c r="K23" s="110"/>
      <c r="L23" s="110"/>
      <c r="M23" s="110"/>
      <c r="N23" s="110"/>
      <c r="O23" s="110"/>
      <c r="P23" s="110"/>
      <c r="Q23" s="110"/>
      <c r="R23" s="110"/>
      <c r="S23" s="110"/>
      <c r="T23" s="110"/>
      <c r="U23" s="110"/>
      <c r="V23" s="335"/>
      <c r="W23" s="335"/>
      <c r="X23" s="335"/>
      <c r="Y23" s="335"/>
      <c r="Z23" s="430"/>
      <c r="AA23" s="109"/>
      <c r="AB23" s="109"/>
      <c r="AC23" s="109"/>
      <c r="AD23" s="109"/>
      <c r="AE23" s="109"/>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row>
    <row r="24" spans="1:72" ht="21">
      <c r="A24" s="472"/>
      <c r="B24" s="101"/>
      <c r="C24" s="101"/>
      <c r="D24" s="101"/>
      <c r="E24" s="101"/>
      <c r="F24" s="101"/>
      <c r="G24" s="101"/>
      <c r="H24" s="101"/>
      <c r="I24" s="102"/>
      <c r="J24" s="102"/>
      <c r="K24" s="102"/>
      <c r="L24" s="102"/>
      <c r="M24" s="102"/>
      <c r="N24" s="102"/>
      <c r="O24" s="102"/>
      <c r="P24" s="102"/>
      <c r="Q24" s="102"/>
      <c r="R24" s="102"/>
      <c r="S24" s="102"/>
      <c r="T24" s="114"/>
      <c r="U24" s="114"/>
      <c r="V24" s="335"/>
      <c r="W24" s="335"/>
      <c r="X24" s="335"/>
      <c r="Y24" s="335"/>
      <c r="Z24" s="430"/>
      <c r="AA24" s="109"/>
      <c r="AB24" s="109"/>
      <c r="AC24" s="109"/>
      <c r="AD24" s="109"/>
      <c r="AE24" s="109"/>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3"/>
      <c r="BK24" s="103"/>
      <c r="BL24" s="103"/>
      <c r="BM24" s="103"/>
      <c r="BN24" s="103"/>
      <c r="BO24" s="103"/>
      <c r="BP24" s="103"/>
      <c r="BQ24" s="103"/>
      <c r="BR24" s="103"/>
      <c r="BS24" s="103"/>
      <c r="BT24" s="103"/>
    </row>
    <row r="25" spans="1:68" s="212" customFormat="1" ht="23.25" customHeight="1">
      <c r="A25" s="642" t="s">
        <v>300</v>
      </c>
      <c r="B25" s="643"/>
      <c r="C25" s="643"/>
      <c r="D25" s="643"/>
      <c r="E25" s="643"/>
      <c r="F25" s="643"/>
      <c r="G25" s="643"/>
      <c r="H25" s="112"/>
      <c r="I25" s="213"/>
      <c r="J25" s="213"/>
      <c r="K25" s="213"/>
      <c r="L25" s="213"/>
      <c r="M25" s="213"/>
      <c r="N25" s="213"/>
      <c r="O25" s="213"/>
      <c r="P25" s="213"/>
      <c r="Q25" s="213"/>
      <c r="R25" s="213"/>
      <c r="S25" s="213"/>
      <c r="T25" s="207"/>
      <c r="U25" s="207"/>
      <c r="V25" s="209"/>
      <c r="W25" s="209"/>
      <c r="X25" s="209"/>
      <c r="Y25" s="209"/>
      <c r="Z25" s="473"/>
      <c r="AA25" s="209"/>
      <c r="AB25" s="209"/>
      <c r="AC25" s="209"/>
      <c r="AD25" s="209"/>
      <c r="AE25" s="209"/>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row>
    <row r="26" spans="1:68" ht="23.25">
      <c r="A26" s="463"/>
      <c r="B26" s="115"/>
      <c r="C26" s="123"/>
      <c r="D26" s="115"/>
      <c r="E26" s="116"/>
      <c r="F26" s="116"/>
      <c r="G26" s="116"/>
      <c r="H26" s="116"/>
      <c r="I26" s="116"/>
      <c r="J26" s="116"/>
      <c r="K26" s="116"/>
      <c r="L26" s="116"/>
      <c r="M26" s="116"/>
      <c r="N26" s="116"/>
      <c r="O26" s="116"/>
      <c r="P26" s="116"/>
      <c r="Q26" s="116"/>
      <c r="R26" s="116"/>
      <c r="S26" s="116"/>
      <c r="T26" s="116"/>
      <c r="U26" s="113"/>
      <c r="V26" s="113"/>
      <c r="W26" s="113"/>
      <c r="X26" s="113"/>
      <c r="Y26" s="113"/>
      <c r="Z26" s="464"/>
      <c r="AA26" s="113"/>
      <c r="AB26" s="113"/>
      <c r="AC26" s="113"/>
      <c r="AD26" s="113"/>
      <c r="AE26" s="11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row>
    <row r="27" spans="1:68" ht="23.25">
      <c r="A27" s="465"/>
      <c r="B27" s="182" t="s">
        <v>8</v>
      </c>
      <c r="C27" s="189" t="s">
        <v>191</v>
      </c>
      <c r="D27" s="184">
        <v>2019</v>
      </c>
      <c r="E27" s="190">
        <v>2020</v>
      </c>
      <c r="F27" s="116"/>
      <c r="G27" s="116"/>
      <c r="H27" s="116"/>
      <c r="I27" s="116"/>
      <c r="J27" s="116"/>
      <c r="K27" s="116"/>
      <c r="L27" s="116"/>
      <c r="M27" s="117"/>
      <c r="N27" s="117"/>
      <c r="O27" s="117"/>
      <c r="P27" s="117"/>
      <c r="Q27" s="117"/>
      <c r="R27" s="117"/>
      <c r="S27" s="117"/>
      <c r="T27" s="117"/>
      <c r="U27" s="695"/>
      <c r="V27" s="695"/>
      <c r="W27" s="695"/>
      <c r="X27" s="695"/>
      <c r="Y27" s="695"/>
      <c r="Z27" s="696"/>
      <c r="AA27" s="118"/>
      <c r="AB27" s="118"/>
      <c r="AC27" s="118"/>
      <c r="AD27" s="118"/>
      <c r="AE27" s="118"/>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row>
    <row r="28" spans="1:68" ht="38.25">
      <c r="A28" s="466"/>
      <c r="B28" s="185" t="s">
        <v>25</v>
      </c>
      <c r="C28" s="186">
        <f>'Lh Budgetting'!O18*1/3</f>
        <v>8750000</v>
      </c>
      <c r="D28" s="187">
        <f>'Lh Budgetting'!P18*1/3</f>
        <v>8750000</v>
      </c>
      <c r="E28" s="191">
        <f>'Lh Budgetting'!Q18*1/3</f>
        <v>8750000</v>
      </c>
      <c r="F28" s="116"/>
      <c r="G28" s="135"/>
      <c r="H28" s="135"/>
      <c r="I28" s="116"/>
      <c r="J28" s="116"/>
      <c r="K28" s="116"/>
      <c r="L28" s="116"/>
      <c r="M28" s="117"/>
      <c r="N28" s="117"/>
      <c r="O28" s="117"/>
      <c r="P28" s="117"/>
      <c r="Q28" s="117"/>
      <c r="R28" s="117"/>
      <c r="S28" s="117"/>
      <c r="T28" s="117"/>
      <c r="U28" s="342"/>
      <c r="V28" s="342"/>
      <c r="W28" s="342"/>
      <c r="X28" s="342"/>
      <c r="Y28" s="118"/>
      <c r="Z28" s="467"/>
      <c r="AA28" s="118"/>
      <c r="AB28" s="118"/>
      <c r="AC28" s="118"/>
      <c r="AD28" s="118"/>
      <c r="AE28" s="118"/>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row>
    <row r="29" spans="1:68" ht="23.25" customHeight="1">
      <c r="A29" s="465"/>
      <c r="B29" s="132" t="s">
        <v>23</v>
      </c>
      <c r="C29" s="62">
        <v>0.25</v>
      </c>
      <c r="D29" s="63">
        <v>0.2</v>
      </c>
      <c r="E29" s="222">
        <v>0.2</v>
      </c>
      <c r="F29" s="116"/>
      <c r="G29" s="116"/>
      <c r="H29" s="116"/>
      <c r="I29" s="116"/>
      <c r="J29" s="116"/>
      <c r="K29" s="116"/>
      <c r="L29" s="116"/>
      <c r="M29" s="117"/>
      <c r="N29" s="117"/>
      <c r="O29" s="117"/>
      <c r="P29" s="117"/>
      <c r="Q29" s="117"/>
      <c r="R29" s="117"/>
      <c r="S29" s="117"/>
      <c r="T29" s="117"/>
      <c r="U29" s="118"/>
      <c r="V29" s="118"/>
      <c r="W29" s="118"/>
      <c r="X29" s="342"/>
      <c r="Y29" s="342"/>
      <c r="Z29" s="468"/>
      <c r="AA29" s="119"/>
      <c r="AB29" s="119"/>
      <c r="AC29" s="119"/>
      <c r="AD29" s="119"/>
      <c r="AE29" s="118"/>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row>
    <row r="30" spans="1:68" ht="23.25" customHeight="1">
      <c r="A30" s="465"/>
      <c r="B30" s="132" t="s">
        <v>24</v>
      </c>
      <c r="C30" s="62">
        <v>0.75</v>
      </c>
      <c r="D30" s="63">
        <v>0.8</v>
      </c>
      <c r="E30" s="222">
        <v>0.8</v>
      </c>
      <c r="F30" s="116"/>
      <c r="G30" s="116"/>
      <c r="H30" s="116"/>
      <c r="I30" s="116"/>
      <c r="J30" s="116"/>
      <c r="K30" s="116"/>
      <c r="L30" s="116"/>
      <c r="M30" s="117"/>
      <c r="N30" s="117"/>
      <c r="O30" s="117"/>
      <c r="P30" s="117"/>
      <c r="Q30" s="117"/>
      <c r="R30" s="117"/>
      <c r="S30" s="117"/>
      <c r="T30" s="117"/>
      <c r="U30" s="118"/>
      <c r="V30" s="118"/>
      <c r="W30" s="118"/>
      <c r="X30" s="342"/>
      <c r="Y30" s="342"/>
      <c r="Z30" s="468"/>
      <c r="AA30" s="119"/>
      <c r="AB30" s="119"/>
      <c r="AC30" s="119"/>
      <c r="AD30" s="119"/>
      <c r="AE30" s="118"/>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row>
    <row r="31" spans="1:68" ht="23.25">
      <c r="A31" s="465"/>
      <c r="B31" s="117"/>
      <c r="C31" s="117"/>
      <c r="D31" s="117"/>
      <c r="E31" s="117"/>
      <c r="F31" s="117"/>
      <c r="G31" s="117"/>
      <c r="H31" s="117"/>
      <c r="I31" s="117"/>
      <c r="J31" s="117"/>
      <c r="K31" s="117"/>
      <c r="L31" s="117"/>
      <c r="M31" s="117"/>
      <c r="N31" s="117"/>
      <c r="O31" s="117"/>
      <c r="P31" s="117"/>
      <c r="Q31" s="117"/>
      <c r="R31" s="117"/>
      <c r="S31" s="117"/>
      <c r="T31" s="117"/>
      <c r="U31" s="118"/>
      <c r="V31" s="118"/>
      <c r="W31" s="118"/>
      <c r="X31" s="342"/>
      <c r="Y31" s="342"/>
      <c r="Z31" s="468"/>
      <c r="AA31" s="119"/>
      <c r="AB31" s="119"/>
      <c r="AC31" s="119"/>
      <c r="AD31" s="119"/>
      <c r="AE31" s="118"/>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row>
    <row r="32" spans="1:67" ht="23.25">
      <c r="A32" s="465"/>
      <c r="B32" s="117"/>
      <c r="C32" s="117"/>
      <c r="D32" s="117"/>
      <c r="E32" s="117"/>
      <c r="F32" s="117"/>
      <c r="G32" s="117"/>
      <c r="H32" s="650" t="s">
        <v>190</v>
      </c>
      <c r="I32" s="650"/>
      <c r="J32" s="650"/>
      <c r="K32" s="650"/>
      <c r="L32" s="650"/>
      <c r="M32" s="650"/>
      <c r="N32" s="639" t="s">
        <v>210</v>
      </c>
      <c r="O32" s="640"/>
      <c r="P32" s="640"/>
      <c r="Q32" s="640"/>
      <c r="R32" s="640"/>
      <c r="S32" s="641"/>
      <c r="T32" s="651" t="s">
        <v>230</v>
      </c>
      <c r="U32" s="652"/>
      <c r="V32" s="652"/>
      <c r="W32" s="652"/>
      <c r="X32" s="652"/>
      <c r="Y32" s="666"/>
      <c r="Z32" s="417"/>
      <c r="AA32" s="118"/>
      <c r="AB32" s="678" t="s">
        <v>10</v>
      </c>
      <c r="AC32" s="679"/>
      <c r="AD32" s="679"/>
      <c r="AE32" s="679"/>
      <c r="AF32" s="680"/>
      <c r="AG32" s="678" t="s">
        <v>15</v>
      </c>
      <c r="AH32" s="679"/>
      <c r="AI32" s="679"/>
      <c r="AJ32" s="679"/>
      <c r="AK32" s="680"/>
      <c r="AL32" s="678" t="s">
        <v>22</v>
      </c>
      <c r="AM32" s="679"/>
      <c r="AN32" s="679"/>
      <c r="AO32" s="679"/>
      <c r="AP32" s="680"/>
      <c r="AQ32" s="678" t="s">
        <v>12</v>
      </c>
      <c r="AR32" s="679"/>
      <c r="AS32" s="679"/>
      <c r="AT32" s="679"/>
      <c r="AU32" s="680"/>
      <c r="AV32" s="678" t="s">
        <v>13</v>
      </c>
      <c r="AW32" s="679"/>
      <c r="AX32" s="679"/>
      <c r="AY32" s="679"/>
      <c r="AZ32" s="680"/>
      <c r="BA32" s="678" t="s">
        <v>11</v>
      </c>
      <c r="BB32" s="679"/>
      <c r="BC32" s="679"/>
      <c r="BD32" s="679"/>
      <c r="BE32" s="680"/>
      <c r="BF32" s="678" t="s">
        <v>16</v>
      </c>
      <c r="BG32" s="679"/>
      <c r="BH32" s="679"/>
      <c r="BI32" s="679"/>
      <c r="BJ32" s="680"/>
      <c r="BK32" s="678" t="s">
        <v>14</v>
      </c>
      <c r="BL32" s="679"/>
      <c r="BM32" s="679"/>
      <c r="BN32" s="679"/>
      <c r="BO32" s="680"/>
    </row>
    <row r="33" spans="1:67" ht="36" customHeight="1" thickBot="1">
      <c r="A33" s="418" t="s">
        <v>5</v>
      </c>
      <c r="B33" s="34" t="s">
        <v>7</v>
      </c>
      <c r="C33" s="34" t="s">
        <v>2</v>
      </c>
      <c r="D33" s="690" t="s">
        <v>46</v>
      </c>
      <c r="E33" s="691"/>
      <c r="F33" s="339" t="s">
        <v>9</v>
      </c>
      <c r="G33" s="339" t="s">
        <v>0</v>
      </c>
      <c r="H33" s="276" t="s">
        <v>345</v>
      </c>
      <c r="I33" s="29" t="s">
        <v>20</v>
      </c>
      <c r="J33" s="28" t="s">
        <v>28</v>
      </c>
      <c r="K33" s="29" t="s">
        <v>27</v>
      </c>
      <c r="L33" s="28" t="s">
        <v>21</v>
      </c>
      <c r="M33" s="29" t="s">
        <v>34</v>
      </c>
      <c r="N33" s="276" t="s">
        <v>294</v>
      </c>
      <c r="O33" s="37" t="s">
        <v>20</v>
      </c>
      <c r="P33" s="40" t="s">
        <v>28</v>
      </c>
      <c r="Q33" s="37" t="s">
        <v>27</v>
      </c>
      <c r="R33" s="40" t="s">
        <v>21</v>
      </c>
      <c r="S33" s="37" t="s">
        <v>34</v>
      </c>
      <c r="T33" s="276" t="s">
        <v>295</v>
      </c>
      <c r="U33" s="172" t="s">
        <v>20</v>
      </c>
      <c r="V33" s="171" t="s">
        <v>28</v>
      </c>
      <c r="W33" s="172" t="s">
        <v>27</v>
      </c>
      <c r="X33" s="171" t="s">
        <v>21</v>
      </c>
      <c r="Y33" s="172" t="s">
        <v>34</v>
      </c>
      <c r="Z33" s="417"/>
      <c r="AA33" s="118"/>
      <c r="AB33" s="179" t="s">
        <v>20</v>
      </c>
      <c r="AC33" s="179" t="s">
        <v>28</v>
      </c>
      <c r="AD33" s="179" t="s">
        <v>27</v>
      </c>
      <c r="AE33" s="179" t="s">
        <v>21</v>
      </c>
      <c r="AF33" s="179" t="s">
        <v>34</v>
      </c>
      <c r="AG33" s="179" t="s">
        <v>20</v>
      </c>
      <c r="AH33" s="179" t="s">
        <v>28</v>
      </c>
      <c r="AI33" s="179" t="s">
        <v>27</v>
      </c>
      <c r="AJ33" s="179" t="s">
        <v>21</v>
      </c>
      <c r="AK33" s="179" t="s">
        <v>34</v>
      </c>
      <c r="AL33" s="179" t="s">
        <v>20</v>
      </c>
      <c r="AM33" s="179" t="s">
        <v>28</v>
      </c>
      <c r="AN33" s="179" t="s">
        <v>27</v>
      </c>
      <c r="AO33" s="179" t="s">
        <v>21</v>
      </c>
      <c r="AP33" s="179" t="s">
        <v>34</v>
      </c>
      <c r="AQ33" s="179" t="s">
        <v>20</v>
      </c>
      <c r="AR33" s="179" t="s">
        <v>28</v>
      </c>
      <c r="AS33" s="179" t="s">
        <v>27</v>
      </c>
      <c r="AT33" s="179" t="s">
        <v>21</v>
      </c>
      <c r="AU33" s="179" t="s">
        <v>34</v>
      </c>
      <c r="AV33" s="179" t="s">
        <v>20</v>
      </c>
      <c r="AW33" s="179" t="s">
        <v>28</v>
      </c>
      <c r="AX33" s="179" t="s">
        <v>27</v>
      </c>
      <c r="AY33" s="179" t="s">
        <v>21</v>
      </c>
      <c r="AZ33" s="179" t="s">
        <v>34</v>
      </c>
      <c r="BA33" s="179" t="s">
        <v>20</v>
      </c>
      <c r="BB33" s="179" t="s">
        <v>28</v>
      </c>
      <c r="BC33" s="179" t="s">
        <v>27</v>
      </c>
      <c r="BD33" s="179" t="s">
        <v>21</v>
      </c>
      <c r="BE33" s="179" t="s">
        <v>34</v>
      </c>
      <c r="BF33" s="179" t="s">
        <v>20</v>
      </c>
      <c r="BG33" s="179" t="s">
        <v>28</v>
      </c>
      <c r="BH33" s="179" t="s">
        <v>27</v>
      </c>
      <c r="BI33" s="179" t="s">
        <v>21</v>
      </c>
      <c r="BJ33" s="179" t="s">
        <v>34</v>
      </c>
      <c r="BK33" s="179" t="s">
        <v>20</v>
      </c>
      <c r="BL33" s="179" t="s">
        <v>28</v>
      </c>
      <c r="BM33" s="179" t="s">
        <v>27</v>
      </c>
      <c r="BN33" s="179" t="s">
        <v>21</v>
      </c>
      <c r="BO33" s="179" t="s">
        <v>34</v>
      </c>
    </row>
    <row r="34" spans="1:67" ht="108.75" customHeight="1">
      <c r="A34" s="460" t="s">
        <v>17</v>
      </c>
      <c r="B34" s="192" t="s">
        <v>323</v>
      </c>
      <c r="C34" s="192" t="s">
        <v>167</v>
      </c>
      <c r="D34" s="702" t="s">
        <v>99</v>
      </c>
      <c r="E34" s="703"/>
      <c r="F34" s="192" t="s">
        <v>93</v>
      </c>
      <c r="G34" s="192" t="s">
        <v>94</v>
      </c>
      <c r="H34" s="254" t="s">
        <v>349</v>
      </c>
      <c r="I34" s="35">
        <f>0.2*I17</f>
        <v>750</v>
      </c>
      <c r="J34" s="36">
        <f>0.2*J17</f>
        <v>45</v>
      </c>
      <c r="K34" s="35">
        <f>0.2*K17</f>
        <v>105</v>
      </c>
      <c r="L34" s="36">
        <f>0.2*L17</f>
        <v>2100</v>
      </c>
      <c r="M34" s="32"/>
      <c r="N34" s="254">
        <f>SUM(I34:L34)</f>
        <v>3000</v>
      </c>
      <c r="O34" s="38">
        <v>750</v>
      </c>
      <c r="P34" s="42">
        <v>45</v>
      </c>
      <c r="Q34" s="38">
        <v>105</v>
      </c>
      <c r="R34" s="42">
        <v>2100</v>
      </c>
      <c r="S34" s="39"/>
      <c r="T34" s="254">
        <f>SUM(O34:R34)</f>
        <v>3000</v>
      </c>
      <c r="U34" s="174">
        <v>750</v>
      </c>
      <c r="V34" s="165">
        <v>45</v>
      </c>
      <c r="W34" s="174">
        <v>105</v>
      </c>
      <c r="X34" s="165">
        <v>2100</v>
      </c>
      <c r="Y34" s="173"/>
      <c r="Z34" s="417"/>
      <c r="AA34" s="325" t="s">
        <v>264</v>
      </c>
      <c r="AB34" s="99">
        <f>AB17*0.2</f>
        <v>118.70859000000002</v>
      </c>
      <c r="AC34" s="99">
        <v>0</v>
      </c>
      <c r="AD34" s="99">
        <v>0</v>
      </c>
      <c r="AE34" s="99">
        <f>AE17*0.2</f>
        <v>195.96041140149302</v>
      </c>
      <c r="AF34" s="99"/>
      <c r="AG34" s="99">
        <f aca="true" t="shared" si="0" ref="AG34:BN34">AG17*0.2</f>
        <v>118.70859000000002</v>
      </c>
      <c r="AH34" s="99">
        <f t="shared" si="0"/>
        <v>6.327750000000001</v>
      </c>
      <c r="AI34" s="99">
        <f t="shared" si="0"/>
        <v>12.655500000000002</v>
      </c>
      <c r="AJ34" s="99">
        <f t="shared" si="0"/>
        <v>294.25217188397403</v>
      </c>
      <c r="AK34" s="99">
        <f t="shared" si="0"/>
        <v>0</v>
      </c>
      <c r="AL34" s="99">
        <f t="shared" si="0"/>
        <v>118.70859000000002</v>
      </c>
      <c r="AM34" s="99">
        <f t="shared" si="0"/>
        <v>6.327750000000001</v>
      </c>
      <c r="AN34" s="99">
        <f t="shared" si="0"/>
        <v>12.655500000000002</v>
      </c>
      <c r="AO34" s="99">
        <f t="shared" si="0"/>
        <v>497.15518811028153</v>
      </c>
      <c r="AP34" s="99">
        <f t="shared" si="0"/>
        <v>0</v>
      </c>
      <c r="AQ34" s="99">
        <f t="shared" si="0"/>
        <v>39.548437500000006</v>
      </c>
      <c r="AR34" s="99">
        <f t="shared" si="0"/>
        <v>6.327750000000001</v>
      </c>
      <c r="AS34" s="99">
        <f t="shared" si="0"/>
        <v>12.655500000000002</v>
      </c>
      <c r="AT34" s="99">
        <f t="shared" si="0"/>
        <v>497.15518811028153</v>
      </c>
      <c r="AU34" s="99">
        <f t="shared" si="0"/>
        <v>0</v>
      </c>
      <c r="AV34" s="99">
        <f t="shared" si="0"/>
        <v>79.09687500000001</v>
      </c>
      <c r="AW34" s="99">
        <f t="shared" si="0"/>
        <v>0</v>
      </c>
      <c r="AX34" s="99">
        <f t="shared" si="0"/>
        <v>12.655500000000002</v>
      </c>
      <c r="AY34" s="99">
        <f t="shared" si="0"/>
        <v>93.24220132107975</v>
      </c>
      <c r="AZ34" s="99">
        <f t="shared" si="0"/>
        <v>0</v>
      </c>
      <c r="BA34" s="99">
        <f t="shared" si="0"/>
        <v>118.70859000000002</v>
      </c>
      <c r="BB34" s="99">
        <f t="shared" si="0"/>
        <v>6.327750000000001</v>
      </c>
      <c r="BC34" s="99">
        <f t="shared" si="0"/>
        <v>12.655500000000002</v>
      </c>
      <c r="BD34" s="99">
        <f t="shared" si="0"/>
        <v>190.24246481906852</v>
      </c>
      <c r="BE34" s="99">
        <f t="shared" si="0"/>
        <v>0</v>
      </c>
      <c r="BF34" s="99">
        <f t="shared" si="0"/>
        <v>39.611715000000004</v>
      </c>
      <c r="BG34" s="99">
        <f t="shared" si="0"/>
        <v>6.327750000000001</v>
      </c>
      <c r="BH34" s="99">
        <f t="shared" si="0"/>
        <v>12.655500000000002</v>
      </c>
      <c r="BI34" s="99">
        <f t="shared" si="0"/>
        <v>280.733497271682</v>
      </c>
      <c r="BJ34" s="99">
        <f t="shared" si="0"/>
        <v>0</v>
      </c>
      <c r="BK34" s="99">
        <f t="shared" si="0"/>
        <v>39.611715000000004</v>
      </c>
      <c r="BL34" s="99">
        <f t="shared" si="0"/>
        <v>6.327750000000001</v>
      </c>
      <c r="BM34" s="99">
        <f t="shared" si="0"/>
        <v>12.655500000000002</v>
      </c>
      <c r="BN34" s="99">
        <f t="shared" si="0"/>
        <v>151.9330851522105</v>
      </c>
      <c r="BO34" s="45"/>
    </row>
    <row r="35" spans="1:67" ht="163.5" customHeight="1">
      <c r="A35" s="421" t="s">
        <v>18</v>
      </c>
      <c r="B35" s="9" t="s">
        <v>324</v>
      </c>
      <c r="C35" s="9" t="s">
        <v>184</v>
      </c>
      <c r="D35" s="663" t="s">
        <v>100</v>
      </c>
      <c r="E35" s="664"/>
      <c r="F35" s="9" t="s">
        <v>93</v>
      </c>
      <c r="G35" s="9" t="s">
        <v>94</v>
      </c>
      <c r="H35" s="167" t="s">
        <v>350</v>
      </c>
      <c r="I35" s="35">
        <f>1000*2.5</f>
        <v>2500</v>
      </c>
      <c r="J35" s="36">
        <f>60*2.5</f>
        <v>150</v>
      </c>
      <c r="K35" s="35">
        <f>140*2.5</f>
        <v>350</v>
      </c>
      <c r="L35" s="36">
        <f>2800*2.5</f>
        <v>7000</v>
      </c>
      <c r="M35" s="35"/>
      <c r="N35" s="167">
        <f>SUM(I35:L35)</f>
        <v>10000</v>
      </c>
      <c r="O35" s="38">
        <f>I35</f>
        <v>2500</v>
      </c>
      <c r="P35" s="42">
        <f>J35</f>
        <v>150</v>
      </c>
      <c r="Q35" s="38">
        <f>K35</f>
        <v>350</v>
      </c>
      <c r="R35" s="42">
        <f>L35</f>
        <v>7000</v>
      </c>
      <c r="S35" s="38"/>
      <c r="T35" s="167">
        <f>SUM(O35:R35)</f>
        <v>10000</v>
      </c>
      <c r="U35" s="174">
        <f>O35</f>
        <v>2500</v>
      </c>
      <c r="V35" s="165">
        <f>P35</f>
        <v>150</v>
      </c>
      <c r="W35" s="174">
        <f>Q35</f>
        <v>350</v>
      </c>
      <c r="X35" s="165">
        <f>R35</f>
        <v>7000</v>
      </c>
      <c r="Y35" s="174"/>
      <c r="Z35" s="417"/>
      <c r="AA35" s="456" t="s">
        <v>18</v>
      </c>
      <c r="AB35" s="99">
        <f>175*2.5</f>
        <v>437.5</v>
      </c>
      <c r="AC35" s="99">
        <v>0</v>
      </c>
      <c r="AD35" s="99">
        <v>0</v>
      </c>
      <c r="AE35" s="99">
        <f>249*2.5</f>
        <v>622.5</v>
      </c>
      <c r="AF35" s="99">
        <v>0</v>
      </c>
      <c r="AG35" s="99">
        <f>175*2.5</f>
        <v>437.5</v>
      </c>
      <c r="AH35" s="99">
        <f>10*2.5</f>
        <v>25</v>
      </c>
      <c r="AI35" s="99">
        <f>20*2.5</f>
        <v>50</v>
      </c>
      <c r="AJ35" s="99">
        <f>374*2.5</f>
        <v>935</v>
      </c>
      <c r="AK35" s="99">
        <v>0</v>
      </c>
      <c r="AL35" s="45">
        <f>175*2.5</f>
        <v>437.5</v>
      </c>
      <c r="AM35" s="45">
        <f>10*2.5</f>
        <v>25</v>
      </c>
      <c r="AN35" s="45">
        <f>20*2.5</f>
        <v>50</v>
      </c>
      <c r="AO35" s="45">
        <f>633*2.5</f>
        <v>1582.5</v>
      </c>
      <c r="AP35" s="45">
        <v>0</v>
      </c>
      <c r="AQ35" s="45">
        <f>59*2.5</f>
        <v>147.5</v>
      </c>
      <c r="AR35" s="45">
        <f>10*2.5</f>
        <v>25</v>
      </c>
      <c r="AS35" s="45">
        <f>20*2.5</f>
        <v>50</v>
      </c>
      <c r="AT35" s="45">
        <f>633*2.5</f>
        <v>1582.5</v>
      </c>
      <c r="AU35" s="45">
        <v>0</v>
      </c>
      <c r="AV35" s="45">
        <f>125*2.5</f>
        <v>312.5</v>
      </c>
      <c r="AW35" s="45">
        <v>0</v>
      </c>
      <c r="AX35" s="45">
        <f>20*2.5</f>
        <v>50</v>
      </c>
      <c r="AY35" s="45">
        <f>119*2.5</f>
        <v>297.5</v>
      </c>
      <c r="AZ35" s="45">
        <v>0</v>
      </c>
      <c r="BA35" s="45">
        <f>175*2.5</f>
        <v>437.5</v>
      </c>
      <c r="BB35" s="45">
        <f>10*2.5</f>
        <v>25</v>
      </c>
      <c r="BC35" s="45">
        <f>20*2.5</f>
        <v>50</v>
      </c>
      <c r="BD35" s="45">
        <f>242*2.5</f>
        <v>605</v>
      </c>
      <c r="BE35" s="45">
        <v>0</v>
      </c>
      <c r="BF35" s="45">
        <f>58*2.5</f>
        <v>145</v>
      </c>
      <c r="BG35" s="45">
        <f>10*2.5</f>
        <v>25</v>
      </c>
      <c r="BH35" s="45">
        <f>20*2.5</f>
        <v>50</v>
      </c>
      <c r="BI35" s="45">
        <f>357*2.5</f>
        <v>892.5</v>
      </c>
      <c r="BJ35" s="45">
        <v>0</v>
      </c>
      <c r="BK35" s="45">
        <f>58*2.5</f>
        <v>145</v>
      </c>
      <c r="BL35" s="45">
        <f>10*2.5</f>
        <v>25</v>
      </c>
      <c r="BM35" s="45">
        <f>20*2.5</f>
        <v>50</v>
      </c>
      <c r="BN35" s="45">
        <f>193*2.5</f>
        <v>482.5</v>
      </c>
      <c r="BO35" s="45">
        <v>0</v>
      </c>
    </row>
    <row r="36" spans="1:61" ht="110.25" customHeight="1">
      <c r="A36" s="474" t="s">
        <v>19</v>
      </c>
      <c r="B36" s="188" t="s">
        <v>325</v>
      </c>
      <c r="C36" s="188" t="s">
        <v>185</v>
      </c>
      <c r="D36" s="704" t="s">
        <v>100</v>
      </c>
      <c r="E36" s="705"/>
      <c r="F36" s="188" t="s">
        <v>93</v>
      </c>
      <c r="G36" s="188" t="s">
        <v>94</v>
      </c>
      <c r="H36" s="167" t="str">
        <f>H6</f>
        <v>N/A</v>
      </c>
      <c r="I36" s="35">
        <v>750</v>
      </c>
      <c r="J36" s="36">
        <v>45</v>
      </c>
      <c r="K36" s="35">
        <v>105</v>
      </c>
      <c r="L36" s="36">
        <v>2100</v>
      </c>
      <c r="M36" s="35"/>
      <c r="N36" s="167">
        <v>3000</v>
      </c>
      <c r="O36" s="38">
        <v>750</v>
      </c>
      <c r="P36" s="42">
        <v>45</v>
      </c>
      <c r="Q36" s="38">
        <v>105</v>
      </c>
      <c r="R36" s="42">
        <v>2100</v>
      </c>
      <c r="S36" s="38"/>
      <c r="T36" s="167">
        <v>3000</v>
      </c>
      <c r="U36" s="174">
        <v>750</v>
      </c>
      <c r="V36" s="165">
        <v>45</v>
      </c>
      <c r="W36" s="174">
        <v>105</v>
      </c>
      <c r="X36" s="165">
        <v>2100</v>
      </c>
      <c r="Y36" s="174"/>
      <c r="Z36" s="469"/>
      <c r="AA36" s="118"/>
      <c r="AB36" s="118"/>
      <c r="AC36" s="110"/>
      <c r="AD36" s="110"/>
      <c r="AE36" s="110"/>
      <c r="AF36" s="47"/>
      <c r="AG36" s="64"/>
      <c r="AH36" s="65"/>
      <c r="AI36" s="65"/>
      <c r="AJ36" s="65"/>
      <c r="AK36" s="65"/>
      <c r="AL36" s="65"/>
      <c r="AM36" s="65"/>
      <c r="AN36" s="53"/>
      <c r="AO36" s="53"/>
      <c r="AP36" s="53"/>
      <c r="AQ36" s="53"/>
      <c r="AR36" s="53"/>
      <c r="AS36" s="53"/>
      <c r="AT36" s="53"/>
      <c r="AU36" s="53"/>
      <c r="AV36" s="53"/>
      <c r="AW36" s="53"/>
      <c r="AX36" s="53"/>
      <c r="AY36" s="53"/>
      <c r="AZ36" s="53"/>
      <c r="BA36" s="53"/>
      <c r="BB36" s="53"/>
      <c r="BC36" s="53"/>
      <c r="BD36" s="53"/>
      <c r="BE36" s="53"/>
      <c r="BF36" s="53"/>
      <c r="BG36" s="53"/>
      <c r="BH36" s="53"/>
      <c r="BI36" s="53"/>
    </row>
    <row r="37" spans="1:73" ht="23.25">
      <c r="A37" s="465"/>
      <c r="B37" s="117"/>
      <c r="C37" s="117"/>
      <c r="D37" s="117"/>
      <c r="E37" s="117"/>
      <c r="F37" s="117"/>
      <c r="G37" s="117"/>
      <c r="H37" s="117"/>
      <c r="I37" s="117"/>
      <c r="J37" s="117"/>
      <c r="K37" s="117"/>
      <c r="L37" s="117"/>
      <c r="M37" s="117"/>
      <c r="N37" s="117"/>
      <c r="O37" s="117"/>
      <c r="P37" s="117"/>
      <c r="Q37" s="117"/>
      <c r="R37" s="110"/>
      <c r="S37" s="110"/>
      <c r="T37" s="110"/>
      <c r="U37" s="110"/>
      <c r="V37" s="110"/>
      <c r="W37" s="110"/>
      <c r="X37" s="110"/>
      <c r="Y37" s="110"/>
      <c r="Z37" s="469"/>
      <c r="AA37" s="118"/>
      <c r="AB37" s="118"/>
      <c r="AC37" s="110"/>
      <c r="AD37" s="110"/>
      <c r="AE37" s="110"/>
      <c r="AF37" s="47"/>
      <c r="AG37" s="64"/>
      <c r="AH37" s="65"/>
      <c r="AI37" s="65"/>
      <c r="AJ37" s="65"/>
      <c r="AK37" s="65"/>
      <c r="AL37" s="65"/>
      <c r="AM37" s="65"/>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4"/>
      <c r="BU37" s="54"/>
    </row>
    <row r="38" spans="1:73" ht="23.25">
      <c r="A38" s="427" t="s">
        <v>189</v>
      </c>
      <c r="B38" s="303"/>
      <c r="C38" s="303"/>
      <c r="D38" s="303"/>
      <c r="E38" s="303"/>
      <c r="F38" s="303"/>
      <c r="G38" s="304"/>
      <c r="H38" s="117"/>
      <c r="I38" s="117"/>
      <c r="J38" s="117"/>
      <c r="K38" s="117"/>
      <c r="L38" s="117"/>
      <c r="M38" s="69"/>
      <c r="N38" s="69"/>
      <c r="O38" s="69"/>
      <c r="P38" s="69"/>
      <c r="Q38" s="69"/>
      <c r="R38" s="69"/>
      <c r="S38" s="69"/>
      <c r="T38" s="69"/>
      <c r="U38" s="69"/>
      <c r="V38" s="69"/>
      <c r="W38" s="69"/>
      <c r="X38" s="69"/>
      <c r="Y38" s="69"/>
      <c r="Z38" s="471"/>
      <c r="AA38" s="110"/>
      <c r="AB38" s="110"/>
      <c r="AC38" s="110"/>
      <c r="AD38" s="110"/>
      <c r="AE38" s="110"/>
      <c r="AF38" s="47"/>
      <c r="AG38" s="54"/>
      <c r="AH38" s="615"/>
      <c r="AI38" s="615"/>
      <c r="AJ38" s="615"/>
      <c r="AK38" s="615"/>
      <c r="AL38" s="615"/>
      <c r="AM38" s="615"/>
      <c r="AN38" s="615"/>
      <c r="AO38" s="615"/>
      <c r="AP38" s="615"/>
      <c r="AQ38" s="615"/>
      <c r="AR38" s="615"/>
      <c r="AS38" s="615"/>
      <c r="AT38" s="615"/>
      <c r="AU38" s="615"/>
      <c r="AV38" s="615"/>
      <c r="AW38" s="615"/>
      <c r="AX38" s="615"/>
      <c r="AY38" s="615"/>
      <c r="AZ38" s="615"/>
      <c r="BA38" s="615"/>
      <c r="BB38" s="615"/>
      <c r="BC38" s="615"/>
      <c r="BD38" s="615"/>
      <c r="BE38" s="615"/>
      <c r="BF38" s="615"/>
      <c r="BG38" s="615"/>
      <c r="BH38" s="615"/>
      <c r="BI38" s="615"/>
      <c r="BJ38" s="615"/>
      <c r="BK38" s="615"/>
      <c r="BL38" s="615"/>
      <c r="BM38" s="615"/>
      <c r="BN38" s="615"/>
      <c r="BO38" s="615"/>
      <c r="BP38" s="615"/>
      <c r="BQ38" s="615"/>
      <c r="BR38" s="615"/>
      <c r="BS38" s="615"/>
      <c r="BT38" s="615"/>
      <c r="BU38" s="615"/>
    </row>
    <row r="39" spans="1:67" ht="23.25">
      <c r="A39" s="699" t="s">
        <v>265</v>
      </c>
      <c r="B39" s="700"/>
      <c r="C39" s="700"/>
      <c r="D39" s="700"/>
      <c r="E39" s="700"/>
      <c r="F39" s="700"/>
      <c r="G39" s="701"/>
      <c r="H39" s="117"/>
      <c r="I39" s="338"/>
      <c r="J39" s="338"/>
      <c r="K39" s="338"/>
      <c r="L39" s="338"/>
      <c r="M39" s="70"/>
      <c r="N39" s="70"/>
      <c r="O39" s="70"/>
      <c r="P39" s="70"/>
      <c r="Q39" s="110"/>
      <c r="R39" s="110"/>
      <c r="S39" s="110"/>
      <c r="T39" s="110"/>
      <c r="U39" s="110"/>
      <c r="V39" s="110"/>
      <c r="W39" s="110"/>
      <c r="X39" s="110"/>
      <c r="Y39" s="110"/>
      <c r="Z39" s="461"/>
      <c r="AA39" s="122"/>
      <c r="AB39" s="122"/>
      <c r="AC39" s="122"/>
      <c r="AD39" s="122"/>
      <c r="AE39" s="122"/>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54"/>
    </row>
    <row r="40" spans="1:67" ht="39.75" customHeight="1">
      <c r="A40" s="609" t="s">
        <v>266</v>
      </c>
      <c r="B40" s="610"/>
      <c r="C40" s="610"/>
      <c r="D40" s="610"/>
      <c r="E40" s="610"/>
      <c r="F40" s="610"/>
      <c r="G40" s="611"/>
      <c r="H40" s="117"/>
      <c r="I40" s="117"/>
      <c r="J40" s="117"/>
      <c r="K40" s="117"/>
      <c r="L40" s="117"/>
      <c r="M40" s="71"/>
      <c r="N40" s="71"/>
      <c r="O40" s="71"/>
      <c r="P40" s="71"/>
      <c r="Q40" s="110"/>
      <c r="R40" s="110"/>
      <c r="S40" s="110"/>
      <c r="T40" s="110"/>
      <c r="U40" s="110"/>
      <c r="V40" s="110"/>
      <c r="W40" s="110"/>
      <c r="X40" s="110"/>
      <c r="Y40" s="110"/>
      <c r="Z40" s="461"/>
      <c r="AA40" s="124"/>
      <c r="AB40" s="124"/>
      <c r="AC40" s="124"/>
      <c r="AD40" s="124"/>
      <c r="AE40" s="124"/>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54"/>
    </row>
    <row r="41" spans="1:31" ht="19.5" customHeight="1">
      <c r="A41" s="475" t="s">
        <v>617</v>
      </c>
      <c r="B41" s="305"/>
      <c r="C41" s="305"/>
      <c r="D41" s="305"/>
      <c r="E41" s="305"/>
      <c r="F41" s="305"/>
      <c r="G41" s="306"/>
      <c r="H41" s="117"/>
      <c r="I41" s="117"/>
      <c r="J41" s="117"/>
      <c r="K41" s="117"/>
      <c r="L41" s="117"/>
      <c r="M41" s="110"/>
      <c r="N41" s="110"/>
      <c r="O41" s="110"/>
      <c r="P41" s="110"/>
      <c r="Q41" s="110"/>
      <c r="R41" s="110"/>
      <c r="S41" s="110"/>
      <c r="T41" s="110"/>
      <c r="U41" s="110"/>
      <c r="V41" s="110"/>
      <c r="W41" s="110"/>
      <c r="X41" s="110"/>
      <c r="Y41" s="110"/>
      <c r="Z41" s="469"/>
      <c r="AA41" s="111"/>
      <c r="AB41" s="111"/>
      <c r="AC41" s="111"/>
      <c r="AD41" s="111"/>
      <c r="AE41" s="111"/>
    </row>
    <row r="42" spans="1:26" ht="24" thickBot="1">
      <c r="A42" s="433"/>
      <c r="B42" s="434"/>
      <c r="C42" s="434"/>
      <c r="D42" s="434"/>
      <c r="E42" s="434"/>
      <c r="F42" s="434"/>
      <c r="G42" s="434"/>
      <c r="H42" s="476"/>
      <c r="I42" s="476"/>
      <c r="J42" s="476"/>
      <c r="K42" s="476"/>
      <c r="L42" s="476"/>
      <c r="M42" s="434"/>
      <c r="N42" s="434"/>
      <c r="O42" s="434"/>
      <c r="P42" s="434"/>
      <c r="Q42" s="434"/>
      <c r="R42" s="434"/>
      <c r="S42" s="434"/>
      <c r="T42" s="434"/>
      <c r="U42" s="434"/>
      <c r="V42" s="434"/>
      <c r="W42" s="434"/>
      <c r="X42" s="434"/>
      <c r="Y42" s="434"/>
      <c r="Z42" s="435"/>
    </row>
    <row r="43" spans="9:12" ht="23.25">
      <c r="I43" s="117"/>
      <c r="J43" s="117"/>
      <c r="K43" s="117"/>
      <c r="L43" s="117"/>
    </row>
    <row r="44" spans="9:12" ht="23.25">
      <c r="I44" s="117"/>
      <c r="J44" s="117"/>
      <c r="K44" s="117"/>
      <c r="L44" s="117"/>
    </row>
    <row r="45" spans="9:12" ht="23.25">
      <c r="I45" s="117"/>
      <c r="J45" s="117"/>
      <c r="K45" s="117"/>
      <c r="L45" s="117"/>
    </row>
    <row r="46" spans="9:12" ht="23.25">
      <c r="I46" s="117"/>
      <c r="J46" s="117"/>
      <c r="K46" s="117"/>
      <c r="L46" s="117"/>
    </row>
  </sheetData>
  <sheetProtection/>
  <mergeCells count="69">
    <mergeCell ref="A40:G40"/>
    <mergeCell ref="A25:G25"/>
    <mergeCell ref="BL38:BP38"/>
    <mergeCell ref="BQ38:BU38"/>
    <mergeCell ref="AH38:AL38"/>
    <mergeCell ref="AM38:AQ38"/>
    <mergeCell ref="AR38:AV38"/>
    <mergeCell ref="AW38:BA38"/>
    <mergeCell ref="BB38:BF38"/>
    <mergeCell ref="BG38:BK38"/>
    <mergeCell ref="A39:G39"/>
    <mergeCell ref="D34:E34"/>
    <mergeCell ref="D36:E36"/>
    <mergeCell ref="U27:Z27"/>
    <mergeCell ref="D33:E33"/>
    <mergeCell ref="D35:E35"/>
    <mergeCell ref="BQ20:BU20"/>
    <mergeCell ref="AR20:AV20"/>
    <mergeCell ref="AW20:BA20"/>
    <mergeCell ref="BB20:BF20"/>
    <mergeCell ref="BG20:BK20"/>
    <mergeCell ref="BL20:BP20"/>
    <mergeCell ref="A23:G23"/>
    <mergeCell ref="D6:E6"/>
    <mergeCell ref="U10:Z10"/>
    <mergeCell ref="D17:E17"/>
    <mergeCell ref="D16:E16"/>
    <mergeCell ref="N15:S15"/>
    <mergeCell ref="A21:G21"/>
    <mergeCell ref="N32:S32"/>
    <mergeCell ref="H32:M32"/>
    <mergeCell ref="AH20:AL20"/>
    <mergeCell ref="AM20:AQ20"/>
    <mergeCell ref="T3:Y3"/>
    <mergeCell ref="AB3:AF3"/>
    <mergeCell ref="AL3:AP3"/>
    <mergeCell ref="AG3:AK3"/>
    <mergeCell ref="AQ3:AU3"/>
    <mergeCell ref="AB15:AF15"/>
    <mergeCell ref="T15:Y15"/>
    <mergeCell ref="T32:Y32"/>
    <mergeCell ref="AB32:AF32"/>
    <mergeCell ref="H15:M15"/>
    <mergeCell ref="H3:M3"/>
    <mergeCell ref="N3:S3"/>
    <mergeCell ref="A1:G1"/>
    <mergeCell ref="A2:G3"/>
    <mergeCell ref="A15:G15"/>
    <mergeCell ref="D4:E4"/>
    <mergeCell ref="D5:E5"/>
    <mergeCell ref="A8:G8"/>
    <mergeCell ref="BF3:BJ3"/>
    <mergeCell ref="BK3:BO3"/>
    <mergeCell ref="AG15:AK15"/>
    <mergeCell ref="AL15:AP15"/>
    <mergeCell ref="AQ15:AU15"/>
    <mergeCell ref="AV15:AZ15"/>
    <mergeCell ref="BA15:BE15"/>
    <mergeCell ref="BF15:BJ15"/>
    <mergeCell ref="BK15:BO15"/>
    <mergeCell ref="AV3:AZ3"/>
    <mergeCell ref="BA3:BE3"/>
    <mergeCell ref="BF32:BJ32"/>
    <mergeCell ref="BK32:BO32"/>
    <mergeCell ref="AG32:AK32"/>
    <mergeCell ref="AL32:AP32"/>
    <mergeCell ref="AQ32:AU32"/>
    <mergeCell ref="AV32:AZ32"/>
    <mergeCell ref="BA32:BE32"/>
  </mergeCells>
  <printOptions/>
  <pageMargins left="0.7" right="0.7" top="0.75" bottom="0.75" header="0.3" footer="0.3"/>
  <pageSetup fitToHeight="0" fitToWidth="1" horizontalDpi="600" verticalDpi="600" orientation="landscape" paperSize="9" scale="15"/>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X52"/>
  <sheetViews>
    <sheetView zoomScale="60" zoomScaleNormal="60" zoomScalePageLayoutView="60" workbookViewId="0" topLeftCell="A1">
      <selection activeCell="A1" sqref="A1:AF1"/>
    </sheetView>
  </sheetViews>
  <sheetFormatPr defaultColWidth="8.8515625" defaultRowHeight="15"/>
  <cols>
    <col min="1" max="1" width="9.140625" style="0" customWidth="1"/>
    <col min="2" max="2" width="18.421875" style="0" customWidth="1"/>
    <col min="3" max="3" width="43.140625" style="0" customWidth="1"/>
    <col min="4" max="4" width="27.8515625" style="0" customWidth="1"/>
    <col min="5" max="5" width="27.7109375" style="0" customWidth="1"/>
    <col min="6" max="6" width="24.8515625" style="0" customWidth="1"/>
    <col min="7" max="7" width="34.00390625" style="0" customWidth="1"/>
    <col min="8" max="8" width="28.421875" style="0" customWidth="1"/>
    <col min="9" max="9" width="26.140625" style="0" customWidth="1"/>
    <col min="10" max="12" width="8.8515625" style="0" customWidth="1"/>
    <col min="13" max="13" width="5.421875" style="0" customWidth="1"/>
    <col min="14" max="19" width="8.8515625" style="0" customWidth="1"/>
    <col min="20" max="20" width="9.140625" style="0" customWidth="1"/>
  </cols>
  <sheetData>
    <row r="1" spans="1:72" ht="48" customHeight="1">
      <c r="A1" s="673" t="s">
        <v>329</v>
      </c>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41"/>
      <c r="AF1" s="742"/>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47"/>
      <c r="BR1" s="47"/>
      <c r="BS1" s="47"/>
      <c r="BT1" s="47"/>
    </row>
    <row r="2" spans="1:72" ht="23.25" customHeight="1">
      <c r="A2" s="750" t="s">
        <v>204</v>
      </c>
      <c r="B2" s="684"/>
      <c r="C2" s="684"/>
      <c r="D2" s="684"/>
      <c r="E2" s="684"/>
      <c r="F2" s="684"/>
      <c r="G2" s="751"/>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47"/>
      <c r="BR2" s="47"/>
      <c r="BS2" s="47"/>
      <c r="BT2" s="47"/>
    </row>
    <row r="3" spans="1:72" ht="23.25">
      <c r="A3" s="752"/>
      <c r="B3" s="686"/>
      <c r="C3" s="686"/>
      <c r="D3" s="686"/>
      <c r="E3" s="686"/>
      <c r="F3" s="686"/>
      <c r="G3" s="753"/>
      <c r="H3" s="275"/>
      <c r="I3" s="636" t="s">
        <v>190</v>
      </c>
      <c r="J3" s="637"/>
      <c r="K3" s="637"/>
      <c r="L3" s="637"/>
      <c r="M3" s="638"/>
      <c r="N3" s="754" t="s">
        <v>210</v>
      </c>
      <c r="O3" s="755"/>
      <c r="P3" s="755"/>
      <c r="Q3" s="755"/>
      <c r="R3" s="756"/>
      <c r="S3" s="651" t="s">
        <v>230</v>
      </c>
      <c r="T3" s="652"/>
      <c r="U3" s="652"/>
      <c r="V3" s="652"/>
      <c r="W3" s="666"/>
      <c r="X3" s="54"/>
      <c r="Y3" s="54"/>
      <c r="Z3" s="54"/>
      <c r="AA3" s="54"/>
      <c r="AB3" s="54"/>
      <c r="AC3" s="105"/>
      <c r="AD3" s="105"/>
      <c r="AE3" s="105"/>
      <c r="AF3" s="428"/>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74"/>
      <c r="BJ3" s="54"/>
      <c r="BK3" s="54"/>
      <c r="BL3" s="54"/>
      <c r="BM3" s="54"/>
      <c r="BN3" s="54"/>
      <c r="BO3" s="54"/>
      <c r="BP3" s="54"/>
      <c r="BQ3" s="47"/>
      <c r="BR3" s="47"/>
      <c r="BS3" s="47"/>
      <c r="BT3" s="47"/>
    </row>
    <row r="4" spans="1:72" ht="36.75" customHeight="1" thickBot="1">
      <c r="A4" s="418" t="s">
        <v>5</v>
      </c>
      <c r="B4" s="34" t="s">
        <v>171</v>
      </c>
      <c r="C4" s="34" t="s">
        <v>2</v>
      </c>
      <c r="D4" s="690" t="s">
        <v>46</v>
      </c>
      <c r="E4" s="691"/>
      <c r="F4" s="339" t="s">
        <v>9</v>
      </c>
      <c r="G4" s="277" t="s">
        <v>0</v>
      </c>
      <c r="H4" s="278" t="s">
        <v>345</v>
      </c>
      <c r="I4" s="722" t="s">
        <v>203</v>
      </c>
      <c r="J4" s="723"/>
      <c r="K4" s="723"/>
      <c r="L4" s="723"/>
      <c r="M4" s="724"/>
      <c r="N4" s="757" t="s">
        <v>203</v>
      </c>
      <c r="O4" s="758"/>
      <c r="P4" s="758"/>
      <c r="Q4" s="758"/>
      <c r="R4" s="759"/>
      <c r="S4" s="706" t="s">
        <v>203</v>
      </c>
      <c r="T4" s="707"/>
      <c r="U4" s="707"/>
      <c r="V4" s="707"/>
      <c r="W4" s="766"/>
      <c r="X4" s="54"/>
      <c r="Y4" s="54"/>
      <c r="Z4" s="54"/>
      <c r="AA4" s="54"/>
      <c r="AB4" s="54"/>
      <c r="AC4" s="105"/>
      <c r="AD4" s="105"/>
      <c r="AE4" s="105"/>
      <c r="AF4" s="428"/>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74"/>
      <c r="BJ4" s="54"/>
      <c r="BK4" s="54"/>
      <c r="BL4" s="54"/>
      <c r="BM4" s="54"/>
      <c r="BN4" s="54"/>
      <c r="BO4" s="54"/>
      <c r="BP4" s="54"/>
      <c r="BQ4" s="47"/>
      <c r="BR4" s="47"/>
      <c r="BS4" s="47"/>
      <c r="BT4" s="47"/>
    </row>
    <row r="5" spans="1:72" ht="109.5" customHeight="1" thickBot="1">
      <c r="A5" s="419" t="s">
        <v>17</v>
      </c>
      <c r="B5" s="107" t="s">
        <v>170</v>
      </c>
      <c r="C5" s="107" t="s">
        <v>172</v>
      </c>
      <c r="D5" s="745" t="s">
        <v>168</v>
      </c>
      <c r="E5" s="746"/>
      <c r="F5" s="107" t="s">
        <v>169</v>
      </c>
      <c r="G5" s="10" t="s">
        <v>47</v>
      </c>
      <c r="H5" s="283">
        <v>7</v>
      </c>
      <c r="I5" s="747" t="s">
        <v>316</v>
      </c>
      <c r="J5" s="748"/>
      <c r="K5" s="748"/>
      <c r="L5" s="748"/>
      <c r="M5" s="749"/>
      <c r="N5" s="760" t="s">
        <v>319</v>
      </c>
      <c r="O5" s="761"/>
      <c r="P5" s="761"/>
      <c r="Q5" s="761"/>
      <c r="R5" s="762"/>
      <c r="S5" s="712" t="s">
        <v>318</v>
      </c>
      <c r="T5" s="713"/>
      <c r="U5" s="713"/>
      <c r="V5" s="713"/>
      <c r="W5" s="714"/>
      <c r="X5" s="54"/>
      <c r="Y5" s="54"/>
      <c r="Z5" s="54"/>
      <c r="AA5" s="54"/>
      <c r="AB5" s="54"/>
      <c r="AC5" s="105"/>
      <c r="AD5" s="105"/>
      <c r="AE5" s="105"/>
      <c r="AF5" s="428"/>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74"/>
      <c r="BJ5" s="54"/>
      <c r="BK5" s="54"/>
      <c r="BL5" s="54"/>
      <c r="BM5" s="54"/>
      <c r="BN5" s="54"/>
      <c r="BO5" s="54"/>
      <c r="BP5" s="54"/>
      <c r="BQ5" s="47"/>
      <c r="BR5" s="47"/>
      <c r="BS5" s="47"/>
      <c r="BT5" s="47"/>
    </row>
    <row r="6" spans="1:72" ht="108" customHeight="1">
      <c r="A6" s="477" t="s">
        <v>18</v>
      </c>
      <c r="B6" s="9" t="s">
        <v>179</v>
      </c>
      <c r="C6" s="9" t="s">
        <v>176</v>
      </c>
      <c r="D6" s="604" t="s">
        <v>173</v>
      </c>
      <c r="E6" s="604"/>
      <c r="F6" s="9" t="s">
        <v>175</v>
      </c>
      <c r="G6" s="9" t="s">
        <v>174</v>
      </c>
      <c r="H6" s="283" t="s">
        <v>311</v>
      </c>
      <c r="I6" s="727" t="s">
        <v>312</v>
      </c>
      <c r="J6" s="728"/>
      <c r="K6" s="728"/>
      <c r="L6" s="728"/>
      <c r="M6" s="729"/>
      <c r="N6" s="763" t="s">
        <v>313</v>
      </c>
      <c r="O6" s="764"/>
      <c r="P6" s="764"/>
      <c r="Q6" s="764"/>
      <c r="R6" s="765"/>
      <c r="S6" s="709" t="s">
        <v>314</v>
      </c>
      <c r="T6" s="710"/>
      <c r="U6" s="710"/>
      <c r="V6" s="710"/>
      <c r="W6" s="715"/>
      <c r="X6" s="54"/>
      <c r="Y6" s="54"/>
      <c r="Z6" s="54"/>
      <c r="AA6" s="54"/>
      <c r="AB6" s="54"/>
      <c r="AC6" s="105"/>
      <c r="AD6" s="105"/>
      <c r="AE6" s="105"/>
      <c r="AF6" s="428"/>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row>
    <row r="7" spans="1:72" ht="26.25">
      <c r="A7" s="478"/>
      <c r="B7" s="104"/>
      <c r="C7" s="104"/>
      <c r="D7" s="104"/>
      <c r="E7" s="104"/>
      <c r="F7" s="104"/>
      <c r="G7" s="104"/>
      <c r="H7" s="104"/>
      <c r="I7" s="104"/>
      <c r="J7" s="104"/>
      <c r="K7" s="104"/>
      <c r="L7" s="104"/>
      <c r="M7" s="104"/>
      <c r="N7" s="104"/>
      <c r="O7" s="104"/>
      <c r="P7" s="104"/>
      <c r="Q7" s="105"/>
      <c r="R7" s="105"/>
      <c r="S7" s="105"/>
      <c r="T7" s="47"/>
      <c r="U7" s="54"/>
      <c r="V7" s="54"/>
      <c r="W7" s="54"/>
      <c r="X7" s="54"/>
      <c r="Y7" s="54"/>
      <c r="Z7" s="54"/>
      <c r="AA7" s="54"/>
      <c r="AB7" s="54"/>
      <c r="AC7" s="105"/>
      <c r="AD7" s="105"/>
      <c r="AE7" s="105"/>
      <c r="AF7" s="428"/>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row>
    <row r="8" spans="1:72" ht="47.25" customHeight="1">
      <c r="A8" s="642" t="s">
        <v>301</v>
      </c>
      <c r="B8" s="643"/>
      <c r="C8" s="643"/>
      <c r="D8" s="643"/>
      <c r="E8" s="643"/>
      <c r="F8" s="643"/>
      <c r="G8" s="643"/>
      <c r="H8" s="57"/>
      <c r="I8" s="57"/>
      <c r="J8" s="57"/>
      <c r="K8" s="57"/>
      <c r="L8" s="57"/>
      <c r="M8" s="57"/>
      <c r="N8" s="57"/>
      <c r="O8" s="57"/>
      <c r="P8" s="57"/>
      <c r="Q8" s="57"/>
      <c r="R8" s="57"/>
      <c r="S8" s="57"/>
      <c r="T8" s="57"/>
      <c r="U8" s="57"/>
      <c r="V8" s="57"/>
      <c r="W8" s="57"/>
      <c r="X8" s="58"/>
      <c r="Y8" s="58"/>
      <c r="Z8" s="58"/>
      <c r="AA8" s="58"/>
      <c r="AB8" s="58"/>
      <c r="AC8" s="58"/>
      <c r="AD8" s="58"/>
      <c r="AE8" s="58"/>
      <c r="AF8" s="482"/>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6"/>
      <c r="BR8" s="6"/>
      <c r="BS8" s="6"/>
      <c r="BT8" s="6"/>
    </row>
    <row r="9" spans="1:72" ht="23.25">
      <c r="A9" s="425"/>
      <c r="B9" s="59"/>
      <c r="C9" s="59"/>
      <c r="D9" s="59"/>
      <c r="E9" s="60"/>
      <c r="F9" s="60"/>
      <c r="G9" s="60"/>
      <c r="H9" s="60"/>
      <c r="I9" s="60"/>
      <c r="J9" s="60"/>
      <c r="K9" s="60"/>
      <c r="L9" s="60"/>
      <c r="M9" s="60"/>
      <c r="N9" s="60"/>
      <c r="O9" s="60"/>
      <c r="P9" s="60"/>
      <c r="Q9" s="60"/>
      <c r="R9" s="60"/>
      <c r="S9" s="60"/>
      <c r="T9" s="60"/>
      <c r="U9" s="60"/>
      <c r="V9" s="60"/>
      <c r="W9" s="60"/>
      <c r="X9" s="53"/>
      <c r="Y9" s="53"/>
      <c r="Z9" s="53"/>
      <c r="AA9" s="53"/>
      <c r="AB9" s="53"/>
      <c r="AC9" s="53"/>
      <c r="AD9" s="53"/>
      <c r="AE9" s="53"/>
      <c r="AF9" s="42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row>
    <row r="10" spans="1:72" ht="23.25">
      <c r="A10" s="416"/>
      <c r="B10" s="182" t="s">
        <v>8</v>
      </c>
      <c r="C10" s="189" t="s">
        <v>191</v>
      </c>
      <c r="D10" s="184">
        <v>2019</v>
      </c>
      <c r="E10" s="190">
        <v>2020</v>
      </c>
      <c r="F10" s="60"/>
      <c r="G10" s="60"/>
      <c r="H10" s="60"/>
      <c r="I10" s="60"/>
      <c r="J10" s="60"/>
      <c r="K10" s="60"/>
      <c r="L10" s="60"/>
      <c r="M10" s="55"/>
      <c r="N10" s="55"/>
      <c r="O10" s="55"/>
      <c r="P10" s="55"/>
      <c r="Q10" s="55"/>
      <c r="R10" s="55"/>
      <c r="S10" s="55"/>
      <c r="T10" s="55"/>
      <c r="U10" s="55"/>
      <c r="V10" s="6"/>
      <c r="W10" s="6"/>
      <c r="X10" s="6"/>
      <c r="Y10" s="730"/>
      <c r="Z10" s="730"/>
      <c r="AA10" s="730"/>
      <c r="AB10" s="730"/>
      <c r="AC10" s="730"/>
      <c r="AD10" s="730"/>
      <c r="AE10" s="6"/>
      <c r="AF10" s="420"/>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row>
    <row r="11" spans="1:72" ht="38.25">
      <c r="A11" s="424"/>
      <c r="B11" s="185" t="s">
        <v>25</v>
      </c>
      <c r="C11" s="186">
        <v>2500000</v>
      </c>
      <c r="D11" s="187">
        <v>2500000</v>
      </c>
      <c r="E11" s="191">
        <v>2500000</v>
      </c>
      <c r="F11" s="60"/>
      <c r="G11" s="60"/>
      <c r="H11" s="60"/>
      <c r="I11" s="60"/>
      <c r="J11" s="60"/>
      <c r="K11" s="60"/>
      <c r="L11" s="60"/>
      <c r="M11" s="55"/>
      <c r="N11" s="55"/>
      <c r="O11" s="55"/>
      <c r="P11" s="55"/>
      <c r="Q11" s="55"/>
      <c r="R11" s="55"/>
      <c r="S11" s="55"/>
      <c r="T11" s="55"/>
      <c r="U11" s="55"/>
      <c r="V11" s="6"/>
      <c r="W11" s="6"/>
      <c r="X11" s="336"/>
      <c r="Y11" s="336"/>
      <c r="Z11" s="336"/>
      <c r="AA11" s="336"/>
      <c r="AB11" s="336"/>
      <c r="AC11" s="6"/>
      <c r="AD11" s="6"/>
      <c r="AE11" s="6"/>
      <c r="AF11" s="420"/>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row>
    <row r="12" spans="1:72" ht="38.25">
      <c r="A12" s="416"/>
      <c r="B12" s="132" t="s">
        <v>23</v>
      </c>
      <c r="C12" s="62">
        <v>0</v>
      </c>
      <c r="D12" s="63">
        <v>0</v>
      </c>
      <c r="E12" s="222">
        <v>0</v>
      </c>
      <c r="F12" s="60"/>
      <c r="G12" s="60"/>
      <c r="H12" s="60"/>
      <c r="I12" s="60"/>
      <c r="J12" s="60"/>
      <c r="K12" s="60"/>
      <c r="L12" s="60"/>
      <c r="M12" s="55"/>
      <c r="N12" s="55"/>
      <c r="O12" s="55"/>
      <c r="P12" s="55"/>
      <c r="Q12" s="55"/>
      <c r="R12" s="55"/>
      <c r="S12" s="55"/>
      <c r="T12" s="55"/>
      <c r="U12" s="55"/>
      <c r="V12" s="55"/>
      <c r="W12" s="55"/>
      <c r="X12" s="55"/>
      <c r="Y12" s="6"/>
      <c r="Z12" s="6"/>
      <c r="AA12" s="6"/>
      <c r="AB12" s="336"/>
      <c r="AC12" s="336"/>
      <c r="AD12" s="336"/>
      <c r="AE12" s="336"/>
      <c r="AF12" s="479"/>
      <c r="AG12" s="108"/>
      <c r="AH12" s="108"/>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row>
    <row r="13" spans="1:72" ht="23.25">
      <c r="A13" s="416"/>
      <c r="B13" s="132" t="s">
        <v>24</v>
      </c>
      <c r="C13" s="62">
        <v>1</v>
      </c>
      <c r="D13" s="63">
        <v>1</v>
      </c>
      <c r="E13" s="222">
        <v>1</v>
      </c>
      <c r="F13" s="60"/>
      <c r="G13" s="60"/>
      <c r="H13" s="60"/>
      <c r="I13" s="60"/>
      <c r="J13" s="60"/>
      <c r="K13" s="60"/>
      <c r="L13" s="60"/>
      <c r="M13" s="55"/>
      <c r="N13" s="55"/>
      <c r="O13" s="55"/>
      <c r="P13" s="55"/>
      <c r="Q13" s="55"/>
      <c r="R13" s="55"/>
      <c r="S13" s="55"/>
      <c r="T13" s="55"/>
      <c r="U13" s="55"/>
      <c r="V13" s="55"/>
      <c r="W13" s="55"/>
      <c r="X13" s="55"/>
      <c r="Y13" s="6"/>
      <c r="Z13" s="6"/>
      <c r="AA13" s="6"/>
      <c r="AB13" s="336"/>
      <c r="AC13" s="336"/>
      <c r="AD13" s="336"/>
      <c r="AE13" s="336"/>
      <c r="AF13" s="479"/>
      <c r="AG13" s="108"/>
      <c r="AH13" s="108"/>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row>
    <row r="14" spans="1:76" ht="23.25">
      <c r="A14" s="416"/>
      <c r="B14" s="47"/>
      <c r="C14" s="47"/>
      <c r="D14" s="55"/>
      <c r="E14" s="55"/>
      <c r="F14" s="55"/>
      <c r="G14" s="55"/>
      <c r="H14" s="55"/>
      <c r="I14" s="55"/>
      <c r="J14" s="55"/>
      <c r="K14" s="55"/>
      <c r="L14" s="55"/>
      <c r="M14" s="55"/>
      <c r="N14" s="55"/>
      <c r="O14" s="55"/>
      <c r="P14" s="55"/>
      <c r="Q14" s="55"/>
      <c r="R14" s="55"/>
      <c r="S14" s="55"/>
      <c r="T14" s="55"/>
      <c r="U14" s="55"/>
      <c r="V14" s="55"/>
      <c r="W14" s="55"/>
      <c r="X14" s="55"/>
      <c r="Y14" s="6"/>
      <c r="Z14" s="6"/>
      <c r="AA14" s="6"/>
      <c r="AB14" s="47"/>
      <c r="AC14" s="47"/>
      <c r="AD14" s="47"/>
      <c r="AE14" s="47"/>
      <c r="AF14" s="417"/>
      <c r="AJ14" s="6"/>
      <c r="AK14" s="6"/>
      <c r="AL14" s="6"/>
      <c r="AM14" s="6"/>
      <c r="AN14" s="61" t="s">
        <v>192</v>
      </c>
      <c r="AO14" s="150"/>
      <c r="AP14" s="336"/>
      <c r="AQ14" s="336"/>
      <c r="AR14" s="336"/>
      <c r="AS14" s="336"/>
      <c r="AT14" s="33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row>
    <row r="15" spans="1:76" ht="21">
      <c r="A15" s="687" t="s">
        <v>205</v>
      </c>
      <c r="B15" s="688"/>
      <c r="C15" s="688"/>
      <c r="D15" s="688"/>
      <c r="E15" s="688"/>
      <c r="F15" s="688"/>
      <c r="G15" s="689"/>
      <c r="H15" s="636" t="s">
        <v>190</v>
      </c>
      <c r="I15" s="637"/>
      <c r="J15" s="637"/>
      <c r="K15" s="637"/>
      <c r="L15" s="637"/>
      <c r="M15" s="637"/>
      <c r="N15" s="637"/>
      <c r="O15" s="637"/>
      <c r="P15" s="638"/>
      <c r="Q15" s="639" t="s">
        <v>210</v>
      </c>
      <c r="R15" s="640"/>
      <c r="S15" s="640"/>
      <c r="T15" s="640"/>
      <c r="U15" s="641"/>
      <c r="V15" s="651" t="s">
        <v>230</v>
      </c>
      <c r="W15" s="652"/>
      <c r="X15" s="652"/>
      <c r="Y15" s="652"/>
      <c r="Z15" s="666"/>
      <c r="AA15" s="47"/>
      <c r="AB15" s="47"/>
      <c r="AC15" s="47"/>
      <c r="AD15" s="47"/>
      <c r="AE15" s="47"/>
      <c r="AF15" s="417"/>
      <c r="AJ15" s="193"/>
      <c r="AK15" s="694" t="s">
        <v>10</v>
      </c>
      <c r="AL15" s="694"/>
      <c r="AM15" s="694"/>
      <c r="AN15" s="694"/>
      <c r="AO15" s="694"/>
      <c r="AP15" s="337" t="s">
        <v>15</v>
      </c>
      <c r="AQ15" s="337"/>
      <c r="AR15" s="337"/>
      <c r="AS15" s="337"/>
      <c r="AT15" s="337"/>
      <c r="AU15" s="337" t="s">
        <v>22</v>
      </c>
      <c r="AV15" s="337"/>
      <c r="AW15" s="337"/>
      <c r="AX15" s="337"/>
      <c r="AY15" s="337"/>
      <c r="AZ15" s="337" t="s">
        <v>12</v>
      </c>
      <c r="BA15" s="337"/>
      <c r="BB15" s="337"/>
      <c r="BC15" s="337"/>
      <c r="BD15" s="337"/>
      <c r="BE15" s="337" t="s">
        <v>13</v>
      </c>
      <c r="BF15" s="337"/>
      <c r="BG15" s="337"/>
      <c r="BH15" s="337"/>
      <c r="BI15" s="337"/>
      <c r="BJ15" s="337" t="s">
        <v>11</v>
      </c>
      <c r="BK15" s="337"/>
      <c r="BL15" s="337"/>
      <c r="BM15" s="337"/>
      <c r="BN15" s="337"/>
      <c r="BO15" s="337" t="s">
        <v>16</v>
      </c>
      <c r="BP15" s="337"/>
      <c r="BQ15" s="337"/>
      <c r="BR15" s="337"/>
      <c r="BS15" s="337"/>
      <c r="BT15" s="337" t="s">
        <v>14</v>
      </c>
      <c r="BU15" s="337"/>
      <c r="BV15" s="337"/>
      <c r="BW15" s="337"/>
      <c r="BX15" s="337"/>
    </row>
    <row r="16" spans="1:76" ht="15.75" thickBot="1">
      <c r="A16" s="418" t="s">
        <v>5</v>
      </c>
      <c r="B16" s="34" t="s">
        <v>7</v>
      </c>
      <c r="C16" s="34" t="s">
        <v>2</v>
      </c>
      <c r="D16" s="690" t="s">
        <v>46</v>
      </c>
      <c r="E16" s="691"/>
      <c r="F16" s="339" t="s">
        <v>9</v>
      </c>
      <c r="G16" s="339" t="s">
        <v>0</v>
      </c>
      <c r="H16" s="279" t="s">
        <v>345</v>
      </c>
      <c r="I16" s="722" t="s">
        <v>104</v>
      </c>
      <c r="J16" s="723"/>
      <c r="K16" s="723"/>
      <c r="L16" s="723"/>
      <c r="M16" s="723"/>
      <c r="N16" s="723"/>
      <c r="O16" s="723"/>
      <c r="P16" s="724"/>
      <c r="Q16" s="716" t="s">
        <v>241</v>
      </c>
      <c r="R16" s="717"/>
      <c r="S16" s="717"/>
      <c r="T16" s="717"/>
      <c r="U16" s="718"/>
      <c r="V16" s="706" t="s">
        <v>241</v>
      </c>
      <c r="W16" s="707"/>
      <c r="X16" s="707"/>
      <c r="Y16" s="707"/>
      <c r="Z16" s="766"/>
      <c r="AA16" s="47"/>
      <c r="AB16" s="47"/>
      <c r="AC16" s="47"/>
      <c r="AD16" s="47"/>
      <c r="AE16" s="47"/>
      <c r="AF16" s="417"/>
      <c r="AJ16" s="193"/>
      <c r="AK16" s="179" t="s">
        <v>20</v>
      </c>
      <c r="AL16" s="179" t="s">
        <v>28</v>
      </c>
      <c r="AM16" s="179" t="s">
        <v>27</v>
      </c>
      <c r="AN16" s="179" t="s">
        <v>21</v>
      </c>
      <c r="AO16" s="179" t="s">
        <v>34</v>
      </c>
      <c r="AP16" s="179" t="s">
        <v>20</v>
      </c>
      <c r="AQ16" s="179" t="s">
        <v>28</v>
      </c>
      <c r="AR16" s="179" t="s">
        <v>27</v>
      </c>
      <c r="AS16" s="179" t="s">
        <v>21</v>
      </c>
      <c r="AT16" s="179" t="s">
        <v>34</v>
      </c>
      <c r="AU16" s="179" t="s">
        <v>20</v>
      </c>
      <c r="AV16" s="179" t="s">
        <v>28</v>
      </c>
      <c r="AW16" s="179" t="s">
        <v>27</v>
      </c>
      <c r="AX16" s="179" t="s">
        <v>21</v>
      </c>
      <c r="AY16" s="179" t="s">
        <v>34</v>
      </c>
      <c r="AZ16" s="179" t="s">
        <v>20</v>
      </c>
      <c r="BA16" s="179" t="s">
        <v>28</v>
      </c>
      <c r="BB16" s="179" t="s">
        <v>27</v>
      </c>
      <c r="BC16" s="179" t="s">
        <v>21</v>
      </c>
      <c r="BD16" s="179" t="s">
        <v>34</v>
      </c>
      <c r="BE16" s="179" t="s">
        <v>20</v>
      </c>
      <c r="BF16" s="179" t="s">
        <v>28</v>
      </c>
      <c r="BG16" s="179" t="s">
        <v>27</v>
      </c>
      <c r="BH16" s="179" t="s">
        <v>21</v>
      </c>
      <c r="BI16" s="179" t="s">
        <v>34</v>
      </c>
      <c r="BJ16" s="179" t="s">
        <v>20</v>
      </c>
      <c r="BK16" s="179" t="s">
        <v>28</v>
      </c>
      <c r="BL16" s="179" t="s">
        <v>27</v>
      </c>
      <c r="BM16" s="179" t="s">
        <v>21</v>
      </c>
      <c r="BN16" s="179"/>
      <c r="BO16" s="179" t="s">
        <v>20</v>
      </c>
      <c r="BP16" s="179" t="s">
        <v>28</v>
      </c>
      <c r="BQ16" s="179" t="s">
        <v>27</v>
      </c>
      <c r="BR16" s="179" t="s">
        <v>21</v>
      </c>
      <c r="BS16" s="179"/>
      <c r="BT16" s="179" t="s">
        <v>20</v>
      </c>
      <c r="BU16" s="179" t="s">
        <v>28</v>
      </c>
      <c r="BV16" s="179" t="s">
        <v>27</v>
      </c>
      <c r="BW16" s="179" t="s">
        <v>21</v>
      </c>
      <c r="BX16" s="179" t="s">
        <v>34</v>
      </c>
    </row>
    <row r="17" spans="1:76" ht="147" customHeight="1" thickBot="1">
      <c r="A17" s="419" t="s">
        <v>17</v>
      </c>
      <c r="B17" s="8" t="s">
        <v>206</v>
      </c>
      <c r="C17" s="8" t="s">
        <v>101</v>
      </c>
      <c r="D17" s="725" t="s">
        <v>102</v>
      </c>
      <c r="E17" s="726"/>
      <c r="F17" s="8" t="s">
        <v>103</v>
      </c>
      <c r="G17" s="8" t="s">
        <v>52</v>
      </c>
      <c r="H17" s="280" t="s">
        <v>296</v>
      </c>
      <c r="I17" s="727" t="s">
        <v>202</v>
      </c>
      <c r="J17" s="728"/>
      <c r="K17" s="728"/>
      <c r="L17" s="728"/>
      <c r="M17" s="728"/>
      <c r="N17" s="728"/>
      <c r="O17" s="728"/>
      <c r="P17" s="729"/>
      <c r="Q17" s="719" t="s">
        <v>202</v>
      </c>
      <c r="R17" s="720"/>
      <c r="S17" s="720"/>
      <c r="T17" s="720"/>
      <c r="U17" s="721"/>
      <c r="V17" s="709" t="s">
        <v>202</v>
      </c>
      <c r="W17" s="710"/>
      <c r="X17" s="710"/>
      <c r="Y17" s="710"/>
      <c r="Z17" s="715"/>
      <c r="AA17" s="47"/>
      <c r="AB17" s="47"/>
      <c r="AC17" s="47"/>
      <c r="AD17" s="47"/>
      <c r="AE17" s="47"/>
      <c r="AF17" s="417"/>
      <c r="AJ17" s="194" t="s">
        <v>155</v>
      </c>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row>
    <row r="18" spans="1:76" ht="147" customHeight="1">
      <c r="A18" s="426" t="s">
        <v>18</v>
      </c>
      <c r="B18" s="10" t="s">
        <v>310</v>
      </c>
      <c r="C18" s="10" t="s">
        <v>302</v>
      </c>
      <c r="D18" s="645" t="s">
        <v>303</v>
      </c>
      <c r="E18" s="646"/>
      <c r="F18" s="10" t="s">
        <v>304</v>
      </c>
      <c r="G18" s="10" t="s">
        <v>52</v>
      </c>
      <c r="H18" s="283" t="s">
        <v>57</v>
      </c>
      <c r="I18" s="767" t="s">
        <v>305</v>
      </c>
      <c r="J18" s="768"/>
      <c r="K18" s="768"/>
      <c r="L18" s="768"/>
      <c r="M18" s="768"/>
      <c r="N18" s="768"/>
      <c r="O18" s="768"/>
      <c r="P18" s="769"/>
      <c r="Q18" s="719" t="s">
        <v>305</v>
      </c>
      <c r="R18" s="720"/>
      <c r="S18" s="720"/>
      <c r="T18" s="720"/>
      <c r="U18" s="721"/>
      <c r="V18" s="709" t="s">
        <v>305</v>
      </c>
      <c r="W18" s="710"/>
      <c r="X18" s="710"/>
      <c r="Y18" s="710"/>
      <c r="Z18" s="715"/>
      <c r="AA18" s="47"/>
      <c r="AB18" s="47"/>
      <c r="AC18" s="47"/>
      <c r="AD18" s="47"/>
      <c r="AE18" s="47"/>
      <c r="AF18" s="417"/>
      <c r="AJ18" s="194" t="s">
        <v>155</v>
      </c>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row>
    <row r="19" spans="1:72" ht="23.25">
      <c r="A19" s="416"/>
      <c r="B19" s="55"/>
      <c r="C19" s="55"/>
      <c r="D19" s="55"/>
      <c r="E19" s="55"/>
      <c r="F19" s="55"/>
      <c r="G19" s="55"/>
      <c r="H19" s="55"/>
      <c r="I19" s="55"/>
      <c r="J19" s="55"/>
      <c r="K19" s="55"/>
      <c r="L19" s="55"/>
      <c r="M19" s="55"/>
      <c r="N19" s="55"/>
      <c r="O19" s="55"/>
      <c r="P19" s="55"/>
      <c r="Q19" s="47"/>
      <c r="R19" s="47"/>
      <c r="S19" s="47"/>
      <c r="T19" s="47"/>
      <c r="U19" s="47"/>
      <c r="V19" s="47"/>
      <c r="W19" s="47"/>
      <c r="X19" s="47"/>
      <c r="Y19" s="47"/>
      <c r="Z19" s="6"/>
      <c r="AA19" s="6"/>
      <c r="AB19" s="47"/>
      <c r="AC19" s="47"/>
      <c r="AD19" s="47"/>
      <c r="AE19" s="47"/>
      <c r="AF19" s="480"/>
      <c r="AG19" s="65"/>
      <c r="AH19" s="65"/>
      <c r="AI19" s="65"/>
      <c r="AJ19" s="65"/>
      <c r="AK19" s="65"/>
      <c r="AL19" s="65"/>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4"/>
      <c r="BT19" s="54"/>
    </row>
    <row r="20" spans="1:72" ht="23.25">
      <c r="A20" s="427" t="s">
        <v>207</v>
      </c>
      <c r="B20" s="303"/>
      <c r="C20" s="303"/>
      <c r="D20" s="303"/>
      <c r="E20" s="303"/>
      <c r="F20" s="303"/>
      <c r="G20" s="304"/>
      <c r="H20" s="55"/>
      <c r="I20" s="55"/>
      <c r="J20" s="55"/>
      <c r="K20" s="55"/>
      <c r="L20" s="55"/>
      <c r="M20" s="69"/>
      <c r="N20" s="69"/>
      <c r="O20" s="69"/>
      <c r="P20" s="69"/>
      <c r="Q20" s="69"/>
      <c r="R20" s="69"/>
      <c r="S20" s="69"/>
      <c r="T20" s="69"/>
      <c r="U20" s="69"/>
      <c r="V20" s="69"/>
      <c r="W20" s="69"/>
      <c r="X20" s="69"/>
      <c r="Y20" s="69"/>
      <c r="Z20" s="47"/>
      <c r="AA20" s="47"/>
      <c r="AB20" s="47"/>
      <c r="AC20" s="47"/>
      <c r="AD20" s="47"/>
      <c r="AE20" s="47"/>
      <c r="AF20" s="428"/>
      <c r="AG20" s="615"/>
      <c r="AH20" s="615"/>
      <c r="AI20" s="615"/>
      <c r="AJ20" s="615"/>
      <c r="AK20" s="615"/>
      <c r="AL20" s="615"/>
      <c r="AM20" s="615"/>
      <c r="AN20" s="615"/>
      <c r="AO20" s="615"/>
      <c r="AP20" s="615"/>
      <c r="AQ20" s="615"/>
      <c r="AR20" s="615"/>
      <c r="AS20" s="615"/>
      <c r="AT20" s="615"/>
      <c r="AU20" s="615"/>
      <c r="AV20" s="615"/>
      <c r="AW20" s="615"/>
      <c r="AX20" s="615"/>
      <c r="AY20" s="615"/>
      <c r="AZ20" s="615"/>
      <c r="BA20" s="615"/>
      <c r="BB20" s="615"/>
      <c r="BC20" s="615"/>
      <c r="BD20" s="615"/>
      <c r="BE20" s="615"/>
      <c r="BF20" s="615"/>
      <c r="BG20" s="615"/>
      <c r="BH20" s="615"/>
      <c r="BI20" s="615"/>
      <c r="BJ20" s="615"/>
      <c r="BK20" s="615"/>
      <c r="BL20" s="615"/>
      <c r="BM20" s="615"/>
      <c r="BN20" s="615"/>
      <c r="BO20" s="615"/>
      <c r="BP20" s="615"/>
      <c r="BQ20" s="615"/>
      <c r="BR20" s="615"/>
      <c r="BS20" s="615"/>
      <c r="BT20" s="615"/>
    </row>
    <row r="21" spans="1:66" ht="28.5" customHeight="1">
      <c r="A21" s="621" t="s">
        <v>105</v>
      </c>
      <c r="B21" s="622"/>
      <c r="C21" s="622"/>
      <c r="D21" s="622"/>
      <c r="E21" s="622"/>
      <c r="F21" s="622"/>
      <c r="G21" s="623"/>
      <c r="H21" s="282"/>
      <c r="I21" s="55"/>
      <c r="J21" s="55"/>
      <c r="K21" s="55"/>
      <c r="L21" s="55"/>
      <c r="M21" s="71"/>
      <c r="N21" s="71"/>
      <c r="O21" s="71"/>
      <c r="P21" s="47"/>
      <c r="Q21" s="47"/>
      <c r="R21" s="47"/>
      <c r="S21" s="47"/>
      <c r="T21" s="47"/>
      <c r="U21" s="47"/>
      <c r="V21" s="47"/>
      <c r="W21" s="47"/>
      <c r="X21" s="47"/>
      <c r="Y21" s="66"/>
      <c r="Z21" s="67"/>
      <c r="AA21" s="67"/>
      <c r="AB21" s="67"/>
      <c r="AC21" s="67"/>
      <c r="AD21" s="67"/>
      <c r="AE21" s="67"/>
      <c r="AF21" s="431"/>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54"/>
    </row>
    <row r="22" spans="1:66" ht="21" customHeight="1">
      <c r="A22" s="609" t="s">
        <v>106</v>
      </c>
      <c r="B22" s="610"/>
      <c r="C22" s="610"/>
      <c r="D22" s="610"/>
      <c r="E22" s="610"/>
      <c r="F22" s="610"/>
      <c r="G22" s="611"/>
      <c r="H22" s="282"/>
      <c r="I22" s="55"/>
      <c r="J22" s="55"/>
      <c r="K22" s="55"/>
      <c r="L22" s="55"/>
      <c r="M22" s="70"/>
      <c r="N22" s="70"/>
      <c r="O22" s="70"/>
      <c r="P22" s="47"/>
      <c r="Q22" s="47"/>
      <c r="R22" s="47"/>
      <c r="S22" s="47"/>
      <c r="T22" s="47"/>
      <c r="U22" s="47"/>
      <c r="V22" s="47"/>
      <c r="W22" s="47"/>
      <c r="X22" s="47"/>
      <c r="Y22" s="66"/>
      <c r="Z22" s="68"/>
      <c r="AA22" s="68"/>
      <c r="AB22" s="68"/>
      <c r="AC22" s="68"/>
      <c r="AD22" s="68"/>
      <c r="AE22" s="68"/>
      <c r="AF22" s="432"/>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54"/>
    </row>
    <row r="23" spans="1:66" ht="21" customHeight="1">
      <c r="A23" s="660" t="s">
        <v>107</v>
      </c>
      <c r="B23" s="661"/>
      <c r="C23" s="661"/>
      <c r="D23" s="661"/>
      <c r="E23" s="661"/>
      <c r="F23" s="661"/>
      <c r="G23" s="662"/>
      <c r="H23" s="282"/>
      <c r="I23" s="55"/>
      <c r="J23" s="55"/>
      <c r="K23" s="55"/>
      <c r="L23" s="55"/>
      <c r="M23" s="70"/>
      <c r="N23" s="70"/>
      <c r="O23" s="70"/>
      <c r="P23" s="47"/>
      <c r="Q23" s="47"/>
      <c r="R23" s="47"/>
      <c r="S23" s="47"/>
      <c r="T23" s="47"/>
      <c r="U23" s="47"/>
      <c r="V23" s="47"/>
      <c r="W23" s="47"/>
      <c r="X23" s="47"/>
      <c r="Y23" s="66"/>
      <c r="Z23" s="68"/>
      <c r="AA23" s="68"/>
      <c r="AB23" s="68"/>
      <c r="AC23" s="68"/>
      <c r="AD23" s="68"/>
      <c r="AE23" s="68"/>
      <c r="AF23" s="432"/>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54"/>
    </row>
    <row r="24" spans="1:66" ht="21" customHeight="1">
      <c r="A24" s="609" t="s">
        <v>226</v>
      </c>
      <c r="B24" s="610"/>
      <c r="C24" s="610"/>
      <c r="D24" s="610"/>
      <c r="E24" s="610"/>
      <c r="F24" s="610"/>
      <c r="G24" s="611"/>
      <c r="H24" s="282"/>
      <c r="I24" s="338"/>
      <c r="J24" s="338"/>
      <c r="K24" s="338"/>
      <c r="L24" s="338"/>
      <c r="M24" s="70"/>
      <c r="N24" s="70"/>
      <c r="O24" s="70"/>
      <c r="P24" s="47"/>
      <c r="Q24" s="47"/>
      <c r="R24" s="47"/>
      <c r="S24" s="47"/>
      <c r="T24" s="47"/>
      <c r="U24" s="47"/>
      <c r="V24" s="47"/>
      <c r="W24" s="47"/>
      <c r="X24" s="47"/>
      <c r="Y24" s="66"/>
      <c r="Z24" s="68"/>
      <c r="AA24" s="68"/>
      <c r="AB24" s="68"/>
      <c r="AC24" s="68"/>
      <c r="AD24" s="68"/>
      <c r="AE24" s="68"/>
      <c r="AF24" s="432"/>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54"/>
    </row>
    <row r="25" spans="1:66" ht="21" customHeight="1">
      <c r="A25" s="669" t="s">
        <v>259</v>
      </c>
      <c r="B25" s="670"/>
      <c r="C25" s="670"/>
      <c r="D25" s="670"/>
      <c r="E25" s="670"/>
      <c r="F25" s="670"/>
      <c r="G25" s="671"/>
      <c r="H25" s="282"/>
      <c r="I25" s="338"/>
      <c r="J25" s="338"/>
      <c r="K25" s="338"/>
      <c r="L25" s="338"/>
      <c r="M25" s="70"/>
      <c r="N25" s="70"/>
      <c r="O25" s="70"/>
      <c r="P25" s="47"/>
      <c r="Q25" s="47"/>
      <c r="R25" s="47"/>
      <c r="S25" s="47"/>
      <c r="T25" s="47"/>
      <c r="U25" s="47"/>
      <c r="V25" s="47"/>
      <c r="W25" s="47"/>
      <c r="X25" s="47"/>
      <c r="Y25" s="66"/>
      <c r="Z25" s="68"/>
      <c r="AA25" s="68"/>
      <c r="AB25" s="68"/>
      <c r="AC25" s="68"/>
      <c r="AD25" s="68"/>
      <c r="AE25" s="68"/>
      <c r="AF25" s="432"/>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54"/>
    </row>
    <row r="26" spans="1:66" ht="21" customHeight="1">
      <c r="A26" s="735" t="s">
        <v>288</v>
      </c>
      <c r="B26" s="736"/>
      <c r="C26" s="736"/>
      <c r="D26" s="736"/>
      <c r="E26" s="736"/>
      <c r="F26" s="736"/>
      <c r="G26" s="737"/>
      <c r="H26" s="282"/>
      <c r="I26" s="338"/>
      <c r="J26" s="338"/>
      <c r="K26" s="338"/>
      <c r="L26" s="338"/>
      <c r="M26" s="70"/>
      <c r="N26" s="70"/>
      <c r="O26" s="70"/>
      <c r="P26" s="47"/>
      <c r="Q26" s="47"/>
      <c r="R26" s="47"/>
      <c r="S26" s="47"/>
      <c r="T26" s="47"/>
      <c r="U26" s="47"/>
      <c r="V26" s="47"/>
      <c r="W26" s="47"/>
      <c r="X26" s="47"/>
      <c r="Y26" s="66"/>
      <c r="Z26" s="68"/>
      <c r="AA26" s="68"/>
      <c r="AB26" s="68"/>
      <c r="AC26" s="68"/>
      <c r="AD26" s="68"/>
      <c r="AE26" s="68"/>
      <c r="AF26" s="432"/>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54"/>
    </row>
    <row r="27" spans="1:72" ht="23.25">
      <c r="A27" s="416"/>
      <c r="B27" s="47"/>
      <c r="C27" s="47"/>
      <c r="D27" s="47"/>
      <c r="E27" s="47"/>
      <c r="F27" s="47"/>
      <c r="G27" s="47"/>
      <c r="H27" s="55"/>
      <c r="I27" s="47"/>
      <c r="J27" s="47"/>
      <c r="K27" s="47"/>
      <c r="L27" s="47"/>
      <c r="M27" s="47"/>
      <c r="N27" s="47"/>
      <c r="O27" s="47"/>
      <c r="P27" s="47"/>
      <c r="Q27" s="47"/>
      <c r="R27" s="47"/>
      <c r="S27" s="47"/>
      <c r="T27" s="47"/>
      <c r="U27" s="47"/>
      <c r="V27" s="47"/>
      <c r="W27" s="47"/>
      <c r="X27" s="47"/>
      <c r="Y27" s="47"/>
      <c r="Z27" s="47"/>
      <c r="AA27" s="47"/>
      <c r="AB27" s="47"/>
      <c r="AC27" s="47"/>
      <c r="AD27" s="47"/>
      <c r="AE27" s="47"/>
      <c r="AF27" s="428"/>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row>
    <row r="28" spans="1:72" ht="23.25">
      <c r="A28" s="642" t="s">
        <v>333</v>
      </c>
      <c r="B28" s="643"/>
      <c r="C28" s="643"/>
      <c r="D28" s="643"/>
      <c r="E28" s="643"/>
      <c r="F28" s="643"/>
      <c r="G28" s="643"/>
      <c r="H28" s="643"/>
      <c r="I28" s="643"/>
      <c r="J28" s="643"/>
      <c r="K28" s="643"/>
      <c r="L28" s="643"/>
      <c r="M28" s="57"/>
      <c r="N28" s="57"/>
      <c r="O28" s="57"/>
      <c r="P28" s="57"/>
      <c r="Q28" s="57"/>
      <c r="R28" s="57"/>
      <c r="S28" s="57"/>
      <c r="T28" s="57"/>
      <c r="U28" s="57"/>
      <c r="V28" s="57"/>
      <c r="W28" s="57"/>
      <c r="X28" s="58"/>
      <c r="Y28" s="58"/>
      <c r="Z28" s="58"/>
      <c r="AA28" s="58"/>
      <c r="AB28" s="58"/>
      <c r="AC28" s="58"/>
      <c r="AD28" s="58"/>
      <c r="AE28" s="58"/>
      <c r="AF28" s="482"/>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6"/>
      <c r="BR28" s="6"/>
      <c r="BS28" s="6"/>
      <c r="BT28" s="6"/>
    </row>
    <row r="29" spans="1:72" ht="23.25">
      <c r="A29" s="425"/>
      <c r="B29" s="59"/>
      <c r="C29" s="59"/>
      <c r="D29" s="59"/>
      <c r="E29" s="60"/>
      <c r="F29" s="60"/>
      <c r="G29" s="60"/>
      <c r="H29" s="60"/>
      <c r="I29" s="60"/>
      <c r="J29" s="60"/>
      <c r="K29" s="60"/>
      <c r="L29" s="60"/>
      <c r="M29" s="60"/>
      <c r="N29" s="60"/>
      <c r="O29" s="60"/>
      <c r="P29" s="60"/>
      <c r="Q29" s="60"/>
      <c r="R29" s="60"/>
      <c r="S29" s="60"/>
      <c r="T29" s="60"/>
      <c r="U29" s="60"/>
      <c r="V29" s="60"/>
      <c r="W29" s="60"/>
      <c r="X29" s="53"/>
      <c r="Y29" s="53"/>
      <c r="Z29" s="53"/>
      <c r="AA29" s="53"/>
      <c r="AB29" s="53"/>
      <c r="AC29" s="53"/>
      <c r="AD29" s="53"/>
      <c r="AE29" s="53"/>
      <c r="AF29" s="42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row>
    <row r="30" spans="1:72" ht="23.25">
      <c r="A30" s="416"/>
      <c r="B30" s="182" t="s">
        <v>8</v>
      </c>
      <c r="C30" s="189" t="s">
        <v>191</v>
      </c>
      <c r="D30" s="184">
        <v>2019</v>
      </c>
      <c r="E30" s="190">
        <v>2020</v>
      </c>
      <c r="F30" s="60"/>
      <c r="G30" s="60"/>
      <c r="H30" s="60"/>
      <c r="I30" s="60"/>
      <c r="J30" s="60"/>
      <c r="K30" s="60"/>
      <c r="L30" s="60"/>
      <c r="M30" s="55"/>
      <c r="N30" s="55"/>
      <c r="O30" s="55"/>
      <c r="P30" s="55"/>
      <c r="Q30" s="55"/>
      <c r="R30" s="55"/>
      <c r="S30" s="55"/>
      <c r="T30" s="55"/>
      <c r="U30" s="55"/>
      <c r="V30" s="6"/>
      <c r="W30" s="6"/>
      <c r="X30" s="6"/>
      <c r="Y30" s="730"/>
      <c r="Z30" s="730"/>
      <c r="AA30" s="730"/>
      <c r="AB30" s="730"/>
      <c r="AC30" s="730"/>
      <c r="AD30" s="730"/>
      <c r="AE30" s="6"/>
      <c r="AF30" s="420"/>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row>
    <row r="31" spans="1:72" ht="38.25">
      <c r="A31" s="424"/>
      <c r="B31" s="185" t="s">
        <v>25</v>
      </c>
      <c r="C31" s="186">
        <v>9000000</v>
      </c>
      <c r="D31" s="187">
        <v>9000000</v>
      </c>
      <c r="E31" s="191">
        <v>9000000</v>
      </c>
      <c r="F31" s="60"/>
      <c r="G31" s="60"/>
      <c r="H31" s="60"/>
      <c r="I31" s="60"/>
      <c r="J31" s="60"/>
      <c r="K31" s="60"/>
      <c r="L31" s="60"/>
      <c r="M31" s="55"/>
      <c r="N31" s="55"/>
      <c r="O31" s="55"/>
      <c r="P31" s="55"/>
      <c r="Q31" s="55"/>
      <c r="R31" s="55"/>
      <c r="S31" s="55"/>
      <c r="T31" s="55"/>
      <c r="U31" s="55"/>
      <c r="V31" s="6"/>
      <c r="W31" s="6"/>
      <c r="X31" s="336"/>
      <c r="Y31" s="336"/>
      <c r="Z31" s="336"/>
      <c r="AA31" s="336"/>
      <c r="AB31" s="336"/>
      <c r="AC31" s="6"/>
      <c r="AD31" s="6"/>
      <c r="AE31" s="6"/>
      <c r="AF31" s="420"/>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row>
    <row r="32" spans="1:72" ht="38.25">
      <c r="A32" s="416"/>
      <c r="B32" s="132" t="s">
        <v>23</v>
      </c>
      <c r="C32" s="62">
        <v>0</v>
      </c>
      <c r="D32" s="63">
        <v>0</v>
      </c>
      <c r="E32" s="222">
        <v>0</v>
      </c>
      <c r="F32" s="60"/>
      <c r="G32" s="60"/>
      <c r="H32" s="60"/>
      <c r="I32" s="60"/>
      <c r="J32" s="60"/>
      <c r="K32" s="60"/>
      <c r="L32" s="60"/>
      <c r="M32" s="55"/>
      <c r="N32" s="55"/>
      <c r="O32" s="55"/>
      <c r="P32" s="55"/>
      <c r="Q32" s="55"/>
      <c r="R32" s="55"/>
      <c r="S32" s="55"/>
      <c r="T32" s="55"/>
      <c r="U32" s="55"/>
      <c r="V32" s="55"/>
      <c r="W32" s="55"/>
      <c r="X32" s="55"/>
      <c r="Y32" s="6"/>
      <c r="Z32" s="6"/>
      <c r="AA32" s="6"/>
      <c r="AB32" s="336"/>
      <c r="AC32" s="336"/>
      <c r="AD32" s="336"/>
      <c r="AE32" s="336"/>
      <c r="AF32" s="479"/>
      <c r="AG32" s="108"/>
      <c r="AH32" s="108"/>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row>
    <row r="33" spans="1:72" ht="23.25" customHeight="1">
      <c r="A33" s="416"/>
      <c r="B33" s="132" t="s">
        <v>24</v>
      </c>
      <c r="C33" s="62">
        <v>1</v>
      </c>
      <c r="D33" s="63">
        <v>1</v>
      </c>
      <c r="E33" s="222">
        <v>1</v>
      </c>
      <c r="F33" s="60"/>
      <c r="G33" s="60"/>
      <c r="H33" s="60"/>
      <c r="I33" s="60"/>
      <c r="J33" s="60"/>
      <c r="K33" s="60"/>
      <c r="L33" s="60"/>
      <c r="M33" s="55"/>
      <c r="N33" s="55"/>
      <c r="O33" s="55"/>
      <c r="P33" s="55"/>
      <c r="Q33" s="55"/>
      <c r="R33" s="55"/>
      <c r="S33" s="55"/>
      <c r="T33" s="55"/>
      <c r="U33" s="55"/>
      <c r="V33" s="55"/>
      <c r="W33" s="55"/>
      <c r="X33" s="55"/>
      <c r="Y33" s="6"/>
      <c r="Z33" s="6"/>
      <c r="AA33" s="6"/>
      <c r="AB33" s="336"/>
      <c r="AC33" s="336"/>
      <c r="AD33" s="336"/>
      <c r="AE33" s="336"/>
      <c r="AF33" s="479"/>
      <c r="AG33" s="108"/>
      <c r="AH33" s="108"/>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row>
    <row r="34" spans="1:76" ht="23.25">
      <c r="A34" s="416"/>
      <c r="B34" s="47"/>
      <c r="C34" s="47"/>
      <c r="D34" s="55"/>
      <c r="E34" s="55"/>
      <c r="F34" s="55"/>
      <c r="G34" s="55"/>
      <c r="H34" s="55"/>
      <c r="I34" s="55"/>
      <c r="J34" s="55"/>
      <c r="K34" s="55"/>
      <c r="L34" s="55"/>
      <c r="M34" s="55"/>
      <c r="N34" s="55"/>
      <c r="O34" s="55"/>
      <c r="P34" s="55"/>
      <c r="Q34" s="55"/>
      <c r="R34" s="55"/>
      <c r="S34" s="55"/>
      <c r="T34" s="55"/>
      <c r="U34" s="55"/>
      <c r="V34" s="55"/>
      <c r="W34" s="55"/>
      <c r="X34" s="55"/>
      <c r="Y34" s="6"/>
      <c r="Z34" s="6"/>
      <c r="AA34" s="6"/>
      <c r="AB34" s="47"/>
      <c r="AC34" s="47"/>
      <c r="AD34" s="47"/>
      <c r="AE34" s="47"/>
      <c r="AF34" s="417"/>
      <c r="AJ34" s="6"/>
      <c r="AK34" s="6"/>
      <c r="AL34" s="6"/>
      <c r="AM34" s="6"/>
      <c r="AN34" s="61" t="s">
        <v>192</v>
      </c>
      <c r="AO34" s="5"/>
      <c r="AP34" s="5"/>
      <c r="AQ34" s="5"/>
      <c r="AR34" s="5"/>
      <c r="AS34" s="5"/>
      <c r="AT34" s="5"/>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row>
    <row r="35" spans="1:76" ht="21">
      <c r="A35" s="687" t="s">
        <v>208</v>
      </c>
      <c r="B35" s="688"/>
      <c r="C35" s="688"/>
      <c r="D35" s="688"/>
      <c r="E35" s="688"/>
      <c r="F35" s="688"/>
      <c r="G35" s="689"/>
      <c r="H35" s="343"/>
      <c r="I35" s="636" t="s">
        <v>190</v>
      </c>
      <c r="J35" s="637"/>
      <c r="K35" s="637"/>
      <c r="L35" s="637"/>
      <c r="M35" s="637"/>
      <c r="N35" s="637"/>
      <c r="O35" s="637"/>
      <c r="P35" s="638"/>
      <c r="Q35" s="639" t="s">
        <v>352</v>
      </c>
      <c r="R35" s="640"/>
      <c r="S35" s="640"/>
      <c r="T35" s="640"/>
      <c r="U35" s="640"/>
      <c r="V35" s="640"/>
      <c r="W35" s="640"/>
      <c r="X35" s="641"/>
      <c r="Y35" s="651" t="s">
        <v>201</v>
      </c>
      <c r="Z35" s="652"/>
      <c r="AA35" s="652"/>
      <c r="AB35" s="652"/>
      <c r="AC35" s="652"/>
      <c r="AD35" s="652"/>
      <c r="AE35" s="652"/>
      <c r="AF35" s="731"/>
      <c r="AJ35" s="47"/>
      <c r="AK35" s="337" t="s">
        <v>10</v>
      </c>
      <c r="AL35" s="337"/>
      <c r="AM35" s="337"/>
      <c r="AN35" s="337"/>
      <c r="AO35" s="337"/>
      <c r="AP35" s="337" t="s">
        <v>15</v>
      </c>
      <c r="AQ35" s="337"/>
      <c r="AR35" s="337"/>
      <c r="AS35" s="337"/>
      <c r="AT35" s="337"/>
      <c r="AU35" s="337" t="s">
        <v>22</v>
      </c>
      <c r="AV35" s="337"/>
      <c r="AW35" s="337"/>
      <c r="AX35" s="337"/>
      <c r="AY35" s="337"/>
      <c r="AZ35" s="337" t="s">
        <v>12</v>
      </c>
      <c r="BA35" s="337"/>
      <c r="BB35" s="337"/>
      <c r="BC35" s="337"/>
      <c r="BD35" s="337"/>
      <c r="BE35" s="337" t="s">
        <v>13</v>
      </c>
      <c r="BF35" s="337"/>
      <c r="BG35" s="337"/>
      <c r="BH35" s="337"/>
      <c r="BI35" s="337"/>
      <c r="BJ35" s="337" t="s">
        <v>11</v>
      </c>
      <c r="BK35" s="337"/>
      <c r="BL35" s="337"/>
      <c r="BM35" s="337"/>
      <c r="BN35" s="337"/>
      <c r="BO35" s="337" t="s">
        <v>16</v>
      </c>
      <c r="BP35" s="337"/>
      <c r="BQ35" s="337"/>
      <c r="BR35" s="337"/>
      <c r="BS35" s="337"/>
      <c r="BT35" s="337" t="s">
        <v>14</v>
      </c>
      <c r="BU35" s="337"/>
      <c r="BV35" s="337"/>
      <c r="BW35" s="337"/>
      <c r="BX35" s="337"/>
    </row>
    <row r="36" spans="1:76" ht="48" customHeight="1" thickBot="1">
      <c r="A36" s="418" t="s">
        <v>5</v>
      </c>
      <c r="B36" s="34" t="s">
        <v>7</v>
      </c>
      <c r="C36" s="34" t="s">
        <v>2</v>
      </c>
      <c r="D36" s="690" t="s">
        <v>46</v>
      </c>
      <c r="E36" s="691"/>
      <c r="F36" s="339" t="s">
        <v>9</v>
      </c>
      <c r="G36" s="339" t="s">
        <v>0</v>
      </c>
      <c r="H36" s="279" t="s">
        <v>345</v>
      </c>
      <c r="I36" s="722" t="s">
        <v>104</v>
      </c>
      <c r="J36" s="723"/>
      <c r="K36" s="723"/>
      <c r="L36" s="723"/>
      <c r="M36" s="723"/>
      <c r="N36" s="723"/>
      <c r="O36" s="723"/>
      <c r="P36" s="724"/>
      <c r="Q36" s="716" t="s">
        <v>104</v>
      </c>
      <c r="R36" s="717"/>
      <c r="S36" s="717"/>
      <c r="T36" s="717"/>
      <c r="U36" s="717"/>
      <c r="V36" s="717"/>
      <c r="W36" s="717"/>
      <c r="X36" s="718"/>
      <c r="Y36" s="706" t="s">
        <v>104</v>
      </c>
      <c r="Z36" s="707"/>
      <c r="AA36" s="707"/>
      <c r="AB36" s="707"/>
      <c r="AC36" s="707"/>
      <c r="AD36" s="707"/>
      <c r="AE36" s="707"/>
      <c r="AF36" s="708"/>
      <c r="AJ36" s="47"/>
      <c r="AK36" s="179" t="s">
        <v>20</v>
      </c>
      <c r="AL36" s="179" t="s">
        <v>28</v>
      </c>
      <c r="AM36" s="179" t="s">
        <v>27</v>
      </c>
      <c r="AN36" s="179" t="s">
        <v>21</v>
      </c>
      <c r="AO36" s="179" t="s">
        <v>34</v>
      </c>
      <c r="AP36" s="179" t="s">
        <v>20</v>
      </c>
      <c r="AQ36" s="179" t="s">
        <v>28</v>
      </c>
      <c r="AR36" s="179" t="s">
        <v>27</v>
      </c>
      <c r="AS36" s="179" t="s">
        <v>21</v>
      </c>
      <c r="AT36" s="179" t="s">
        <v>34</v>
      </c>
      <c r="AU36" s="179" t="s">
        <v>20</v>
      </c>
      <c r="AV36" s="179" t="s">
        <v>28</v>
      </c>
      <c r="AW36" s="179" t="s">
        <v>27</v>
      </c>
      <c r="AX36" s="179" t="s">
        <v>21</v>
      </c>
      <c r="AY36" s="179" t="s">
        <v>34</v>
      </c>
      <c r="AZ36" s="179" t="s">
        <v>20</v>
      </c>
      <c r="BA36" s="179" t="s">
        <v>28</v>
      </c>
      <c r="BB36" s="179" t="s">
        <v>27</v>
      </c>
      <c r="BC36" s="179" t="s">
        <v>21</v>
      </c>
      <c r="BD36" s="179" t="s">
        <v>34</v>
      </c>
      <c r="BE36" s="179" t="s">
        <v>20</v>
      </c>
      <c r="BF36" s="179" t="s">
        <v>28</v>
      </c>
      <c r="BG36" s="179" t="s">
        <v>27</v>
      </c>
      <c r="BH36" s="179" t="s">
        <v>21</v>
      </c>
      <c r="BI36" s="179" t="s">
        <v>34</v>
      </c>
      <c r="BJ36" s="179" t="s">
        <v>20</v>
      </c>
      <c r="BK36" s="179" t="s">
        <v>28</v>
      </c>
      <c r="BL36" s="179" t="s">
        <v>27</v>
      </c>
      <c r="BM36" s="179" t="s">
        <v>21</v>
      </c>
      <c r="BN36" s="179" t="s">
        <v>34</v>
      </c>
      <c r="BO36" s="179" t="s">
        <v>20</v>
      </c>
      <c r="BP36" s="179" t="s">
        <v>28</v>
      </c>
      <c r="BQ36" s="179" t="s">
        <v>27</v>
      </c>
      <c r="BR36" s="179" t="s">
        <v>21</v>
      </c>
      <c r="BS36" s="179" t="s">
        <v>34</v>
      </c>
      <c r="BT36" s="179" t="s">
        <v>20</v>
      </c>
      <c r="BU36" s="179" t="s">
        <v>28</v>
      </c>
      <c r="BV36" s="179" t="s">
        <v>27</v>
      </c>
      <c r="BW36" s="179" t="s">
        <v>21</v>
      </c>
      <c r="BX36" s="179" t="s">
        <v>34</v>
      </c>
    </row>
    <row r="37" spans="1:76" ht="125.25" customHeight="1">
      <c r="A37" s="419" t="s">
        <v>17</v>
      </c>
      <c r="B37" s="8" t="s">
        <v>115</v>
      </c>
      <c r="C37" s="8" t="s">
        <v>289</v>
      </c>
      <c r="D37" s="725" t="s">
        <v>116</v>
      </c>
      <c r="E37" s="726"/>
      <c r="F37" s="8" t="s">
        <v>117</v>
      </c>
      <c r="G37" s="8" t="s">
        <v>53</v>
      </c>
      <c r="H37" s="280" t="s">
        <v>351</v>
      </c>
      <c r="I37" s="727" t="s">
        <v>315</v>
      </c>
      <c r="J37" s="728"/>
      <c r="K37" s="728"/>
      <c r="L37" s="728"/>
      <c r="M37" s="728"/>
      <c r="N37" s="728"/>
      <c r="O37" s="728"/>
      <c r="P37" s="729"/>
      <c r="Q37" s="719" t="s">
        <v>315</v>
      </c>
      <c r="R37" s="720"/>
      <c r="S37" s="720"/>
      <c r="T37" s="720"/>
      <c r="U37" s="720"/>
      <c r="V37" s="720"/>
      <c r="W37" s="720"/>
      <c r="X37" s="721"/>
      <c r="Y37" s="709" t="s">
        <v>315</v>
      </c>
      <c r="Z37" s="710"/>
      <c r="AA37" s="710"/>
      <c r="AB37" s="710"/>
      <c r="AC37" s="710"/>
      <c r="AD37" s="710"/>
      <c r="AE37" s="710"/>
      <c r="AF37" s="711"/>
      <c r="AJ37" s="52" t="s">
        <v>17</v>
      </c>
      <c r="AK37" s="170"/>
      <c r="AL37" s="170"/>
      <c r="AM37" s="170"/>
      <c r="AN37" s="170"/>
      <c r="AO37" s="170" t="s">
        <v>154</v>
      </c>
      <c r="AP37" s="170"/>
      <c r="AQ37" s="170"/>
      <c r="AR37" s="170"/>
      <c r="AS37" s="170"/>
      <c r="AT37" s="170" t="s">
        <v>154</v>
      </c>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row>
    <row r="38" spans="1:72" ht="23.25">
      <c r="A38" s="416"/>
      <c r="B38" s="55"/>
      <c r="C38" s="55"/>
      <c r="D38" s="55"/>
      <c r="E38" s="55"/>
      <c r="F38" s="55"/>
      <c r="G38" s="55"/>
      <c r="H38" s="281"/>
      <c r="I38" s="55"/>
      <c r="J38" s="55"/>
      <c r="K38" s="55"/>
      <c r="L38" s="55"/>
      <c r="M38" s="55"/>
      <c r="N38" s="55"/>
      <c r="O38" s="55"/>
      <c r="P38" s="55"/>
      <c r="Q38" s="47"/>
      <c r="R38" s="47"/>
      <c r="S38" s="47"/>
      <c r="T38" s="47"/>
      <c r="U38" s="47"/>
      <c r="V38" s="47"/>
      <c r="W38" s="47"/>
      <c r="X38" s="47"/>
      <c r="Y38" s="47"/>
      <c r="Z38" s="47"/>
      <c r="AA38" s="47"/>
      <c r="AB38" s="47"/>
      <c r="AC38" s="47"/>
      <c r="AD38" s="47"/>
      <c r="AE38" s="47"/>
      <c r="AF38" s="417"/>
      <c r="BR38" s="53"/>
      <c r="BS38" s="54"/>
      <c r="BT38" s="54"/>
    </row>
    <row r="39" spans="1:72" ht="25.5" customHeight="1">
      <c r="A39" s="427" t="s">
        <v>209</v>
      </c>
      <c r="B39" s="303"/>
      <c r="C39" s="303"/>
      <c r="D39" s="303"/>
      <c r="E39" s="303"/>
      <c r="F39" s="303"/>
      <c r="G39" s="304"/>
      <c r="H39" s="282"/>
      <c r="I39" s="55"/>
      <c r="J39" s="55"/>
      <c r="K39" s="55"/>
      <c r="L39" s="55"/>
      <c r="M39" s="69"/>
      <c r="N39" s="69"/>
      <c r="O39" s="69"/>
      <c r="P39" s="69"/>
      <c r="Q39" s="69"/>
      <c r="R39" s="69"/>
      <c r="S39" s="69"/>
      <c r="T39" s="69"/>
      <c r="U39" s="69"/>
      <c r="V39" s="69"/>
      <c r="W39" s="69"/>
      <c r="X39" s="69"/>
      <c r="Y39" s="69"/>
      <c r="Z39" s="47"/>
      <c r="AA39" s="47"/>
      <c r="AB39" s="47"/>
      <c r="AC39" s="47"/>
      <c r="AD39" s="47"/>
      <c r="AE39" s="47"/>
      <c r="AF39" s="428"/>
      <c r="AG39" s="615"/>
      <c r="AH39" s="615"/>
      <c r="AI39" s="615"/>
      <c r="AJ39" s="615"/>
      <c r="AK39" s="615"/>
      <c r="AL39" s="615"/>
      <c r="AM39" s="615"/>
      <c r="AN39" s="615"/>
      <c r="AO39" s="615"/>
      <c r="AP39" s="615"/>
      <c r="AQ39" s="615"/>
      <c r="AR39" s="615"/>
      <c r="AS39" s="615"/>
      <c r="AT39" s="615"/>
      <c r="AU39" s="615"/>
      <c r="AV39" s="615"/>
      <c r="AW39" s="615"/>
      <c r="AX39" s="615"/>
      <c r="AY39" s="615"/>
      <c r="AZ39" s="615"/>
      <c r="BA39" s="615"/>
      <c r="BB39" s="615"/>
      <c r="BC39" s="615"/>
      <c r="BD39" s="615"/>
      <c r="BE39" s="615"/>
      <c r="BF39" s="615"/>
      <c r="BG39" s="615"/>
      <c r="BH39" s="615"/>
      <c r="BI39" s="615"/>
      <c r="BJ39" s="615"/>
      <c r="BK39" s="615"/>
      <c r="BL39" s="615"/>
      <c r="BM39" s="615"/>
      <c r="BN39" s="615"/>
      <c r="BO39" s="615"/>
      <c r="BP39" s="615"/>
      <c r="BQ39" s="615"/>
      <c r="BR39" s="615"/>
      <c r="BS39" s="615"/>
      <c r="BT39" s="615"/>
    </row>
    <row r="40" spans="1:66" ht="15.75" customHeight="1">
      <c r="A40" s="621" t="s">
        <v>108</v>
      </c>
      <c r="B40" s="622"/>
      <c r="C40" s="622"/>
      <c r="D40" s="622"/>
      <c r="E40" s="622"/>
      <c r="F40" s="622"/>
      <c r="G40" s="623"/>
      <c r="H40" s="282"/>
      <c r="I40" s="55"/>
      <c r="J40" s="55"/>
      <c r="K40" s="55"/>
      <c r="L40" s="55"/>
      <c r="M40" s="71"/>
      <c r="N40" s="71"/>
      <c r="O40" s="71"/>
      <c r="P40" s="47"/>
      <c r="Q40" s="47"/>
      <c r="R40" s="47"/>
      <c r="S40" s="47"/>
      <c r="T40" s="47"/>
      <c r="U40" s="47"/>
      <c r="V40" s="47"/>
      <c r="W40" s="47"/>
      <c r="X40" s="47"/>
      <c r="Y40" s="66"/>
      <c r="Z40" s="67"/>
      <c r="AA40" s="67"/>
      <c r="AB40" s="67"/>
      <c r="AC40" s="67"/>
      <c r="AD40" s="67"/>
      <c r="AE40" s="67"/>
      <c r="AF40" s="431"/>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54"/>
    </row>
    <row r="41" spans="1:66" ht="15.75" customHeight="1">
      <c r="A41" s="609" t="s">
        <v>109</v>
      </c>
      <c r="B41" s="610"/>
      <c r="C41" s="610"/>
      <c r="D41" s="610"/>
      <c r="E41" s="610"/>
      <c r="F41" s="610"/>
      <c r="G41" s="611"/>
      <c r="H41" s="282"/>
      <c r="I41" s="55"/>
      <c r="J41" s="55"/>
      <c r="K41" s="55"/>
      <c r="L41" s="55"/>
      <c r="M41" s="70"/>
      <c r="N41" s="70"/>
      <c r="O41" s="70"/>
      <c r="P41" s="47"/>
      <c r="Q41" s="47"/>
      <c r="R41" s="47"/>
      <c r="S41" s="47"/>
      <c r="T41" s="47"/>
      <c r="U41" s="47"/>
      <c r="V41" s="47"/>
      <c r="W41" s="47"/>
      <c r="X41" s="47"/>
      <c r="Y41" s="66"/>
      <c r="Z41" s="68"/>
      <c r="AA41" s="68"/>
      <c r="AB41" s="68"/>
      <c r="AC41" s="68"/>
      <c r="AD41" s="68"/>
      <c r="AE41" s="68"/>
      <c r="AF41" s="432"/>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54"/>
    </row>
    <row r="42" spans="1:66" ht="15.75" customHeight="1">
      <c r="A42" s="660" t="s">
        <v>110</v>
      </c>
      <c r="B42" s="661"/>
      <c r="C42" s="661"/>
      <c r="D42" s="661"/>
      <c r="E42" s="661"/>
      <c r="F42" s="661"/>
      <c r="G42" s="662"/>
      <c r="H42" s="282"/>
      <c r="I42" s="55"/>
      <c r="J42" s="55"/>
      <c r="K42" s="55"/>
      <c r="L42" s="55"/>
      <c r="M42" s="70"/>
      <c r="N42" s="70"/>
      <c r="O42" s="70"/>
      <c r="P42" s="47"/>
      <c r="Q42" s="47"/>
      <c r="R42" s="47"/>
      <c r="S42" s="47"/>
      <c r="T42" s="47"/>
      <c r="U42" s="47"/>
      <c r="V42" s="47"/>
      <c r="W42" s="47"/>
      <c r="X42" s="47"/>
      <c r="Y42" s="66"/>
      <c r="Z42" s="68"/>
      <c r="AA42" s="68"/>
      <c r="AB42" s="68"/>
      <c r="AC42" s="68"/>
      <c r="AD42" s="68"/>
      <c r="AE42" s="68"/>
      <c r="AF42" s="432"/>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54"/>
    </row>
    <row r="43" spans="1:32" ht="15.75" customHeight="1">
      <c r="A43" s="609" t="s">
        <v>111</v>
      </c>
      <c r="B43" s="610"/>
      <c r="C43" s="610"/>
      <c r="D43" s="610"/>
      <c r="E43" s="610"/>
      <c r="F43" s="610"/>
      <c r="G43" s="611"/>
      <c r="H43" s="282"/>
      <c r="I43" s="55"/>
      <c r="J43" s="55"/>
      <c r="K43" s="55"/>
      <c r="L43" s="55"/>
      <c r="M43" s="47"/>
      <c r="N43" s="47"/>
      <c r="O43" s="47"/>
      <c r="P43" s="47"/>
      <c r="Q43" s="47"/>
      <c r="R43" s="47"/>
      <c r="S43" s="47"/>
      <c r="T43" s="47"/>
      <c r="U43" s="47"/>
      <c r="V43" s="47"/>
      <c r="W43" s="47"/>
      <c r="X43" s="47"/>
      <c r="Y43" s="47"/>
      <c r="Z43" s="47"/>
      <c r="AA43" s="47"/>
      <c r="AB43" s="47"/>
      <c r="AC43" s="47"/>
      <c r="AD43" s="47"/>
      <c r="AE43" s="47"/>
      <c r="AF43" s="417"/>
    </row>
    <row r="44" spans="1:32" ht="15.75" customHeight="1">
      <c r="A44" s="660" t="s">
        <v>112</v>
      </c>
      <c r="B44" s="661"/>
      <c r="C44" s="661"/>
      <c r="D44" s="661"/>
      <c r="E44" s="661"/>
      <c r="F44" s="661"/>
      <c r="G44" s="662"/>
      <c r="H44" s="282"/>
      <c r="I44" s="55"/>
      <c r="J44" s="55"/>
      <c r="K44" s="55"/>
      <c r="L44" s="55"/>
      <c r="M44" s="47"/>
      <c r="N44" s="47"/>
      <c r="O44" s="47"/>
      <c r="P44" s="47"/>
      <c r="Q44" s="47"/>
      <c r="R44" s="47"/>
      <c r="S44" s="47"/>
      <c r="T44" s="47"/>
      <c r="U44" s="47"/>
      <c r="V44" s="47"/>
      <c r="W44" s="47"/>
      <c r="X44" s="47"/>
      <c r="Y44" s="47"/>
      <c r="Z44" s="47"/>
      <c r="AA44" s="47"/>
      <c r="AB44" s="47"/>
      <c r="AC44" s="47"/>
      <c r="AD44" s="47"/>
      <c r="AE44" s="47"/>
      <c r="AF44" s="417"/>
    </row>
    <row r="45" spans="1:32" ht="28.5" customHeight="1">
      <c r="A45" s="609" t="s">
        <v>216</v>
      </c>
      <c r="B45" s="610"/>
      <c r="C45" s="610"/>
      <c r="D45" s="610"/>
      <c r="E45" s="610"/>
      <c r="F45" s="610"/>
      <c r="G45" s="611"/>
      <c r="H45" s="282"/>
      <c r="I45" s="55"/>
      <c r="J45" s="55"/>
      <c r="K45" s="55"/>
      <c r="L45" s="55"/>
      <c r="M45" s="47"/>
      <c r="N45" s="47"/>
      <c r="O45" s="47"/>
      <c r="P45" s="47"/>
      <c r="Q45" s="47"/>
      <c r="R45" s="47"/>
      <c r="S45" s="47"/>
      <c r="T45" s="47"/>
      <c r="U45" s="47"/>
      <c r="V45" s="47"/>
      <c r="W45" s="47"/>
      <c r="X45" s="47"/>
      <c r="Y45" s="47"/>
      <c r="Z45" s="47"/>
      <c r="AA45" s="47"/>
      <c r="AB45" s="47"/>
      <c r="AC45" s="47"/>
      <c r="AD45" s="47"/>
      <c r="AE45" s="47"/>
      <c r="AF45" s="417"/>
    </row>
    <row r="46" spans="1:32" ht="15.75" customHeight="1">
      <c r="A46" s="660" t="s">
        <v>113</v>
      </c>
      <c r="B46" s="661"/>
      <c r="C46" s="661"/>
      <c r="D46" s="661"/>
      <c r="E46" s="661"/>
      <c r="F46" s="661"/>
      <c r="G46" s="662"/>
      <c r="H46" s="282"/>
      <c r="I46" s="55"/>
      <c r="J46" s="55"/>
      <c r="K46" s="55"/>
      <c r="L46" s="55"/>
      <c r="M46" s="47"/>
      <c r="N46" s="47"/>
      <c r="O46" s="47"/>
      <c r="P46" s="47"/>
      <c r="Q46" s="47"/>
      <c r="R46" s="47"/>
      <c r="S46" s="47"/>
      <c r="T46" s="47"/>
      <c r="U46" s="47"/>
      <c r="V46" s="47"/>
      <c r="W46" s="47"/>
      <c r="X46" s="47"/>
      <c r="Y46" s="47"/>
      <c r="Z46" s="47"/>
      <c r="AA46" s="47"/>
      <c r="AB46" s="47"/>
      <c r="AC46" s="47"/>
      <c r="AD46" s="47"/>
      <c r="AE46" s="47"/>
      <c r="AF46" s="417"/>
    </row>
    <row r="47" spans="1:32" ht="15.75" customHeight="1">
      <c r="A47" s="609" t="s">
        <v>114</v>
      </c>
      <c r="B47" s="610"/>
      <c r="C47" s="610"/>
      <c r="D47" s="610"/>
      <c r="E47" s="610"/>
      <c r="F47" s="610"/>
      <c r="G47" s="611"/>
      <c r="H47" s="282"/>
      <c r="I47" s="55"/>
      <c r="J47" s="55"/>
      <c r="K47" s="55"/>
      <c r="L47" s="55"/>
      <c r="M47" s="47"/>
      <c r="N47" s="47"/>
      <c r="O47" s="47"/>
      <c r="P47" s="47"/>
      <c r="Q47" s="47"/>
      <c r="R47" s="47"/>
      <c r="S47" s="47"/>
      <c r="T47" s="47"/>
      <c r="U47" s="47"/>
      <c r="V47" s="47"/>
      <c r="W47" s="47"/>
      <c r="X47" s="47"/>
      <c r="Y47" s="47"/>
      <c r="Z47" s="47"/>
      <c r="AA47" s="47"/>
      <c r="AB47" s="47"/>
      <c r="AC47" s="47"/>
      <c r="AD47" s="47"/>
      <c r="AE47" s="47"/>
      <c r="AF47" s="417"/>
    </row>
    <row r="48" spans="1:32" ht="15.75" customHeight="1">
      <c r="A48" s="738" t="s">
        <v>291</v>
      </c>
      <c r="B48" s="739"/>
      <c r="C48" s="739"/>
      <c r="D48" s="739"/>
      <c r="E48" s="739"/>
      <c r="F48" s="739"/>
      <c r="G48" s="740"/>
      <c r="H48" s="282"/>
      <c r="I48" s="55"/>
      <c r="J48" s="55"/>
      <c r="K48" s="55"/>
      <c r="L48" s="55"/>
      <c r="M48" s="47"/>
      <c r="N48" s="47"/>
      <c r="O48" s="47"/>
      <c r="P48" s="47"/>
      <c r="Q48" s="47"/>
      <c r="R48" s="47"/>
      <c r="S48" s="47"/>
      <c r="T48" s="47"/>
      <c r="U48" s="47"/>
      <c r="V48" s="47"/>
      <c r="W48" s="47"/>
      <c r="X48" s="47"/>
      <c r="Y48" s="47"/>
      <c r="Z48" s="47"/>
      <c r="AA48" s="47"/>
      <c r="AB48" s="47"/>
      <c r="AC48" s="47"/>
      <c r="AD48" s="47"/>
      <c r="AE48" s="47"/>
      <c r="AF48" s="417"/>
    </row>
    <row r="49" spans="1:32" ht="17.25" customHeight="1">
      <c r="A49" s="732" t="s">
        <v>321</v>
      </c>
      <c r="B49" s="733"/>
      <c r="C49" s="733"/>
      <c r="D49" s="733"/>
      <c r="E49" s="733"/>
      <c r="F49" s="733"/>
      <c r="G49" s="734"/>
      <c r="H49" s="55"/>
      <c r="I49" s="47"/>
      <c r="J49" s="47"/>
      <c r="K49" s="47"/>
      <c r="L49" s="47"/>
      <c r="M49" s="47"/>
      <c r="N49" s="47"/>
      <c r="O49" s="47"/>
      <c r="P49" s="47"/>
      <c r="Q49" s="47"/>
      <c r="R49" s="47"/>
      <c r="S49" s="47"/>
      <c r="T49" s="47"/>
      <c r="U49" s="47"/>
      <c r="V49" s="47"/>
      <c r="W49" s="47"/>
      <c r="X49" s="47"/>
      <c r="Y49" s="47"/>
      <c r="Z49" s="47"/>
      <c r="AA49" s="47"/>
      <c r="AB49" s="47"/>
      <c r="AC49" s="47"/>
      <c r="AD49" s="47"/>
      <c r="AE49" s="47"/>
      <c r="AF49" s="417"/>
    </row>
    <row r="50" spans="1:32" ht="24" thickBot="1">
      <c r="A50" s="433"/>
      <c r="B50" s="434"/>
      <c r="C50" s="434"/>
      <c r="D50" s="434"/>
      <c r="E50" s="434"/>
      <c r="F50" s="434"/>
      <c r="G50" s="434"/>
      <c r="H50" s="481"/>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5"/>
    </row>
    <row r="51" ht="23.25">
      <c r="H51" s="55"/>
    </row>
    <row r="52" ht="23.25">
      <c r="H52" s="55"/>
    </row>
  </sheetData>
  <sheetProtection/>
  <mergeCells count="83">
    <mergeCell ref="AG39:AK39"/>
    <mergeCell ref="AL39:AP39"/>
    <mergeCell ref="BK39:BO39"/>
    <mergeCell ref="BP39:BT39"/>
    <mergeCell ref="A47:G47"/>
    <mergeCell ref="A41:G41"/>
    <mergeCell ref="A42:G42"/>
    <mergeCell ref="A43:G43"/>
    <mergeCell ref="A44:G44"/>
    <mergeCell ref="A45:G45"/>
    <mergeCell ref="A46:G46"/>
    <mergeCell ref="A40:G40"/>
    <mergeCell ref="AQ39:AU39"/>
    <mergeCell ref="AV39:AZ39"/>
    <mergeCell ref="BA39:BE39"/>
    <mergeCell ref="BF39:BJ39"/>
    <mergeCell ref="BP20:BT20"/>
    <mergeCell ref="BF20:BJ20"/>
    <mergeCell ref="BK20:BO20"/>
    <mergeCell ref="A21:G21"/>
    <mergeCell ref="A22:G22"/>
    <mergeCell ref="BA20:BE20"/>
    <mergeCell ref="AL20:AP20"/>
    <mergeCell ref="AQ20:AU20"/>
    <mergeCell ref="AV20:AZ20"/>
    <mergeCell ref="AG20:AK20"/>
    <mergeCell ref="Y10:AD10"/>
    <mergeCell ref="A15:G15"/>
    <mergeCell ref="Q15:U15"/>
    <mergeCell ref="AK15:AO15"/>
    <mergeCell ref="H15:P15"/>
    <mergeCell ref="V15:Z15"/>
    <mergeCell ref="Q16:U16"/>
    <mergeCell ref="V16:Z16"/>
    <mergeCell ref="Q17:U17"/>
    <mergeCell ref="D18:E18"/>
    <mergeCell ref="I18:P18"/>
    <mergeCell ref="Q18:U18"/>
    <mergeCell ref="V18:Z18"/>
    <mergeCell ref="D16:E16"/>
    <mergeCell ref="A1:AF1"/>
    <mergeCell ref="H2:AF2"/>
    <mergeCell ref="D5:E5"/>
    <mergeCell ref="I5:M5"/>
    <mergeCell ref="D6:E6"/>
    <mergeCell ref="I6:M6"/>
    <mergeCell ref="A2:G3"/>
    <mergeCell ref="S3:W3"/>
    <mergeCell ref="D4:E4"/>
    <mergeCell ref="I4:M4"/>
    <mergeCell ref="N3:R3"/>
    <mergeCell ref="N4:R4"/>
    <mergeCell ref="I3:M3"/>
    <mergeCell ref="N5:R5"/>
    <mergeCell ref="N6:R6"/>
    <mergeCell ref="S4:W4"/>
    <mergeCell ref="A49:G49"/>
    <mergeCell ref="A25:G25"/>
    <mergeCell ref="A26:G26"/>
    <mergeCell ref="I36:P36"/>
    <mergeCell ref="D37:E37"/>
    <mergeCell ref="I37:P37"/>
    <mergeCell ref="A48:G48"/>
    <mergeCell ref="D36:E36"/>
    <mergeCell ref="I35:P35"/>
    <mergeCell ref="A35:G35"/>
    <mergeCell ref="A28:L28"/>
    <mergeCell ref="Y36:AF36"/>
    <mergeCell ref="Y37:AF37"/>
    <mergeCell ref="S5:W5"/>
    <mergeCell ref="S6:W6"/>
    <mergeCell ref="A23:G23"/>
    <mergeCell ref="Q36:X36"/>
    <mergeCell ref="Q37:X37"/>
    <mergeCell ref="Q35:X35"/>
    <mergeCell ref="A8:G8"/>
    <mergeCell ref="I16:P16"/>
    <mergeCell ref="D17:E17"/>
    <mergeCell ref="I17:P17"/>
    <mergeCell ref="A24:G24"/>
    <mergeCell ref="Y30:AD30"/>
    <mergeCell ref="Y35:AF35"/>
    <mergeCell ref="V17:Z17"/>
  </mergeCells>
  <printOptions/>
  <pageMargins left="0.7" right="0.7" top="0.75" bottom="0.75" header="0.3" footer="0.3"/>
  <pageSetup fitToHeight="0" fitToWidth="1" horizontalDpi="600" verticalDpi="600" orientation="landscape" paperSize="9" scale="15"/>
</worksheet>
</file>

<file path=xl/worksheets/sheet6.xml><?xml version="1.0" encoding="utf-8"?>
<worksheet xmlns="http://schemas.openxmlformats.org/spreadsheetml/2006/main" xmlns:r="http://schemas.openxmlformats.org/officeDocument/2006/relationships">
  <sheetPr>
    <pageSetUpPr fitToPage="1"/>
  </sheetPr>
  <dimension ref="A1:BM192"/>
  <sheetViews>
    <sheetView tabSelected="1" zoomScalePageLayoutView="0" workbookViewId="0" topLeftCell="A1">
      <selection activeCell="A1" sqref="A1:B1"/>
    </sheetView>
  </sheetViews>
  <sheetFormatPr defaultColWidth="8.8515625" defaultRowHeight="15"/>
  <cols>
    <col min="1" max="1" width="8.00390625" style="0" customWidth="1"/>
    <col min="2" max="2" width="70.7109375" style="549" customWidth="1"/>
    <col min="3" max="3" width="14.28125" style="0" customWidth="1"/>
    <col min="4" max="4" width="89.421875" style="0" customWidth="1"/>
    <col min="5" max="5" width="52.28125" style="0" customWidth="1"/>
  </cols>
  <sheetData>
    <row r="1" spans="1:5" ht="77.25">
      <c r="A1" s="816" t="s">
        <v>594</v>
      </c>
      <c r="B1" s="817"/>
      <c r="C1" s="513" t="s">
        <v>361</v>
      </c>
      <c r="D1" s="589" t="s">
        <v>637</v>
      </c>
      <c r="E1" s="515"/>
    </row>
    <row r="2" spans="1:5" ht="23.25">
      <c r="A2" s="580"/>
      <c r="B2" s="562"/>
      <c r="C2" s="513"/>
      <c r="D2" s="514"/>
      <c r="E2" s="515"/>
    </row>
    <row r="3" spans="1:5" ht="39.75">
      <c r="A3" s="516" t="s">
        <v>362</v>
      </c>
      <c r="B3" s="517" t="s">
        <v>363</v>
      </c>
      <c r="C3" s="518" t="s">
        <v>9</v>
      </c>
      <c r="D3" s="519" t="s">
        <v>364</v>
      </c>
      <c r="E3" s="519"/>
    </row>
    <row r="4" spans="1:5" ht="85.5" customHeight="1">
      <c r="A4" s="826" t="s">
        <v>608</v>
      </c>
      <c r="B4" s="520" t="s">
        <v>595</v>
      </c>
      <c r="C4" s="520"/>
      <c r="D4" s="520" t="s">
        <v>613</v>
      </c>
      <c r="E4" s="520"/>
    </row>
    <row r="5" spans="1:5" ht="15">
      <c r="A5" s="827"/>
      <c r="B5" s="818" t="s">
        <v>600</v>
      </c>
      <c r="C5" s="819"/>
      <c r="D5" s="820"/>
      <c r="E5" s="520" t="s">
        <v>365</v>
      </c>
    </row>
    <row r="6" spans="1:5" ht="15" customHeight="1">
      <c r="A6" s="827"/>
      <c r="B6" s="581" t="s">
        <v>596</v>
      </c>
      <c r="C6" s="582" t="s">
        <v>231</v>
      </c>
      <c r="D6" s="824" t="s">
        <v>599</v>
      </c>
      <c r="E6" s="776"/>
    </row>
    <row r="7" spans="1:5" ht="15">
      <c r="A7" s="827"/>
      <c r="B7" s="581" t="s">
        <v>597</v>
      </c>
      <c r="C7" s="582" t="s">
        <v>231</v>
      </c>
      <c r="D7" s="825"/>
      <c r="E7" s="777"/>
    </row>
    <row r="8" spans="1:5" ht="15">
      <c r="A8" s="827"/>
      <c r="B8" s="581" t="s">
        <v>598</v>
      </c>
      <c r="C8" s="582" t="s">
        <v>231</v>
      </c>
      <c r="D8" s="825"/>
      <c r="E8" s="777"/>
    </row>
    <row r="9" spans="1:5" ht="15" customHeight="1">
      <c r="A9" s="827"/>
      <c r="B9" s="798" t="s">
        <v>369</v>
      </c>
      <c r="C9" s="801" t="s">
        <v>370</v>
      </c>
      <c r="D9" s="798" t="s">
        <v>371</v>
      </c>
      <c r="E9" s="828"/>
    </row>
    <row r="10" spans="1:5" ht="15">
      <c r="A10" s="827"/>
      <c r="B10" s="799"/>
      <c r="C10" s="802"/>
      <c r="D10" s="799"/>
      <c r="E10" s="829"/>
    </row>
    <row r="11" spans="1:5" ht="15">
      <c r="A11" s="827"/>
      <c r="B11" s="799"/>
      <c r="C11" s="802"/>
      <c r="D11" s="799"/>
      <c r="E11" s="829"/>
    </row>
    <row r="12" spans="1:65" ht="23.25" customHeight="1">
      <c r="A12" s="827"/>
      <c r="B12" s="800"/>
      <c r="C12" s="803"/>
      <c r="D12" s="800"/>
      <c r="E12" s="830"/>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row>
    <row r="13" spans="1:65" s="557" customFormat="1" ht="15" customHeight="1">
      <c r="A13" s="827"/>
      <c r="B13" s="821" t="s">
        <v>366</v>
      </c>
      <c r="C13" s="821" t="s">
        <v>367</v>
      </c>
      <c r="D13" s="821" t="s">
        <v>368</v>
      </c>
      <c r="E13" s="776"/>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row>
    <row r="14" spans="1:65" s="557" customFormat="1" ht="15">
      <c r="A14" s="827"/>
      <c r="B14" s="822"/>
      <c r="C14" s="822"/>
      <c r="D14" s="822"/>
      <c r="E14" s="777"/>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row>
    <row r="15" spans="1:65" s="557" customFormat="1" ht="15">
      <c r="A15" s="827"/>
      <c r="B15" s="822"/>
      <c r="C15" s="822"/>
      <c r="D15" s="822"/>
      <c r="E15" s="777"/>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row>
    <row r="16" spans="1:65" s="557" customFormat="1" ht="22.5" customHeight="1">
      <c r="A16" s="827"/>
      <c r="B16" s="823"/>
      <c r="C16" s="823"/>
      <c r="D16" s="823"/>
      <c r="E16" s="578"/>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row>
    <row r="17" spans="1:65" ht="15">
      <c r="A17" s="827"/>
      <c r="B17" s="778" t="s">
        <v>632</v>
      </c>
      <c r="C17" s="779"/>
      <c r="D17" s="780"/>
      <c r="E17" s="521"/>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row>
    <row r="18" spans="1:65" ht="22.5">
      <c r="A18" s="827"/>
      <c r="B18" s="522" t="s">
        <v>372</v>
      </c>
      <c r="C18" s="523" t="s">
        <v>370</v>
      </c>
      <c r="D18" s="524" t="s">
        <v>373</v>
      </c>
      <c r="E18" s="521"/>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row>
    <row r="19" spans="1:5" ht="15">
      <c r="A19" s="827"/>
      <c r="B19" s="522" t="s">
        <v>374</v>
      </c>
      <c r="C19" s="523" t="s">
        <v>375</v>
      </c>
      <c r="D19" s="837" t="s">
        <v>376</v>
      </c>
      <c r="E19" s="521"/>
    </row>
    <row r="20" spans="1:5" ht="39.75" customHeight="1">
      <c r="A20" s="827"/>
      <c r="B20" s="523" t="s">
        <v>603</v>
      </c>
      <c r="C20" s="523" t="s">
        <v>377</v>
      </c>
      <c r="D20" s="838"/>
      <c r="E20" s="521"/>
    </row>
    <row r="21" spans="1:5" ht="15">
      <c r="A21" s="827"/>
      <c r="B21" s="523" t="s">
        <v>378</v>
      </c>
      <c r="C21" s="523" t="s">
        <v>377</v>
      </c>
      <c r="D21" s="839" t="s">
        <v>379</v>
      </c>
      <c r="E21" s="521"/>
    </row>
    <row r="22" spans="1:5" ht="21.75" customHeight="1">
      <c r="A22" s="827"/>
      <c r="B22" s="523" t="s">
        <v>380</v>
      </c>
      <c r="C22" s="523" t="s">
        <v>377</v>
      </c>
      <c r="D22" s="840"/>
      <c r="E22" s="521"/>
    </row>
    <row r="23" spans="1:5" ht="15">
      <c r="A23" s="827"/>
      <c r="B23" s="523" t="s">
        <v>381</v>
      </c>
      <c r="C23" s="523" t="s">
        <v>382</v>
      </c>
      <c r="D23" s="840"/>
      <c r="E23" s="521"/>
    </row>
    <row r="24" spans="1:5" ht="15">
      <c r="A24" s="827"/>
      <c r="B24" s="523" t="s">
        <v>383</v>
      </c>
      <c r="C24" s="523" t="s">
        <v>382</v>
      </c>
      <c r="D24" s="841"/>
      <c r="E24" s="521"/>
    </row>
    <row r="25" spans="1:5" ht="40.5" customHeight="1">
      <c r="A25" s="827"/>
      <c r="B25" s="842" t="s">
        <v>610</v>
      </c>
      <c r="C25" s="843"/>
      <c r="D25" s="844"/>
      <c r="E25" s="561"/>
    </row>
    <row r="26" spans="1:5" ht="66" customHeight="1">
      <c r="A26" s="827"/>
      <c r="B26" s="523" t="s">
        <v>604</v>
      </c>
      <c r="C26" s="831" t="s">
        <v>384</v>
      </c>
      <c r="D26" s="834" t="s">
        <v>385</v>
      </c>
      <c r="E26" s="521"/>
    </row>
    <row r="27" spans="1:5" ht="15">
      <c r="A27" s="827"/>
      <c r="B27" s="523" t="s">
        <v>605</v>
      </c>
      <c r="C27" s="832"/>
      <c r="D27" s="835"/>
      <c r="E27" s="561"/>
    </row>
    <row r="28" spans="1:5" ht="15">
      <c r="A28" s="827"/>
      <c r="B28" s="523" t="s">
        <v>606</v>
      </c>
      <c r="C28" s="832"/>
      <c r="D28" s="835"/>
      <c r="E28" s="561"/>
    </row>
    <row r="29" spans="1:5" ht="15">
      <c r="A29" s="827"/>
      <c r="B29" s="523" t="s">
        <v>607</v>
      </c>
      <c r="C29" s="833"/>
      <c r="D29" s="836"/>
      <c r="E29" s="561"/>
    </row>
    <row r="30" spans="1:65" ht="15">
      <c r="A30" s="827"/>
      <c r="B30" s="778" t="s">
        <v>633</v>
      </c>
      <c r="C30" s="779"/>
      <c r="D30" s="780"/>
      <c r="E30" s="579"/>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row>
    <row r="31" spans="1:5" ht="15">
      <c r="A31" s="827"/>
      <c r="B31" s="523" t="s">
        <v>601</v>
      </c>
      <c r="C31" s="801" t="s">
        <v>384</v>
      </c>
      <c r="D31" s="798" t="s">
        <v>609</v>
      </c>
      <c r="E31" s="521"/>
    </row>
    <row r="32" spans="1:5" ht="15">
      <c r="A32" s="827"/>
      <c r="B32" s="523" t="s">
        <v>602</v>
      </c>
      <c r="C32" s="803"/>
      <c r="D32" s="799"/>
      <c r="E32" s="561"/>
    </row>
    <row r="33" spans="1:5" ht="64.5" customHeight="1">
      <c r="A33" s="781" t="s">
        <v>328</v>
      </c>
      <c r="B33" s="781"/>
      <c r="C33" s="782"/>
      <c r="D33" s="525"/>
      <c r="E33" s="561"/>
    </row>
    <row r="34" spans="1:5" ht="135">
      <c r="A34" s="784" t="s">
        <v>386</v>
      </c>
      <c r="B34" s="563" t="s">
        <v>387</v>
      </c>
      <c r="C34" s="564"/>
      <c r="D34" s="526" t="s">
        <v>611</v>
      </c>
      <c r="E34" s="527" t="s">
        <v>365</v>
      </c>
    </row>
    <row r="35" spans="1:5" ht="15">
      <c r="A35" s="785"/>
      <c r="B35" s="563" t="s">
        <v>388</v>
      </c>
      <c r="C35" s="565"/>
      <c r="D35" s="564"/>
      <c r="E35" s="527"/>
    </row>
    <row r="36" spans="1:5" ht="45">
      <c r="A36" s="785"/>
      <c r="B36" s="563" t="s">
        <v>612</v>
      </c>
      <c r="C36" s="564"/>
      <c r="D36" s="528" t="s">
        <v>390</v>
      </c>
      <c r="E36" s="527"/>
    </row>
    <row r="37" spans="1:5" ht="22.5" customHeight="1">
      <c r="A37" s="785"/>
      <c r="B37" s="563" t="s">
        <v>391</v>
      </c>
      <c r="C37" s="565"/>
      <c r="D37" s="564"/>
      <c r="E37" s="529" t="s">
        <v>365</v>
      </c>
    </row>
    <row r="38" spans="1:5" ht="22.5" customHeight="1">
      <c r="A38" s="785"/>
      <c r="B38" s="530" t="s">
        <v>392</v>
      </c>
      <c r="C38" s="531" t="s">
        <v>384</v>
      </c>
      <c r="D38" s="847" t="s">
        <v>393</v>
      </c>
      <c r="E38" s="570"/>
    </row>
    <row r="39" spans="1:5" ht="22.5">
      <c r="A39" s="785"/>
      <c r="B39" s="530" t="s">
        <v>394</v>
      </c>
      <c r="C39" s="531" t="s">
        <v>384</v>
      </c>
      <c r="D39" s="848"/>
      <c r="E39" s="570"/>
    </row>
    <row r="40" spans="1:5" ht="22.5">
      <c r="A40" s="785"/>
      <c r="B40" s="530" t="s">
        <v>395</v>
      </c>
      <c r="C40" s="531" t="s">
        <v>384</v>
      </c>
      <c r="D40" s="848"/>
      <c r="E40" s="570"/>
    </row>
    <row r="41" spans="1:5" ht="22.5">
      <c r="A41" s="785"/>
      <c r="B41" s="530" t="s">
        <v>396</v>
      </c>
      <c r="C41" s="531" t="s">
        <v>384</v>
      </c>
      <c r="D41" s="849"/>
      <c r="E41" s="570"/>
    </row>
    <row r="42" spans="1:5" ht="33.75" customHeight="1">
      <c r="A42" s="785"/>
      <c r="B42" s="563" t="s">
        <v>397</v>
      </c>
      <c r="C42" s="565"/>
      <c r="D42" s="564"/>
      <c r="E42" s="532" t="s">
        <v>365</v>
      </c>
    </row>
    <row r="43" spans="1:5" ht="13.5" customHeight="1">
      <c r="A43" s="785"/>
      <c r="B43" s="533" t="s">
        <v>398</v>
      </c>
      <c r="C43" s="531" t="s">
        <v>399</v>
      </c>
      <c r="D43" s="795" t="s">
        <v>400</v>
      </c>
      <c r="E43" s="571"/>
    </row>
    <row r="44" spans="1:5" ht="48.75" customHeight="1">
      <c r="A44" s="785"/>
      <c r="B44" s="530" t="s">
        <v>401</v>
      </c>
      <c r="C44" s="531" t="s">
        <v>377</v>
      </c>
      <c r="D44" s="797"/>
      <c r="E44" s="572"/>
    </row>
    <row r="45" spans="1:5" ht="13.5" customHeight="1">
      <c r="A45" s="785"/>
      <c r="B45" s="566" t="s">
        <v>402</v>
      </c>
      <c r="C45" s="567"/>
      <c r="D45" s="568"/>
      <c r="E45" s="532" t="s">
        <v>365</v>
      </c>
    </row>
    <row r="46" spans="1:5" ht="13.5" customHeight="1">
      <c r="A46" s="785"/>
      <c r="B46" s="533" t="s">
        <v>403</v>
      </c>
      <c r="C46" s="573" t="s">
        <v>404</v>
      </c>
      <c r="D46" s="795" t="s">
        <v>405</v>
      </c>
      <c r="E46" s="558"/>
    </row>
    <row r="47" spans="1:5" ht="13.5" customHeight="1">
      <c r="A47" s="785"/>
      <c r="B47" s="533" t="s">
        <v>406</v>
      </c>
      <c r="C47" s="573" t="s">
        <v>404</v>
      </c>
      <c r="D47" s="796"/>
      <c r="E47" s="559"/>
    </row>
    <row r="48" spans="1:5" ht="13.5" customHeight="1">
      <c r="A48" s="785"/>
      <c r="B48" s="533" t="s">
        <v>407</v>
      </c>
      <c r="C48" s="573" t="s">
        <v>399</v>
      </c>
      <c r="D48" s="796"/>
      <c r="E48" s="559"/>
    </row>
    <row r="49" spans="1:5" ht="13.5" customHeight="1">
      <c r="A49" s="785"/>
      <c r="B49" s="533" t="s">
        <v>408</v>
      </c>
      <c r="C49" s="573" t="s">
        <v>399</v>
      </c>
      <c r="D49" s="796"/>
      <c r="E49" s="559"/>
    </row>
    <row r="50" spans="1:5" ht="13.5" customHeight="1">
      <c r="A50" s="785"/>
      <c r="B50" s="533" t="s">
        <v>409</v>
      </c>
      <c r="C50" s="573" t="s">
        <v>410</v>
      </c>
      <c r="D50" s="796"/>
      <c r="E50" s="559"/>
    </row>
    <row r="51" spans="1:5" ht="13.5" customHeight="1">
      <c r="A51" s="785"/>
      <c r="B51" s="533" t="s">
        <v>411</v>
      </c>
      <c r="C51" s="573" t="s">
        <v>410</v>
      </c>
      <c r="D51" s="796"/>
      <c r="E51" s="559"/>
    </row>
    <row r="52" spans="1:5" ht="13.5" customHeight="1">
      <c r="A52" s="785"/>
      <c r="B52" s="533" t="s">
        <v>412</v>
      </c>
      <c r="C52" s="573" t="s">
        <v>140</v>
      </c>
      <c r="D52" s="796"/>
      <c r="E52" s="559"/>
    </row>
    <row r="53" spans="1:5" ht="13.5" customHeight="1">
      <c r="A53" s="785"/>
      <c r="B53" s="533" t="s">
        <v>413</v>
      </c>
      <c r="C53" s="573" t="s">
        <v>140</v>
      </c>
      <c r="D53" s="796"/>
      <c r="E53" s="559"/>
    </row>
    <row r="54" spans="1:5" ht="21" customHeight="1">
      <c r="A54" s="785"/>
      <c r="B54" s="533" t="s">
        <v>414</v>
      </c>
      <c r="C54" s="573" t="s">
        <v>377</v>
      </c>
      <c r="D54" s="797"/>
      <c r="E54" s="535"/>
    </row>
    <row r="55" spans="1:5" ht="40.5" customHeight="1">
      <c r="A55" s="785"/>
      <c r="B55" s="563" t="s">
        <v>415</v>
      </c>
      <c r="C55" s="565"/>
      <c r="D55" s="564"/>
      <c r="E55" s="532" t="s">
        <v>365</v>
      </c>
    </row>
    <row r="56" spans="1:5" ht="13.5" customHeight="1">
      <c r="A56" s="785"/>
      <c r="B56" s="530" t="s">
        <v>416</v>
      </c>
      <c r="C56" s="531" t="s">
        <v>404</v>
      </c>
      <c r="D56" s="786" t="s">
        <v>417</v>
      </c>
      <c r="E56" s="558"/>
    </row>
    <row r="57" spans="1:5" ht="13.5" customHeight="1">
      <c r="A57" s="785"/>
      <c r="B57" s="530" t="s">
        <v>418</v>
      </c>
      <c r="C57" s="531" t="s">
        <v>399</v>
      </c>
      <c r="D57" s="787"/>
      <c r="E57" s="559"/>
    </row>
    <row r="58" spans="1:5" ht="13.5" customHeight="1">
      <c r="A58" s="785"/>
      <c r="B58" s="530" t="s">
        <v>419</v>
      </c>
      <c r="C58" s="531" t="s">
        <v>410</v>
      </c>
      <c r="D58" s="787"/>
      <c r="E58" s="559"/>
    </row>
    <row r="59" spans="1:5" ht="13.5" customHeight="1">
      <c r="A59" s="785"/>
      <c r="B59" s="530" t="s">
        <v>420</v>
      </c>
      <c r="C59" s="531" t="s">
        <v>140</v>
      </c>
      <c r="D59" s="788"/>
      <c r="E59" s="560"/>
    </row>
    <row r="60" spans="1:5" ht="15">
      <c r="A60" s="785"/>
      <c r="B60" s="530" t="s">
        <v>421</v>
      </c>
      <c r="C60" s="531" t="s">
        <v>404</v>
      </c>
      <c r="D60" s="786" t="s">
        <v>422</v>
      </c>
      <c r="E60" s="559"/>
    </row>
    <row r="61" spans="1:5" ht="15">
      <c r="A61" s="785"/>
      <c r="B61" s="530" t="s">
        <v>423</v>
      </c>
      <c r="C61" s="531" t="s">
        <v>399</v>
      </c>
      <c r="D61" s="787"/>
      <c r="E61" s="559"/>
    </row>
    <row r="62" spans="1:5" ht="13.5" customHeight="1">
      <c r="A62" s="785"/>
      <c r="B62" s="530" t="s">
        <v>424</v>
      </c>
      <c r="C62" s="531" t="s">
        <v>410</v>
      </c>
      <c r="D62" s="787"/>
      <c r="E62" s="558"/>
    </row>
    <row r="63" spans="1:5" ht="13.5" customHeight="1">
      <c r="A63" s="785"/>
      <c r="B63" s="530" t="s">
        <v>425</v>
      </c>
      <c r="C63" s="531" t="s">
        <v>140</v>
      </c>
      <c r="D63" s="788"/>
      <c r="E63" s="560"/>
    </row>
    <row r="64" spans="1:5" ht="13.5" customHeight="1">
      <c r="A64" s="785"/>
      <c r="B64" s="566" t="s">
        <v>426</v>
      </c>
      <c r="C64" s="567"/>
      <c r="D64" s="568"/>
      <c r="E64" s="532" t="s">
        <v>365</v>
      </c>
    </row>
    <row r="65" spans="1:5" ht="22.5">
      <c r="A65" s="785"/>
      <c r="B65" s="530" t="s">
        <v>427</v>
      </c>
      <c r="C65" s="531" t="s">
        <v>382</v>
      </c>
      <c r="D65" s="569" t="s">
        <v>428</v>
      </c>
      <c r="E65" s="536"/>
    </row>
    <row r="66" spans="1:5" ht="34.5" customHeight="1">
      <c r="A66" s="785"/>
      <c r="B66" s="566" t="s">
        <v>618</v>
      </c>
      <c r="C66" s="567"/>
      <c r="D66" s="567"/>
      <c r="E66" s="532" t="s">
        <v>365</v>
      </c>
    </row>
    <row r="67" spans="1:5" ht="34.5" customHeight="1">
      <c r="A67" s="785"/>
      <c r="B67" s="530" t="s">
        <v>634</v>
      </c>
      <c r="C67" s="583"/>
      <c r="D67" s="584" t="s">
        <v>616</v>
      </c>
      <c r="E67" s="532"/>
    </row>
    <row r="68" spans="1:5" ht="33.75" customHeight="1">
      <c r="A68" s="785"/>
      <c r="B68" s="566" t="s">
        <v>571</v>
      </c>
      <c r="C68" s="567"/>
      <c r="D68" s="567"/>
      <c r="E68" s="532" t="s">
        <v>365</v>
      </c>
    </row>
    <row r="69" spans="1:5" ht="33.75" customHeight="1">
      <c r="A69" s="785"/>
      <c r="B69" s="530" t="s">
        <v>635</v>
      </c>
      <c r="C69" s="531" t="s">
        <v>410</v>
      </c>
      <c r="D69" s="584"/>
      <c r="E69" s="532"/>
    </row>
    <row r="70" spans="1:5" ht="55.5" customHeight="1">
      <c r="A70" s="785"/>
      <c r="B70" s="537" t="s">
        <v>429</v>
      </c>
      <c r="C70" s="532"/>
      <c r="D70" s="526" t="s">
        <v>614</v>
      </c>
      <c r="E70" s="527"/>
    </row>
    <row r="71" spans="1:5" ht="15">
      <c r="A71" s="785"/>
      <c r="B71" s="537" t="s">
        <v>388</v>
      </c>
      <c r="C71" s="532"/>
      <c r="D71" s="526"/>
      <c r="E71" s="527"/>
    </row>
    <row r="72" spans="1:5" ht="43.5" customHeight="1">
      <c r="A72" s="785"/>
      <c r="B72" s="563" t="s">
        <v>430</v>
      </c>
      <c r="C72" s="565"/>
      <c r="D72" s="564"/>
      <c r="E72" s="532" t="s">
        <v>365</v>
      </c>
    </row>
    <row r="73" spans="1:5" ht="15">
      <c r="A73" s="785"/>
      <c r="B73" s="533" t="s">
        <v>431</v>
      </c>
      <c r="C73" s="573" t="s">
        <v>432</v>
      </c>
      <c r="D73" s="786" t="s">
        <v>433</v>
      </c>
      <c r="E73" s="575"/>
    </row>
    <row r="74" spans="1:5" ht="29.25" customHeight="1">
      <c r="A74" s="785"/>
      <c r="B74" s="533" t="s">
        <v>434</v>
      </c>
      <c r="C74" s="573" t="s">
        <v>435</v>
      </c>
      <c r="D74" s="788"/>
      <c r="E74" s="576"/>
    </row>
    <row r="75" spans="1:5" ht="14.25" customHeight="1">
      <c r="A75" s="785"/>
      <c r="B75" s="566" t="s">
        <v>436</v>
      </c>
      <c r="C75" s="567" t="s">
        <v>9</v>
      </c>
      <c r="D75" s="568" t="s">
        <v>364</v>
      </c>
      <c r="E75" s="532" t="s">
        <v>365</v>
      </c>
    </row>
    <row r="76" spans="1:5" ht="67.5">
      <c r="A76" s="789"/>
      <c r="B76" s="533" t="s">
        <v>437</v>
      </c>
      <c r="C76" s="573" t="s">
        <v>435</v>
      </c>
      <c r="D76" s="538" t="s">
        <v>438</v>
      </c>
      <c r="E76" s="575"/>
    </row>
    <row r="77" spans="1:5" ht="228" customHeight="1">
      <c r="A77" s="812" t="s">
        <v>439</v>
      </c>
      <c r="B77" s="783" t="s">
        <v>440</v>
      </c>
      <c r="C77" s="815"/>
      <c r="D77" s="527" t="s">
        <v>636</v>
      </c>
      <c r="E77" s="527" t="s">
        <v>365</v>
      </c>
    </row>
    <row r="78" spans="1:5" ht="15">
      <c r="A78" s="813"/>
      <c r="B78" s="773" t="s">
        <v>441</v>
      </c>
      <c r="C78" s="774"/>
      <c r="D78" s="775"/>
      <c r="E78" s="527"/>
    </row>
    <row r="79" spans="1:5" ht="45">
      <c r="A79" s="813"/>
      <c r="B79" s="773" t="s">
        <v>389</v>
      </c>
      <c r="C79" s="775"/>
      <c r="D79" s="528" t="s">
        <v>390</v>
      </c>
      <c r="E79" s="527"/>
    </row>
    <row r="80" spans="1:5" ht="15">
      <c r="A80" s="813"/>
      <c r="B80" s="533" t="s">
        <v>442</v>
      </c>
      <c r="C80" s="573" t="s">
        <v>443</v>
      </c>
      <c r="D80" s="545"/>
      <c r="E80" s="527"/>
    </row>
    <row r="81" spans="1:5" ht="22.5">
      <c r="A81" s="813"/>
      <c r="B81" s="533" t="s">
        <v>444</v>
      </c>
      <c r="C81" s="573" t="s">
        <v>384</v>
      </c>
      <c r="D81" s="795" t="s">
        <v>445</v>
      </c>
      <c r="E81" s="809"/>
    </row>
    <row r="82" spans="1:5" ht="15">
      <c r="A82" s="813"/>
      <c r="B82" s="533" t="s">
        <v>446</v>
      </c>
      <c r="C82" s="573" t="s">
        <v>384</v>
      </c>
      <c r="D82" s="796"/>
      <c r="E82" s="810"/>
    </row>
    <row r="83" spans="1:5" ht="22.5">
      <c r="A83" s="813"/>
      <c r="B83" s="533" t="s">
        <v>447</v>
      </c>
      <c r="C83" s="573" t="s">
        <v>384</v>
      </c>
      <c r="D83" s="796"/>
      <c r="E83" s="810"/>
    </row>
    <row r="84" spans="1:5" ht="15">
      <c r="A84" s="813"/>
      <c r="B84" s="533" t="s">
        <v>448</v>
      </c>
      <c r="C84" s="573" t="s">
        <v>384</v>
      </c>
      <c r="D84" s="796"/>
      <c r="E84" s="810"/>
    </row>
    <row r="85" spans="1:5" ht="22.5">
      <c r="A85" s="813"/>
      <c r="B85" s="533" t="s">
        <v>449</v>
      </c>
      <c r="C85" s="573" t="s">
        <v>384</v>
      </c>
      <c r="D85" s="796"/>
      <c r="E85" s="810"/>
    </row>
    <row r="86" spans="1:5" ht="15">
      <c r="A86" s="813"/>
      <c r="B86" s="533" t="s">
        <v>450</v>
      </c>
      <c r="C86" s="573" t="s">
        <v>384</v>
      </c>
      <c r="D86" s="796"/>
      <c r="E86" s="810"/>
    </row>
    <row r="87" spans="1:5" ht="22.5">
      <c r="A87" s="813"/>
      <c r="B87" s="533" t="s">
        <v>451</v>
      </c>
      <c r="C87" s="573" t="s">
        <v>384</v>
      </c>
      <c r="D87" s="796"/>
      <c r="E87" s="810"/>
    </row>
    <row r="88" spans="1:5" ht="15">
      <c r="A88" s="813"/>
      <c r="B88" s="533" t="s">
        <v>452</v>
      </c>
      <c r="C88" s="573" t="s">
        <v>384</v>
      </c>
      <c r="D88" s="796"/>
      <c r="E88" s="810"/>
    </row>
    <row r="89" spans="1:5" ht="35.25" customHeight="1">
      <c r="A89" s="813"/>
      <c r="B89" s="773" t="s">
        <v>453</v>
      </c>
      <c r="C89" s="775"/>
      <c r="D89" s="539" t="s">
        <v>454</v>
      </c>
      <c r="E89" s="540"/>
    </row>
    <row r="90" spans="1:5" ht="21" customHeight="1">
      <c r="A90" s="813"/>
      <c r="B90" s="530" t="s">
        <v>455</v>
      </c>
      <c r="C90" s="531" t="s">
        <v>456</v>
      </c>
      <c r="D90" s="541" t="s">
        <v>457</v>
      </c>
      <c r="E90" s="806"/>
    </row>
    <row r="91" spans="1:5" ht="21" customHeight="1">
      <c r="A91" s="813"/>
      <c r="B91" s="533" t="s">
        <v>458</v>
      </c>
      <c r="C91" s="534" t="s">
        <v>377</v>
      </c>
      <c r="D91" s="542" t="s">
        <v>459</v>
      </c>
      <c r="E91" s="808"/>
    </row>
    <row r="92" spans="1:5" ht="15">
      <c r="A92" s="813"/>
      <c r="B92" s="533" t="s">
        <v>460</v>
      </c>
      <c r="C92" s="534" t="s">
        <v>461</v>
      </c>
      <c r="D92" s="792" t="s">
        <v>462</v>
      </c>
      <c r="E92" s="806"/>
    </row>
    <row r="93" spans="1:5" ht="15">
      <c r="A93" s="813"/>
      <c r="B93" s="530" t="s">
        <v>463</v>
      </c>
      <c r="C93" s="531" t="s">
        <v>464</v>
      </c>
      <c r="D93" s="793"/>
      <c r="E93" s="807"/>
    </row>
    <row r="94" spans="1:5" ht="15">
      <c r="A94" s="813"/>
      <c r="B94" s="530" t="s">
        <v>465</v>
      </c>
      <c r="C94" s="531" t="s">
        <v>466</v>
      </c>
      <c r="D94" s="793"/>
      <c r="E94" s="807"/>
    </row>
    <row r="95" spans="1:5" ht="15">
      <c r="A95" s="813"/>
      <c r="B95" s="530" t="s">
        <v>467</v>
      </c>
      <c r="C95" s="531" t="s">
        <v>468</v>
      </c>
      <c r="D95" s="793"/>
      <c r="E95" s="807"/>
    </row>
    <row r="96" spans="1:5" ht="22.5">
      <c r="A96" s="813"/>
      <c r="B96" s="530" t="s">
        <v>469</v>
      </c>
      <c r="C96" s="531" t="s">
        <v>470</v>
      </c>
      <c r="D96" s="793"/>
      <c r="E96" s="807"/>
    </row>
    <row r="97" spans="1:5" ht="15">
      <c r="A97" s="813"/>
      <c r="B97" s="530" t="s">
        <v>471</v>
      </c>
      <c r="C97" s="531" t="s">
        <v>472</v>
      </c>
      <c r="D97" s="793"/>
      <c r="E97" s="807"/>
    </row>
    <row r="98" spans="1:5" ht="15">
      <c r="A98" s="813"/>
      <c r="B98" s="530" t="s">
        <v>473</v>
      </c>
      <c r="C98" s="531" t="s">
        <v>474</v>
      </c>
      <c r="D98" s="793"/>
      <c r="E98" s="807"/>
    </row>
    <row r="99" spans="1:5" ht="15">
      <c r="A99" s="813"/>
      <c r="B99" s="530" t="s">
        <v>475</v>
      </c>
      <c r="C99" s="531" t="s">
        <v>461</v>
      </c>
      <c r="D99" s="793"/>
      <c r="E99" s="807"/>
    </row>
    <row r="100" spans="1:5" ht="15">
      <c r="A100" s="813"/>
      <c r="B100" s="530" t="s">
        <v>476</v>
      </c>
      <c r="C100" s="531" t="s">
        <v>461</v>
      </c>
      <c r="D100" s="793"/>
      <c r="E100" s="807"/>
    </row>
    <row r="101" spans="1:5" ht="15">
      <c r="A101" s="813"/>
      <c r="B101" s="530" t="s">
        <v>477</v>
      </c>
      <c r="C101" s="531" t="s">
        <v>461</v>
      </c>
      <c r="D101" s="794"/>
      <c r="E101" s="808"/>
    </row>
    <row r="102" spans="1:5" ht="33.75">
      <c r="A102" s="813"/>
      <c r="B102" s="773" t="s">
        <v>478</v>
      </c>
      <c r="C102" s="775"/>
      <c r="D102" s="539" t="s">
        <v>479</v>
      </c>
      <c r="E102" s="540"/>
    </row>
    <row r="103" spans="1:5" ht="22.5" customHeight="1">
      <c r="A103" s="813"/>
      <c r="B103" s="530" t="s">
        <v>480</v>
      </c>
      <c r="C103" s="531" t="s">
        <v>456</v>
      </c>
      <c r="D103" s="541" t="s">
        <v>457</v>
      </c>
      <c r="E103" s="811"/>
    </row>
    <row r="104" spans="1:5" ht="33" customHeight="1">
      <c r="A104" s="813"/>
      <c r="B104" s="533" t="s">
        <v>481</v>
      </c>
      <c r="C104" s="531" t="s">
        <v>377</v>
      </c>
      <c r="D104" s="542" t="s">
        <v>459</v>
      </c>
      <c r="E104" s="811"/>
    </row>
    <row r="105" spans="1:5" ht="15">
      <c r="A105" s="813"/>
      <c r="B105" s="530" t="s">
        <v>482</v>
      </c>
      <c r="C105" s="531" t="s">
        <v>483</v>
      </c>
      <c r="D105" s="792" t="s">
        <v>462</v>
      </c>
      <c r="E105" s="806"/>
    </row>
    <row r="106" spans="1:5" ht="15">
      <c r="A106" s="813"/>
      <c r="B106" s="530" t="s">
        <v>484</v>
      </c>
      <c r="C106" s="531" t="s">
        <v>483</v>
      </c>
      <c r="D106" s="793"/>
      <c r="E106" s="807"/>
    </row>
    <row r="107" spans="1:5" ht="22.5">
      <c r="A107" s="813"/>
      <c r="B107" s="530" t="s">
        <v>485</v>
      </c>
      <c r="C107" s="531" t="s">
        <v>461</v>
      </c>
      <c r="D107" s="793"/>
      <c r="E107" s="807"/>
    </row>
    <row r="108" spans="1:5" ht="15">
      <c r="A108" s="813"/>
      <c r="B108" s="530" t="s">
        <v>486</v>
      </c>
      <c r="C108" s="531" t="s">
        <v>461</v>
      </c>
      <c r="D108" s="793"/>
      <c r="E108" s="807"/>
    </row>
    <row r="109" spans="1:5" ht="22.5">
      <c r="A109" s="814"/>
      <c r="B109" s="530" t="s">
        <v>487</v>
      </c>
      <c r="C109" s="531" t="s">
        <v>488</v>
      </c>
      <c r="D109" s="794"/>
      <c r="E109" s="808"/>
    </row>
    <row r="110" spans="1:5" ht="202.5">
      <c r="A110" s="845" t="s">
        <v>619</v>
      </c>
      <c r="B110" s="845"/>
      <c r="C110" s="846"/>
      <c r="D110" s="543" t="s">
        <v>615</v>
      </c>
      <c r="E110" s="574"/>
    </row>
    <row r="111" spans="1:5" ht="15" customHeight="1">
      <c r="A111" s="784" t="s">
        <v>619</v>
      </c>
      <c r="B111" s="783" t="s">
        <v>572</v>
      </c>
      <c r="C111" s="775"/>
      <c r="D111" s="527"/>
      <c r="E111" s="527" t="s">
        <v>365</v>
      </c>
    </row>
    <row r="112" spans="1:5" ht="15">
      <c r="A112" s="785"/>
      <c r="B112" s="773" t="s">
        <v>388</v>
      </c>
      <c r="C112" s="774"/>
      <c r="D112" s="775"/>
      <c r="E112" s="527"/>
    </row>
    <row r="113" spans="1:5" ht="45">
      <c r="A113" s="785"/>
      <c r="B113" s="790" t="s">
        <v>620</v>
      </c>
      <c r="C113" s="791"/>
      <c r="D113" s="544" t="s">
        <v>390</v>
      </c>
      <c r="E113" s="527"/>
    </row>
    <row r="114" spans="1:5" ht="39" customHeight="1">
      <c r="A114" s="785"/>
      <c r="B114" s="773" t="s">
        <v>591</v>
      </c>
      <c r="C114" s="774"/>
      <c r="D114" s="775"/>
      <c r="E114" s="540"/>
    </row>
    <row r="115" spans="1:5" ht="22.5">
      <c r="A115" s="785"/>
      <c r="B115" s="533" t="s">
        <v>573</v>
      </c>
      <c r="C115" s="573" t="s">
        <v>491</v>
      </c>
      <c r="D115" s="795" t="s">
        <v>630</v>
      </c>
      <c r="E115" s="546"/>
    </row>
    <row r="116" spans="1:5" ht="15">
      <c r="A116" s="785"/>
      <c r="B116" s="533" t="s">
        <v>621</v>
      </c>
      <c r="C116" s="573" t="s">
        <v>384</v>
      </c>
      <c r="D116" s="796"/>
      <c r="E116" s="770"/>
    </row>
    <row r="117" spans="1:5" ht="15">
      <c r="A117" s="785"/>
      <c r="B117" s="533" t="s">
        <v>622</v>
      </c>
      <c r="C117" s="573" t="s">
        <v>384</v>
      </c>
      <c r="D117" s="796"/>
      <c r="E117" s="771"/>
    </row>
    <row r="118" spans="1:5" ht="15">
      <c r="A118" s="785"/>
      <c r="B118" s="533" t="s">
        <v>623</v>
      </c>
      <c r="C118" s="573" t="s">
        <v>384</v>
      </c>
      <c r="D118" s="796"/>
      <c r="E118" s="771"/>
    </row>
    <row r="119" spans="1:5" ht="15">
      <c r="A119" s="785"/>
      <c r="B119" s="533" t="s">
        <v>624</v>
      </c>
      <c r="C119" s="573" t="s">
        <v>384</v>
      </c>
      <c r="D119" s="796"/>
      <c r="E119" s="771"/>
    </row>
    <row r="120" spans="1:5" ht="15">
      <c r="A120" s="785"/>
      <c r="B120" s="533" t="s">
        <v>625</v>
      </c>
      <c r="C120" s="573" t="s">
        <v>384</v>
      </c>
      <c r="D120" s="796"/>
      <c r="E120" s="771"/>
    </row>
    <row r="121" spans="1:5" ht="15">
      <c r="A121" s="785"/>
      <c r="B121" s="533" t="s">
        <v>626</v>
      </c>
      <c r="C121" s="573" t="s">
        <v>384</v>
      </c>
      <c r="D121" s="796"/>
      <c r="E121" s="771"/>
    </row>
    <row r="122" spans="1:5" ht="15">
      <c r="A122" s="785"/>
      <c r="B122" s="533" t="s">
        <v>627</v>
      </c>
      <c r="C122" s="573" t="s">
        <v>384</v>
      </c>
      <c r="D122" s="796"/>
      <c r="E122" s="771"/>
    </row>
    <row r="123" spans="1:5" ht="15">
      <c r="A123" s="785"/>
      <c r="B123" s="533" t="s">
        <v>628</v>
      </c>
      <c r="C123" s="573" t="s">
        <v>384</v>
      </c>
      <c r="D123" s="797"/>
      <c r="E123" s="772"/>
    </row>
    <row r="124" spans="1:5" ht="15">
      <c r="A124" s="785"/>
      <c r="B124" s="783" t="s">
        <v>593</v>
      </c>
      <c r="C124" s="775"/>
      <c r="D124" s="556"/>
      <c r="E124" s="550"/>
    </row>
    <row r="125" spans="1:5" ht="39" customHeight="1">
      <c r="A125" s="785"/>
      <c r="B125" s="773" t="s">
        <v>522</v>
      </c>
      <c r="C125" s="774"/>
      <c r="D125" s="775"/>
      <c r="E125" s="540"/>
    </row>
    <row r="126" spans="1:5" ht="15">
      <c r="A126" s="785"/>
      <c r="B126" s="533" t="s">
        <v>523</v>
      </c>
      <c r="C126" s="534" t="s">
        <v>384</v>
      </c>
      <c r="D126" s="795" t="s">
        <v>492</v>
      </c>
      <c r="E126" s="770"/>
    </row>
    <row r="127" spans="1:5" ht="15">
      <c r="A127" s="785"/>
      <c r="B127" s="533" t="s">
        <v>524</v>
      </c>
      <c r="C127" s="534" t="s">
        <v>384</v>
      </c>
      <c r="D127" s="796"/>
      <c r="E127" s="771"/>
    </row>
    <row r="128" spans="1:5" ht="15">
      <c r="A128" s="785"/>
      <c r="B128" s="533" t="s">
        <v>525</v>
      </c>
      <c r="C128" s="534" t="s">
        <v>384</v>
      </c>
      <c r="D128" s="796"/>
      <c r="E128" s="771"/>
    </row>
    <row r="129" spans="1:5" ht="15">
      <c r="A129" s="785"/>
      <c r="B129" s="533" t="s">
        <v>526</v>
      </c>
      <c r="C129" s="534" t="s">
        <v>384</v>
      </c>
      <c r="D129" s="796"/>
      <c r="E129" s="771"/>
    </row>
    <row r="130" spans="1:5" ht="15">
      <c r="A130" s="785"/>
      <c r="B130" s="533" t="s">
        <v>527</v>
      </c>
      <c r="C130" s="534" t="s">
        <v>384</v>
      </c>
      <c r="D130" s="796"/>
      <c r="E130" s="771"/>
    </row>
    <row r="131" spans="1:5" ht="15">
      <c r="A131" s="785"/>
      <c r="B131" s="533" t="s">
        <v>528</v>
      </c>
      <c r="C131" s="534" t="s">
        <v>384</v>
      </c>
      <c r="D131" s="796"/>
      <c r="E131" s="771"/>
    </row>
    <row r="132" spans="1:5" ht="15">
      <c r="A132" s="785"/>
      <c r="B132" s="533" t="s">
        <v>529</v>
      </c>
      <c r="C132" s="534" t="s">
        <v>384</v>
      </c>
      <c r="D132" s="796"/>
      <c r="E132" s="771"/>
    </row>
    <row r="133" spans="1:5" ht="15">
      <c r="A133" s="785"/>
      <c r="B133" s="533" t="s">
        <v>530</v>
      </c>
      <c r="C133" s="534" t="s">
        <v>384</v>
      </c>
      <c r="D133" s="797"/>
      <c r="E133" s="772"/>
    </row>
    <row r="134" spans="1:5" ht="35.25" customHeight="1">
      <c r="A134" s="785"/>
      <c r="B134" s="773" t="s">
        <v>574</v>
      </c>
      <c r="C134" s="774"/>
      <c r="D134" s="775"/>
      <c r="E134" s="540"/>
    </row>
    <row r="135" spans="1:5" ht="22.5">
      <c r="A135" s="785"/>
      <c r="B135" s="533" t="s">
        <v>575</v>
      </c>
      <c r="C135" s="573" t="s">
        <v>384</v>
      </c>
      <c r="D135" s="786" t="s">
        <v>489</v>
      </c>
      <c r="E135" s="770"/>
    </row>
    <row r="136" spans="1:5" ht="22.5">
      <c r="A136" s="785"/>
      <c r="B136" s="533" t="s">
        <v>576</v>
      </c>
      <c r="C136" s="573" t="s">
        <v>384</v>
      </c>
      <c r="D136" s="787"/>
      <c r="E136" s="771"/>
    </row>
    <row r="137" spans="1:5" ht="22.5">
      <c r="A137" s="785"/>
      <c r="B137" s="533" t="s">
        <v>577</v>
      </c>
      <c r="C137" s="573" t="s">
        <v>384</v>
      </c>
      <c r="D137" s="787"/>
      <c r="E137" s="771"/>
    </row>
    <row r="138" spans="1:5" ht="22.5">
      <c r="A138" s="785"/>
      <c r="B138" s="533" t="s">
        <v>578</v>
      </c>
      <c r="C138" s="573" t="s">
        <v>384</v>
      </c>
      <c r="D138" s="787"/>
      <c r="E138" s="771"/>
    </row>
    <row r="139" spans="1:5" ht="22.5">
      <c r="A139" s="785"/>
      <c r="B139" s="533" t="s">
        <v>579</v>
      </c>
      <c r="C139" s="573" t="s">
        <v>384</v>
      </c>
      <c r="D139" s="787"/>
      <c r="E139" s="771"/>
    </row>
    <row r="140" spans="1:5" ht="22.5">
      <c r="A140" s="785"/>
      <c r="B140" s="533" t="s">
        <v>580</v>
      </c>
      <c r="C140" s="573" t="s">
        <v>384</v>
      </c>
      <c r="D140" s="787"/>
      <c r="E140" s="771"/>
    </row>
    <row r="141" spans="1:5" ht="22.5">
      <c r="A141" s="785"/>
      <c r="B141" s="533" t="s">
        <v>581</v>
      </c>
      <c r="C141" s="573" t="s">
        <v>384</v>
      </c>
      <c r="D141" s="787"/>
      <c r="E141" s="771"/>
    </row>
    <row r="142" spans="1:5" ht="22.5">
      <c r="A142" s="785"/>
      <c r="B142" s="533" t="s">
        <v>582</v>
      </c>
      <c r="C142" s="573" t="s">
        <v>384</v>
      </c>
      <c r="D142" s="788"/>
      <c r="E142" s="772"/>
    </row>
    <row r="143" spans="1:5" ht="15">
      <c r="A143" s="785"/>
      <c r="B143" s="533" t="s">
        <v>631</v>
      </c>
      <c r="C143" s="573" t="s">
        <v>490</v>
      </c>
      <c r="D143" s="545"/>
      <c r="E143" s="546"/>
    </row>
    <row r="144" spans="1:5" ht="22.5">
      <c r="A144" s="785"/>
      <c r="B144" s="553" t="s">
        <v>583</v>
      </c>
      <c r="C144" s="573" t="s">
        <v>384</v>
      </c>
      <c r="D144" s="786"/>
      <c r="E144" s="770"/>
    </row>
    <row r="145" spans="1:5" ht="22.5">
      <c r="A145" s="785"/>
      <c r="B145" s="553" t="s">
        <v>584</v>
      </c>
      <c r="C145" s="573" t="s">
        <v>384</v>
      </c>
      <c r="D145" s="787"/>
      <c r="E145" s="771"/>
    </row>
    <row r="146" spans="1:5" ht="22.5">
      <c r="A146" s="785"/>
      <c r="B146" s="553" t="s">
        <v>585</v>
      </c>
      <c r="C146" s="573" t="s">
        <v>384</v>
      </c>
      <c r="D146" s="787"/>
      <c r="E146" s="771"/>
    </row>
    <row r="147" spans="1:5" ht="22.5">
      <c r="A147" s="785"/>
      <c r="B147" s="553" t="s">
        <v>586</v>
      </c>
      <c r="C147" s="573" t="s">
        <v>384</v>
      </c>
      <c r="D147" s="787"/>
      <c r="E147" s="771"/>
    </row>
    <row r="148" spans="1:5" ht="22.5">
      <c r="A148" s="785"/>
      <c r="B148" s="553" t="s">
        <v>587</v>
      </c>
      <c r="C148" s="573" t="s">
        <v>384</v>
      </c>
      <c r="D148" s="787"/>
      <c r="E148" s="771"/>
    </row>
    <row r="149" spans="1:5" ht="22.5">
      <c r="A149" s="785"/>
      <c r="B149" s="553" t="s">
        <v>588</v>
      </c>
      <c r="C149" s="573" t="s">
        <v>384</v>
      </c>
      <c r="D149" s="787"/>
      <c r="E149" s="771"/>
    </row>
    <row r="150" spans="1:5" ht="22.5">
      <c r="A150" s="785"/>
      <c r="B150" s="553" t="s">
        <v>589</v>
      </c>
      <c r="C150" s="573" t="s">
        <v>384</v>
      </c>
      <c r="D150" s="787"/>
      <c r="E150" s="771"/>
    </row>
    <row r="151" spans="1:5" ht="22.5">
      <c r="A151" s="785"/>
      <c r="B151" s="553" t="s">
        <v>590</v>
      </c>
      <c r="C151" s="573" t="s">
        <v>384</v>
      </c>
      <c r="D151" s="788"/>
      <c r="E151" s="772"/>
    </row>
    <row r="152" spans="1:5" s="804" customFormat="1" ht="75" customHeight="1">
      <c r="A152" s="804" t="s">
        <v>329</v>
      </c>
      <c r="B152" s="805"/>
      <c r="C152" s="805"/>
      <c r="D152" s="805"/>
      <c r="E152" s="805"/>
    </row>
    <row r="153" spans="1:5" ht="15">
      <c r="A153" s="784" t="s">
        <v>329</v>
      </c>
      <c r="B153" s="783" t="s">
        <v>592</v>
      </c>
      <c r="C153" s="775"/>
      <c r="D153" s="577"/>
      <c r="E153" s="527" t="s">
        <v>365</v>
      </c>
    </row>
    <row r="154" spans="1:5" ht="15">
      <c r="A154" s="785"/>
      <c r="B154" s="773" t="s">
        <v>493</v>
      </c>
      <c r="C154" s="774"/>
      <c r="D154" s="775"/>
      <c r="E154" s="527"/>
    </row>
    <row r="155" spans="1:5" ht="135">
      <c r="A155" s="785"/>
      <c r="B155" s="773" t="s">
        <v>531</v>
      </c>
      <c r="C155" s="775"/>
      <c r="D155" s="539" t="s">
        <v>494</v>
      </c>
      <c r="E155" s="540"/>
    </row>
    <row r="156" spans="1:5" ht="15">
      <c r="A156" s="785"/>
      <c r="B156" s="533" t="s">
        <v>532</v>
      </c>
      <c r="C156" s="534" t="s">
        <v>495</v>
      </c>
      <c r="D156" s="545" t="s">
        <v>496</v>
      </c>
      <c r="E156" s="547"/>
    </row>
    <row r="157" spans="1:5" ht="15">
      <c r="A157" s="785"/>
      <c r="B157" s="533" t="s">
        <v>533</v>
      </c>
      <c r="C157" s="534" t="s">
        <v>495</v>
      </c>
      <c r="D157" s="545"/>
      <c r="E157" s="547"/>
    </row>
    <row r="158" spans="1:5" ht="22.5">
      <c r="A158" s="785"/>
      <c r="B158" s="773" t="s">
        <v>534</v>
      </c>
      <c r="C158" s="775"/>
      <c r="D158" s="539" t="s">
        <v>497</v>
      </c>
      <c r="E158" s="540"/>
    </row>
    <row r="159" spans="1:5" ht="22.5">
      <c r="A159" s="785"/>
      <c r="B159" s="533" t="s">
        <v>535</v>
      </c>
      <c r="C159" s="534" t="s">
        <v>498</v>
      </c>
      <c r="D159" s="545"/>
      <c r="E159" s="546"/>
    </row>
    <row r="160" spans="1:5" ht="56.25">
      <c r="A160" s="785"/>
      <c r="B160" s="773" t="s">
        <v>536</v>
      </c>
      <c r="C160" s="775"/>
      <c r="D160" s="539" t="s">
        <v>499</v>
      </c>
      <c r="E160" s="540"/>
    </row>
    <row r="161" spans="1:5" ht="22.5">
      <c r="A161" s="785"/>
      <c r="B161" s="533" t="s">
        <v>537</v>
      </c>
      <c r="C161" s="534" t="s">
        <v>370</v>
      </c>
      <c r="D161" s="545"/>
      <c r="E161" s="547"/>
    </row>
    <row r="162" spans="1:5" ht="45">
      <c r="A162" s="785"/>
      <c r="B162" s="773" t="s">
        <v>538</v>
      </c>
      <c r="C162" s="775"/>
      <c r="D162" s="539" t="s">
        <v>500</v>
      </c>
      <c r="E162" s="540"/>
    </row>
    <row r="163" spans="1:5" ht="15">
      <c r="A163" s="785"/>
      <c r="B163" s="533" t="s">
        <v>539</v>
      </c>
      <c r="C163" s="534" t="s">
        <v>501</v>
      </c>
      <c r="D163" s="545"/>
      <c r="E163" s="547"/>
    </row>
    <row r="164" spans="1:5" ht="15">
      <c r="A164" s="785"/>
      <c r="B164" s="533" t="s">
        <v>540</v>
      </c>
      <c r="C164" s="534" t="s">
        <v>502</v>
      </c>
      <c r="D164" s="545"/>
      <c r="E164" s="547"/>
    </row>
    <row r="165" spans="1:5" ht="15">
      <c r="A165" s="785"/>
      <c r="B165" s="533" t="s">
        <v>541</v>
      </c>
      <c r="C165" s="534" t="s">
        <v>498</v>
      </c>
      <c r="D165" s="545"/>
      <c r="E165" s="547"/>
    </row>
    <row r="166" spans="1:5" ht="82.5" customHeight="1">
      <c r="A166" s="785"/>
      <c r="B166" s="773" t="s">
        <v>542</v>
      </c>
      <c r="C166" s="775"/>
      <c r="D166" s="554"/>
      <c r="E166" s="555"/>
    </row>
    <row r="167" spans="1:5" ht="15">
      <c r="A167" s="785"/>
      <c r="B167" s="533" t="s">
        <v>543</v>
      </c>
      <c r="C167" s="551" t="s">
        <v>544</v>
      </c>
      <c r="D167" s="552"/>
      <c r="E167" s="547"/>
    </row>
    <row r="168" spans="1:5" ht="34.5" customHeight="1">
      <c r="A168" s="785"/>
      <c r="B168" s="773" t="s">
        <v>547</v>
      </c>
      <c r="C168" s="775"/>
      <c r="D168" s="554"/>
      <c r="E168" s="555"/>
    </row>
    <row r="169" spans="1:5" ht="15">
      <c r="A169" s="785"/>
      <c r="B169" s="553" t="s">
        <v>545</v>
      </c>
      <c r="C169" s="551" t="s">
        <v>548</v>
      </c>
      <c r="D169" s="552"/>
      <c r="E169" s="547"/>
    </row>
    <row r="170" spans="1:5" ht="15">
      <c r="A170" s="785"/>
      <c r="B170" s="553" t="s">
        <v>546</v>
      </c>
      <c r="C170" s="551" t="s">
        <v>549</v>
      </c>
      <c r="D170" s="552"/>
      <c r="E170" s="547"/>
    </row>
    <row r="171" spans="1:5" ht="15">
      <c r="A171" s="785"/>
      <c r="B171" s="783" t="s">
        <v>550</v>
      </c>
      <c r="C171" s="775"/>
      <c r="D171" s="577"/>
      <c r="E171" s="527" t="s">
        <v>365</v>
      </c>
    </row>
    <row r="172" spans="1:5" ht="15">
      <c r="A172" s="785"/>
      <c r="B172" s="773" t="s">
        <v>493</v>
      </c>
      <c r="C172" s="774"/>
      <c r="D172" s="775"/>
      <c r="E172" s="527"/>
    </row>
    <row r="173" spans="1:5" ht="15.75">
      <c r="A173" s="785"/>
      <c r="B173" s="773" t="s">
        <v>551</v>
      </c>
      <c r="C173" s="774"/>
      <c r="D173" s="775"/>
      <c r="E173" s="540"/>
    </row>
    <row r="174" spans="1:5" ht="22.5">
      <c r="A174" s="785"/>
      <c r="B174" s="533" t="s">
        <v>552</v>
      </c>
      <c r="C174" s="534" t="s">
        <v>503</v>
      </c>
      <c r="D174" s="545" t="s">
        <v>504</v>
      </c>
      <c r="E174" s="547"/>
    </row>
    <row r="175" spans="1:5" ht="15.75">
      <c r="A175" s="785"/>
      <c r="B175" s="773" t="s">
        <v>553</v>
      </c>
      <c r="C175" s="774"/>
      <c r="D175" s="775"/>
      <c r="E175" s="540"/>
    </row>
    <row r="176" spans="1:5" ht="22.5">
      <c r="A176" s="785"/>
      <c r="B176" s="533" t="s">
        <v>554</v>
      </c>
      <c r="C176" s="534" t="s">
        <v>505</v>
      </c>
      <c r="D176" s="545" t="s">
        <v>506</v>
      </c>
      <c r="E176" s="546"/>
    </row>
    <row r="177" spans="1:5" ht="15.75">
      <c r="A177" s="785"/>
      <c r="B177" s="773" t="s">
        <v>555</v>
      </c>
      <c r="C177" s="774"/>
      <c r="D177" s="775"/>
      <c r="E177" s="540"/>
    </row>
    <row r="178" spans="1:5" ht="22.5">
      <c r="A178" s="785"/>
      <c r="B178" s="533" t="s">
        <v>556</v>
      </c>
      <c r="C178" s="534" t="s">
        <v>507</v>
      </c>
      <c r="D178" s="545" t="s">
        <v>508</v>
      </c>
      <c r="E178" s="547"/>
    </row>
    <row r="179" spans="1:5" ht="15.75">
      <c r="A179" s="785"/>
      <c r="B179" s="773" t="s">
        <v>557</v>
      </c>
      <c r="C179" s="774"/>
      <c r="D179" s="775"/>
      <c r="E179" s="540"/>
    </row>
    <row r="180" spans="1:5" ht="22.5">
      <c r="A180" s="785"/>
      <c r="B180" s="533" t="s">
        <v>558</v>
      </c>
      <c r="C180" s="534" t="s">
        <v>509</v>
      </c>
      <c r="D180" s="545" t="s">
        <v>510</v>
      </c>
      <c r="E180" s="547"/>
    </row>
    <row r="181" spans="1:5" ht="42.75" customHeight="1">
      <c r="A181" s="785"/>
      <c r="B181" s="773" t="s">
        <v>559</v>
      </c>
      <c r="C181" s="774"/>
      <c r="D181" s="775"/>
      <c r="E181" s="540"/>
    </row>
    <row r="182" spans="1:5" ht="15">
      <c r="A182" s="785"/>
      <c r="B182" s="533" t="s">
        <v>560</v>
      </c>
      <c r="C182" s="534" t="s">
        <v>511</v>
      </c>
      <c r="D182" s="545" t="s">
        <v>512</v>
      </c>
      <c r="E182" s="547"/>
    </row>
    <row r="183" spans="1:5" ht="51" customHeight="1">
      <c r="A183" s="785"/>
      <c r="B183" s="773" t="s">
        <v>561</v>
      </c>
      <c r="C183" s="774"/>
      <c r="D183" s="775"/>
      <c r="E183" s="540"/>
    </row>
    <row r="184" spans="1:5" ht="22.5">
      <c r="A184" s="785"/>
      <c r="B184" s="533" t="s">
        <v>562</v>
      </c>
      <c r="C184" s="534" t="s">
        <v>513</v>
      </c>
      <c r="D184" s="545" t="s">
        <v>514</v>
      </c>
      <c r="E184" s="547"/>
    </row>
    <row r="185" spans="1:5" ht="48" customHeight="1">
      <c r="A185" s="785"/>
      <c r="B185" s="773" t="s">
        <v>563</v>
      </c>
      <c r="C185" s="774"/>
      <c r="D185" s="775"/>
      <c r="E185" s="540"/>
    </row>
    <row r="186" spans="1:5" ht="33.75">
      <c r="A186" s="785"/>
      <c r="B186" s="533" t="s">
        <v>564</v>
      </c>
      <c r="C186" s="534" t="s">
        <v>515</v>
      </c>
      <c r="D186" s="545" t="s">
        <v>516</v>
      </c>
      <c r="E186" s="547"/>
    </row>
    <row r="187" spans="1:5" ht="51" customHeight="1">
      <c r="A187" s="785"/>
      <c r="B187" s="773" t="s">
        <v>565</v>
      </c>
      <c r="C187" s="774"/>
      <c r="D187" s="775"/>
      <c r="E187" s="540"/>
    </row>
    <row r="188" spans="1:5" ht="22.5">
      <c r="A188" s="785"/>
      <c r="B188" s="533" t="s">
        <v>566</v>
      </c>
      <c r="C188" s="534" t="s">
        <v>517</v>
      </c>
      <c r="D188" s="545" t="s">
        <v>518</v>
      </c>
      <c r="E188" s="548"/>
    </row>
    <row r="189" spans="1:5" ht="22.5">
      <c r="A189" s="785"/>
      <c r="B189" s="533" t="s">
        <v>567</v>
      </c>
      <c r="C189" s="534" t="s">
        <v>503</v>
      </c>
      <c r="D189" s="545"/>
      <c r="E189" s="548"/>
    </row>
    <row r="190" spans="1:5" ht="15.75">
      <c r="A190" s="785"/>
      <c r="B190" s="533" t="s">
        <v>568</v>
      </c>
      <c r="C190" s="534" t="s">
        <v>519</v>
      </c>
      <c r="D190" s="545"/>
      <c r="E190" s="548"/>
    </row>
    <row r="191" spans="1:5" ht="20.25" customHeight="1">
      <c r="A191" s="785"/>
      <c r="B191" s="773" t="s">
        <v>569</v>
      </c>
      <c r="C191" s="774"/>
      <c r="D191" s="775"/>
      <c r="E191" s="540"/>
    </row>
    <row r="192" spans="1:5" ht="45">
      <c r="A192" s="789"/>
      <c r="B192" s="533" t="s">
        <v>570</v>
      </c>
      <c r="C192" s="534" t="s">
        <v>520</v>
      </c>
      <c r="D192" s="545" t="s">
        <v>521</v>
      </c>
      <c r="E192" s="547"/>
    </row>
  </sheetData>
  <sheetProtection/>
  <mergeCells count="82">
    <mergeCell ref="A34:A76"/>
    <mergeCell ref="A110:C110"/>
    <mergeCell ref="D38:D41"/>
    <mergeCell ref="D43:D44"/>
    <mergeCell ref="D46:D54"/>
    <mergeCell ref="E9:E12"/>
    <mergeCell ref="B134:D134"/>
    <mergeCell ref="D135:D142"/>
    <mergeCell ref="E135:E142"/>
    <mergeCell ref="D144:D151"/>
    <mergeCell ref="E144:E151"/>
    <mergeCell ref="C31:C32"/>
    <mergeCell ref="D31:D32"/>
    <mergeCell ref="C26:C29"/>
    <mergeCell ref="D26:D29"/>
    <mergeCell ref="B17:D17"/>
    <mergeCell ref="D19:D20"/>
    <mergeCell ref="D21:D24"/>
    <mergeCell ref="D105:D109"/>
    <mergeCell ref="E126:E133"/>
    <mergeCell ref="B25:D25"/>
    <mergeCell ref="A1:B1"/>
    <mergeCell ref="B5:D5"/>
    <mergeCell ref="B13:B16"/>
    <mergeCell ref="C13:C16"/>
    <mergeCell ref="D13:D16"/>
    <mergeCell ref="D6:D8"/>
    <mergeCell ref="A4:A32"/>
    <mergeCell ref="E6:E8"/>
    <mergeCell ref="B9:B12"/>
    <mergeCell ref="C9:C12"/>
    <mergeCell ref="D9:D12"/>
    <mergeCell ref="A152:IV152"/>
    <mergeCell ref="E105:E109"/>
    <mergeCell ref="E81:E88"/>
    <mergeCell ref="E90:E91"/>
    <mergeCell ref="E92:E101"/>
    <mergeCell ref="E103:E104"/>
    <mergeCell ref="A77:A109"/>
    <mergeCell ref="B77:C77"/>
    <mergeCell ref="B78:D78"/>
    <mergeCell ref="B79:C79"/>
    <mergeCell ref="D81:D88"/>
    <mergeCell ref="B89:C89"/>
    <mergeCell ref="B114:D114"/>
    <mergeCell ref="D115:D123"/>
    <mergeCell ref="B125:D125"/>
    <mergeCell ref="D126:D133"/>
    <mergeCell ref="B111:C111"/>
    <mergeCell ref="B112:D112"/>
    <mergeCell ref="B185:D185"/>
    <mergeCell ref="B166:C166"/>
    <mergeCell ref="B168:C168"/>
    <mergeCell ref="D92:D101"/>
    <mergeCell ref="B102:C102"/>
    <mergeCell ref="B154:D154"/>
    <mergeCell ref="B155:C155"/>
    <mergeCell ref="B158:C158"/>
    <mergeCell ref="B160:C160"/>
    <mergeCell ref="B162:C162"/>
    <mergeCell ref="B172:D172"/>
    <mergeCell ref="B173:D173"/>
    <mergeCell ref="B175:D175"/>
    <mergeCell ref="B177:D177"/>
    <mergeCell ref="B179:D179"/>
    <mergeCell ref="B181:D181"/>
    <mergeCell ref="E116:E123"/>
    <mergeCell ref="B183:D183"/>
    <mergeCell ref="E13:E15"/>
    <mergeCell ref="B30:D30"/>
    <mergeCell ref="A33:C33"/>
    <mergeCell ref="B124:C124"/>
    <mergeCell ref="A111:A151"/>
    <mergeCell ref="B153:C153"/>
    <mergeCell ref="B171:C171"/>
    <mergeCell ref="D56:D59"/>
    <mergeCell ref="D60:D63"/>
    <mergeCell ref="D73:D74"/>
    <mergeCell ref="A153:A192"/>
    <mergeCell ref="B187:D187"/>
    <mergeCell ref="B191:D191"/>
    <mergeCell ref="B113:C113"/>
  </mergeCells>
  <hyperlinks>
    <hyperlink ref="D1" r:id="rId1" display="http://data.unhcr.org/syrianrefugees/download.php?id=15305"/>
  </hyperlinks>
  <printOptions/>
  <pageMargins left="0.7" right="0.7" top="0.75" bottom="0.75" header="0.3" footer="0.3"/>
  <pageSetup fitToHeight="0" fitToWidth="1" orientation="landscape" paperSize="9" scale="87"/>
</worksheet>
</file>

<file path=xl/worksheets/sheet7.xml><?xml version="1.0" encoding="utf-8"?>
<worksheet xmlns="http://schemas.openxmlformats.org/spreadsheetml/2006/main" xmlns:r="http://schemas.openxmlformats.org/officeDocument/2006/relationships">
  <sheetPr>
    <pageSetUpPr fitToPage="1"/>
  </sheetPr>
  <dimension ref="A1:AR25"/>
  <sheetViews>
    <sheetView zoomScale="70" zoomScaleNormal="70" zoomScalePageLayoutView="70" workbookViewId="0" topLeftCell="A1">
      <pane xSplit="5" ySplit="5" topLeftCell="F6" activePane="bottomRight" state="frozen"/>
      <selection pane="topLeft" activeCell="A1" sqref="A1"/>
      <selection pane="topRight" activeCell="F1" sqref="F1"/>
      <selection pane="bottomLeft" activeCell="A6" sqref="A6"/>
      <selection pane="bottomRight" activeCell="G6" sqref="G6"/>
    </sheetView>
  </sheetViews>
  <sheetFormatPr defaultColWidth="10.140625" defaultRowHeight="15"/>
  <cols>
    <col min="1" max="1" width="8.421875" style="93" customWidth="1"/>
    <col min="2" max="2" width="55.7109375" style="89" customWidth="1"/>
    <col min="3" max="3" width="49.140625" style="89" customWidth="1"/>
    <col min="4" max="4" width="37.140625" style="90" customWidth="1"/>
    <col min="5" max="5" width="39.421875" style="91" customWidth="1"/>
    <col min="6" max="6" width="25.8515625" style="91" customWidth="1"/>
    <col min="7" max="13" width="30.140625" style="91" customWidth="1"/>
    <col min="14" max="14" width="26.421875" style="92" customWidth="1"/>
    <col min="15" max="17" width="26.140625" style="92" customWidth="1"/>
    <col min="18" max="18" width="23.8515625" style="89" customWidth="1"/>
    <col min="19" max="19" width="16.421875" style="89" bestFit="1" customWidth="1"/>
    <col min="20" max="20" width="12.421875" style="89" customWidth="1"/>
    <col min="21" max="21" width="15.28125" style="89" customWidth="1"/>
    <col min="22" max="22" width="10.140625" style="89" customWidth="1"/>
    <col min="23" max="23" width="19.28125" style="89" customWidth="1"/>
    <col min="24" max="24" width="12.140625" style="89" customWidth="1"/>
    <col min="25" max="25" width="17.421875" style="89" customWidth="1"/>
    <col min="26" max="26" width="22.421875" style="89" bestFit="1" customWidth="1"/>
    <col min="27" max="36" width="22.421875" style="89" customWidth="1"/>
    <col min="37" max="37" width="15.00390625" style="89" customWidth="1"/>
    <col min="38" max="16384" width="10.140625" style="89" customWidth="1"/>
  </cols>
  <sheetData>
    <row r="1" spans="1:23" ht="26.25" customHeight="1">
      <c r="A1" s="483" t="s">
        <v>199</v>
      </c>
      <c r="B1" s="484"/>
      <c r="C1" s="484"/>
      <c r="D1" s="485"/>
      <c r="E1" s="486"/>
      <c r="F1" s="486"/>
      <c r="G1" s="486"/>
      <c r="H1" s="486"/>
      <c r="I1" s="486"/>
      <c r="J1" s="486"/>
      <c r="K1" s="486"/>
      <c r="L1" s="486"/>
      <c r="M1" s="486"/>
      <c r="N1" s="487"/>
      <c r="O1" s="487"/>
      <c r="P1" s="487"/>
      <c r="Q1" s="487"/>
      <c r="R1" s="488" t="s">
        <v>254</v>
      </c>
      <c r="S1" s="489"/>
      <c r="T1" s="488"/>
      <c r="U1" s="488"/>
      <c r="V1" s="488">
        <f>(S2+AA2+AG2)/3</f>
        <v>8071.923076923077</v>
      </c>
      <c r="W1" s="852">
        <f>S4/SUM(S4:V4)</f>
        <v>0.5812317666263431</v>
      </c>
    </row>
    <row r="2" spans="1:33" ht="24" customHeight="1" thickBot="1">
      <c r="A2" s="490" t="s">
        <v>123</v>
      </c>
      <c r="B2" s="491"/>
      <c r="C2" s="491"/>
      <c r="D2" s="492"/>
      <c r="E2" s="493"/>
      <c r="F2" s="493"/>
      <c r="G2" s="493"/>
      <c r="H2" s="493"/>
      <c r="I2" s="493"/>
      <c r="J2" s="493"/>
      <c r="K2" s="493"/>
      <c r="L2" s="493"/>
      <c r="M2" s="493"/>
      <c r="N2" s="494"/>
      <c r="O2" s="495">
        <v>2018</v>
      </c>
      <c r="P2" s="495">
        <v>2019</v>
      </c>
      <c r="Q2" s="495">
        <v>2020</v>
      </c>
      <c r="R2" s="496" t="s">
        <v>255</v>
      </c>
      <c r="S2" s="497">
        <f>S3+T3+U3+V3</f>
        <v>8011.923076923075</v>
      </c>
      <c r="T2" s="247"/>
      <c r="U2" s="247"/>
      <c r="V2" s="247"/>
      <c r="W2" s="853"/>
      <c r="Y2" s="288">
        <f>40000000/21000000</f>
        <v>1.9047619047619047</v>
      </c>
      <c r="Z2" s="300" t="s">
        <v>256</v>
      </c>
      <c r="AA2" s="299">
        <f>AA3+AB3+AC3+AD3</f>
        <v>7996.923076923077</v>
      </c>
      <c r="AF2" s="300" t="s">
        <v>257</v>
      </c>
      <c r="AG2" s="299">
        <f>AG3+AH3+AI3+AJ3</f>
        <v>8206.923076923078</v>
      </c>
    </row>
    <row r="3" spans="1:36" ht="37.5" customHeight="1" thickBot="1">
      <c r="A3" s="498"/>
      <c r="B3" s="491"/>
      <c r="C3" s="491"/>
      <c r="D3" s="492"/>
      <c r="E3" s="493"/>
      <c r="F3" s="493"/>
      <c r="G3" s="493"/>
      <c r="H3" s="493"/>
      <c r="I3" s="493"/>
      <c r="J3" s="493"/>
      <c r="K3" s="493"/>
      <c r="L3" s="493"/>
      <c r="M3" s="493"/>
      <c r="N3" s="331" t="s">
        <v>134</v>
      </c>
      <c r="O3" s="332">
        <f>O4+O16+O21</f>
        <v>207875000</v>
      </c>
      <c r="P3" s="333">
        <f>P4+P16+P21</f>
        <v>200325000</v>
      </c>
      <c r="Q3" s="333">
        <f>Q4+Q16+Q21</f>
        <v>189225000</v>
      </c>
      <c r="R3" s="297" t="s">
        <v>253</v>
      </c>
      <c r="S3" s="298">
        <f>S10+S11+S12</f>
        <v>5934.217948717948</v>
      </c>
      <c r="T3" s="298">
        <f>T10+T11+T12</f>
        <v>1782.1089743589741</v>
      </c>
      <c r="U3" s="298">
        <f>U10+U11+U12</f>
        <v>208.8173076923077</v>
      </c>
      <c r="V3" s="298">
        <f>V10+V11+V12</f>
        <v>86.77884615384616</v>
      </c>
      <c r="W3" s="853"/>
      <c r="Y3" s="288">
        <f>19000000/40000000</f>
        <v>0.475</v>
      </c>
      <c r="Z3" s="297" t="s">
        <v>252</v>
      </c>
      <c r="AA3" s="298">
        <f>AA10+AA11+AA12</f>
        <v>5901.384615384615</v>
      </c>
      <c r="AB3" s="298">
        <f>AB10+AB11+AB12</f>
        <v>1795.136752136752</v>
      </c>
      <c r="AC3" s="298">
        <f>AC10+AC11+AC12</f>
        <v>211.97008547008548</v>
      </c>
      <c r="AD3" s="298">
        <f>AD10+AD11+AD12</f>
        <v>88.43162393162393</v>
      </c>
      <c r="AF3" s="297" t="s">
        <v>280</v>
      </c>
      <c r="AG3" s="298">
        <f>AG10+AG11+AG12</f>
        <v>6011.051282051282</v>
      </c>
      <c r="AH3" s="298">
        <f>AH10+AH11+AH12</f>
        <v>1876.9145299145298</v>
      </c>
      <c r="AI3" s="298">
        <f>AI10+AI11+AI12</f>
        <v>224.74786324786325</v>
      </c>
      <c r="AJ3" s="298">
        <f>AJ10+AJ11+AJ12</f>
        <v>94.2094017094017</v>
      </c>
    </row>
    <row r="4" spans="1:36" ht="105.75" customHeight="1" thickBot="1">
      <c r="A4" s="344">
        <v>1</v>
      </c>
      <c r="B4" s="328" t="s">
        <v>328</v>
      </c>
      <c r="C4" s="345"/>
      <c r="D4" s="328" t="s">
        <v>163</v>
      </c>
      <c r="E4" s="345"/>
      <c r="F4" s="345"/>
      <c r="G4" s="345"/>
      <c r="H4" s="345"/>
      <c r="I4" s="345"/>
      <c r="J4" s="345"/>
      <c r="K4" s="346"/>
      <c r="L4" s="346"/>
      <c r="M4" s="347" t="s">
        <v>271</v>
      </c>
      <c r="N4" s="348"/>
      <c r="O4" s="349">
        <f>O6+O7+O8+O9+O11+O12+O14</f>
        <v>170125000</v>
      </c>
      <c r="P4" s="349">
        <f>P6+P7+P8+P9+P11+P12+P14</f>
        <v>162575000</v>
      </c>
      <c r="Q4" s="350">
        <f>Q6+Q7+Q8+Q9+Q11+Q12+Q14</f>
        <v>151475000</v>
      </c>
      <c r="R4" s="314" t="s">
        <v>124</v>
      </c>
      <c r="S4" s="95">
        <f>S10+S11+S12+S14+S18</f>
        <v>35259.21794871795</v>
      </c>
      <c r="T4" s="95">
        <f>T10+T11+T12+T14+T18</f>
        <v>22475.108974358973</v>
      </c>
      <c r="U4" s="95">
        <f>U10+U11+U12+U14+U18</f>
        <v>2051.8173076923076</v>
      </c>
      <c r="V4" s="95">
        <f>V10+V11+V12+V14+V18</f>
        <v>876.7788461538462</v>
      </c>
      <c r="W4" s="853"/>
      <c r="X4" s="89" t="s">
        <v>249</v>
      </c>
      <c r="Y4" s="163"/>
      <c r="Z4" s="313" t="s">
        <v>124</v>
      </c>
      <c r="AA4" s="95">
        <f>AA10+AA11+AA12+AA14+AA18</f>
        <v>35226.38461538462</v>
      </c>
      <c r="AB4" s="95">
        <f>AB10+AB11+AB12+AB14+AB18</f>
        <v>22488.13675213675</v>
      </c>
      <c r="AC4" s="95">
        <f>AC10+AC11+AC12+AC14+AC18</f>
        <v>2054.9700854700855</v>
      </c>
      <c r="AD4" s="95">
        <f>AD10+AD11+AD12+AD14+AD18</f>
        <v>878.4316239316239</v>
      </c>
      <c r="AE4" s="163"/>
      <c r="AF4" s="313" t="s">
        <v>124</v>
      </c>
      <c r="AG4" s="95">
        <f>AG10+AG11+AG12+AG14+AG18</f>
        <v>35336.05128205128</v>
      </c>
      <c r="AH4" s="95">
        <f>AH10+AH11+AH12+AH14+AH18</f>
        <v>22569.91452991453</v>
      </c>
      <c r="AI4" s="95">
        <f>AI10+AI11+AI12+AI14+AI18</f>
        <v>2067.7478632478633</v>
      </c>
      <c r="AJ4" s="95">
        <f>AJ10+AJ11+AJ12+AJ14+AJ18</f>
        <v>884.2094017094017</v>
      </c>
    </row>
    <row r="5" spans="1:36" s="143" customFormat="1" ht="39" customHeight="1" thickBot="1">
      <c r="A5" s="351"/>
      <c r="B5" s="138" t="s">
        <v>125</v>
      </c>
      <c r="C5" s="139" t="s">
        <v>126</v>
      </c>
      <c r="D5" s="241" t="s">
        <v>127</v>
      </c>
      <c r="E5" s="241" t="s">
        <v>128</v>
      </c>
      <c r="F5" s="241" t="s">
        <v>9</v>
      </c>
      <c r="G5" s="241" t="s">
        <v>33</v>
      </c>
      <c r="H5" s="241" t="s">
        <v>193</v>
      </c>
      <c r="I5" s="241" t="s">
        <v>43</v>
      </c>
      <c r="J5" s="241" t="s">
        <v>130</v>
      </c>
      <c r="K5" s="242" t="s">
        <v>131</v>
      </c>
      <c r="L5" s="242" t="s">
        <v>132</v>
      </c>
      <c r="M5" s="142" t="s">
        <v>133</v>
      </c>
      <c r="N5" s="140" t="s">
        <v>134</v>
      </c>
      <c r="O5" s="140">
        <v>2018</v>
      </c>
      <c r="P5" s="140">
        <v>2019</v>
      </c>
      <c r="Q5" s="140">
        <v>2020</v>
      </c>
      <c r="R5" s="253" t="s">
        <v>135</v>
      </c>
      <c r="S5" s="245" t="s">
        <v>4</v>
      </c>
      <c r="T5" s="245" t="s">
        <v>77</v>
      </c>
      <c r="U5" s="245" t="s">
        <v>27</v>
      </c>
      <c r="V5" s="245" t="s">
        <v>28</v>
      </c>
      <c r="W5" s="853"/>
      <c r="X5" s="89"/>
      <c r="Y5" s="163"/>
      <c r="Z5" s="252" t="s">
        <v>229</v>
      </c>
      <c r="AA5" s="245" t="s">
        <v>4</v>
      </c>
      <c r="AB5" s="245" t="s">
        <v>77</v>
      </c>
      <c r="AC5" s="245" t="s">
        <v>27</v>
      </c>
      <c r="AD5" s="245" t="s">
        <v>28</v>
      </c>
      <c r="AE5" s="152"/>
      <c r="AF5" s="245" t="s">
        <v>229</v>
      </c>
      <c r="AG5" s="245" t="str">
        <f>AA5</f>
        <v>Leb</v>
      </c>
      <c r="AH5" s="245" t="str">
        <f>AB5</f>
        <v>Syr</v>
      </c>
      <c r="AI5" s="245" t="str">
        <f>AC5</f>
        <v>PRL</v>
      </c>
      <c r="AJ5" s="245" t="str">
        <f>AD5</f>
        <v>PRS</v>
      </c>
    </row>
    <row r="6" spans="1:36" ht="115.5" customHeight="1" thickBot="1">
      <c r="A6" s="858">
        <v>1.1</v>
      </c>
      <c r="B6" s="861" t="s">
        <v>353</v>
      </c>
      <c r="C6" s="864" t="s">
        <v>136</v>
      </c>
      <c r="D6" s="867" t="s">
        <v>354</v>
      </c>
      <c r="E6" s="352" t="s">
        <v>281</v>
      </c>
      <c r="F6" s="353" t="s">
        <v>137</v>
      </c>
      <c r="G6" s="353">
        <v>2000</v>
      </c>
      <c r="H6" s="353">
        <v>1900</v>
      </c>
      <c r="I6" s="353">
        <v>1750</v>
      </c>
      <c r="J6" s="354">
        <v>10000</v>
      </c>
      <c r="K6" s="218">
        <v>1</v>
      </c>
      <c r="L6" s="355">
        <v>1</v>
      </c>
      <c r="M6" s="218">
        <f>L6*G6</f>
        <v>2000</v>
      </c>
      <c r="N6" s="354">
        <f>O6+P6+Q6</f>
        <v>56500000</v>
      </c>
      <c r="O6" s="354">
        <f>J6*G6</f>
        <v>20000000</v>
      </c>
      <c r="P6" s="354">
        <f>J6*H6</f>
        <v>19000000</v>
      </c>
      <c r="Q6" s="354">
        <f>J6*I6</f>
        <v>17500000</v>
      </c>
      <c r="R6" s="246">
        <f>M6-SUM(S6:V6)</f>
        <v>0</v>
      </c>
      <c r="S6" s="95">
        <f>M6</f>
        <v>2000</v>
      </c>
      <c r="T6" s="95">
        <v>0</v>
      </c>
      <c r="U6" s="95">
        <v>0</v>
      </c>
      <c r="V6" s="95">
        <v>0</v>
      </c>
      <c r="W6" s="853"/>
      <c r="Y6" s="221">
        <f>18372+T11+T12+T18</f>
        <v>23096.358974358973</v>
      </c>
      <c r="Z6" s="95">
        <f>H6*L6</f>
        <v>1900</v>
      </c>
      <c r="AA6" s="95">
        <f>Z6</f>
        <v>1900</v>
      </c>
      <c r="AB6" s="95">
        <v>0</v>
      </c>
      <c r="AC6" s="95">
        <v>0</v>
      </c>
      <c r="AD6" s="95">
        <v>0</v>
      </c>
      <c r="AE6" s="221"/>
      <c r="AF6" s="95">
        <f>I6*L6</f>
        <v>1750</v>
      </c>
      <c r="AG6" s="95">
        <f>AF6</f>
        <v>1750</v>
      </c>
      <c r="AH6" s="95">
        <v>0</v>
      </c>
      <c r="AI6" s="95">
        <f>AC6</f>
        <v>0</v>
      </c>
      <c r="AJ6" s="95">
        <f>AD6</f>
        <v>0</v>
      </c>
    </row>
    <row r="7" spans="1:36" ht="30" customHeight="1" thickBot="1">
      <c r="A7" s="859"/>
      <c r="B7" s="862"/>
      <c r="C7" s="865"/>
      <c r="D7" s="868"/>
      <c r="E7" s="356"/>
      <c r="F7" s="353" t="s">
        <v>138</v>
      </c>
      <c r="G7" s="353">
        <v>850</v>
      </c>
      <c r="H7" s="353">
        <v>900</v>
      </c>
      <c r="I7" s="353">
        <v>1000</v>
      </c>
      <c r="J7" s="354">
        <v>35000</v>
      </c>
      <c r="K7" s="218">
        <v>1</v>
      </c>
      <c r="L7" s="355">
        <v>2.5</v>
      </c>
      <c r="M7" s="218">
        <f>L7*G7</f>
        <v>2125</v>
      </c>
      <c r="N7" s="354">
        <f>O7+P7+Q7</f>
        <v>96250000</v>
      </c>
      <c r="O7" s="354">
        <f>J7*G7</f>
        <v>29750000</v>
      </c>
      <c r="P7" s="354">
        <f>J7*H7</f>
        <v>31500000</v>
      </c>
      <c r="Q7" s="354">
        <f>J7*I7</f>
        <v>35000000</v>
      </c>
      <c r="R7" s="246">
        <f>M7-SUM(S7:V7)</f>
        <v>0</v>
      </c>
      <c r="S7" s="95">
        <f>M7*0.7</f>
        <v>1487.5</v>
      </c>
      <c r="T7" s="95">
        <f>M7*0.25</f>
        <v>531.25</v>
      </c>
      <c r="U7" s="95">
        <f>M7*0.035</f>
        <v>74.375</v>
      </c>
      <c r="V7" s="95">
        <f>M7*0.015</f>
        <v>31.875</v>
      </c>
      <c r="W7" s="853"/>
      <c r="Y7" s="247"/>
      <c r="Z7" s="95">
        <f>H7*L7</f>
        <v>2250</v>
      </c>
      <c r="AA7" s="95">
        <f>(S7/2125)*Z7</f>
        <v>1575</v>
      </c>
      <c r="AB7" s="95">
        <f>(T7/2125)*Z7</f>
        <v>562.5</v>
      </c>
      <c r="AC7" s="95">
        <f>(U7/2125)*Z7</f>
        <v>78.75000000000001</v>
      </c>
      <c r="AD7" s="95">
        <f>(V7/2125)*Z7</f>
        <v>33.75</v>
      </c>
      <c r="AE7" s="221"/>
      <c r="AF7" s="95">
        <f>I7*L7</f>
        <v>2500</v>
      </c>
      <c r="AG7" s="95">
        <f>(S7/2125)*AF7</f>
        <v>1750</v>
      </c>
      <c r="AH7" s="95">
        <f>(T7/2125)*AF7</f>
        <v>625</v>
      </c>
      <c r="AI7" s="95">
        <f>(U7/2125)*AF7</f>
        <v>87.50000000000001</v>
      </c>
      <c r="AJ7" s="95">
        <f>(V7/2125)*AF7</f>
        <v>37.5</v>
      </c>
    </row>
    <row r="8" spans="1:36" ht="51" customHeight="1" thickBot="1">
      <c r="A8" s="859"/>
      <c r="B8" s="862"/>
      <c r="C8" s="865"/>
      <c r="D8" s="868"/>
      <c r="E8" s="356"/>
      <c r="F8" s="353" t="s">
        <v>139</v>
      </c>
      <c r="G8" s="353">
        <v>150</v>
      </c>
      <c r="H8" s="353">
        <v>150</v>
      </c>
      <c r="I8" s="353">
        <v>200</v>
      </c>
      <c r="J8" s="354">
        <v>60000</v>
      </c>
      <c r="K8" s="218">
        <v>2</v>
      </c>
      <c r="L8" s="218">
        <v>3</v>
      </c>
      <c r="M8" s="218">
        <f>L8*G8</f>
        <v>450</v>
      </c>
      <c r="N8" s="354">
        <f>O8+P8+Q8</f>
        <v>30000000</v>
      </c>
      <c r="O8" s="354">
        <f>J8*G8</f>
        <v>9000000</v>
      </c>
      <c r="P8" s="354">
        <f>J8*H8</f>
        <v>9000000</v>
      </c>
      <c r="Q8" s="354">
        <f>J8*I8</f>
        <v>12000000</v>
      </c>
      <c r="R8" s="246">
        <f>M8-SUM(S8:V8)</f>
        <v>0</v>
      </c>
      <c r="S8" s="95">
        <f>M8*0.7</f>
        <v>315</v>
      </c>
      <c r="T8" s="95">
        <f>M8*0.25</f>
        <v>112.5</v>
      </c>
      <c r="U8" s="95">
        <f>M8*0.035</f>
        <v>15.750000000000002</v>
      </c>
      <c r="V8" s="95">
        <f>M8*0.015</f>
        <v>6.75</v>
      </c>
      <c r="W8" s="853"/>
      <c r="Y8" s="247">
        <f>100-79.5620438</f>
        <v>20.437956200000002</v>
      </c>
      <c r="Z8" s="95">
        <f>H8*L8</f>
        <v>450</v>
      </c>
      <c r="AA8" s="95">
        <f>(S8/450)*Z8</f>
        <v>315</v>
      </c>
      <c r="AB8" s="95">
        <f>(T8/450)*Z8</f>
        <v>112.5</v>
      </c>
      <c r="AC8" s="95">
        <f>(U8/450)*Z8</f>
        <v>15.750000000000002</v>
      </c>
      <c r="AD8" s="95">
        <f>(V8/450)*Z8</f>
        <v>6.75</v>
      </c>
      <c r="AE8" s="221"/>
      <c r="AF8" s="95">
        <f>I8*L8</f>
        <v>600</v>
      </c>
      <c r="AG8" s="95">
        <f>(S8/450)*AF8</f>
        <v>420</v>
      </c>
      <c r="AH8" s="95">
        <f>(T8/450)*AF8</f>
        <v>150</v>
      </c>
      <c r="AI8" s="95">
        <f>(U8/450)*AF8</f>
        <v>21.000000000000004</v>
      </c>
      <c r="AJ8" s="95">
        <f>(V8/450)*AF8</f>
        <v>9</v>
      </c>
    </row>
    <row r="9" spans="1:36" ht="81" customHeight="1" thickBot="1">
      <c r="A9" s="860"/>
      <c r="B9" s="863"/>
      <c r="C9" s="866"/>
      <c r="D9" s="869"/>
      <c r="E9" s="357"/>
      <c r="F9" s="353" t="s">
        <v>140</v>
      </c>
      <c r="G9" s="353">
        <v>90</v>
      </c>
      <c r="H9" s="353">
        <v>80</v>
      </c>
      <c r="I9" s="353">
        <v>70</v>
      </c>
      <c r="J9" s="354">
        <v>50000</v>
      </c>
      <c r="K9" s="218">
        <v>2</v>
      </c>
      <c r="L9" s="218">
        <v>4</v>
      </c>
      <c r="M9" s="218">
        <f>L9*G9</f>
        <v>360</v>
      </c>
      <c r="N9" s="354">
        <f>O9+P9+Q9</f>
        <v>12000000</v>
      </c>
      <c r="O9" s="354">
        <f>J9*G9</f>
        <v>4500000</v>
      </c>
      <c r="P9" s="354">
        <f>J9*H9</f>
        <v>4000000</v>
      </c>
      <c r="Q9" s="354">
        <f>J9*I9</f>
        <v>3500000</v>
      </c>
      <c r="R9" s="246">
        <f>M9-SUM(S9:V9)</f>
        <v>0</v>
      </c>
      <c r="S9" s="95">
        <f>M9/2+3</f>
        <v>183</v>
      </c>
      <c r="T9" s="95">
        <f>M9*0.45+2</f>
        <v>164</v>
      </c>
      <c r="U9" s="95">
        <f>10+1</f>
        <v>11</v>
      </c>
      <c r="V9" s="95">
        <v>2</v>
      </c>
      <c r="W9" s="854"/>
      <c r="Y9" s="247"/>
      <c r="Z9" s="95">
        <f>H9*L9</f>
        <v>320</v>
      </c>
      <c r="AA9" s="95">
        <f>(S9/360)*Z9</f>
        <v>162.66666666666666</v>
      </c>
      <c r="AB9" s="95">
        <f>(T9/360)*Z9</f>
        <v>145.77777777777777</v>
      </c>
      <c r="AC9" s="95">
        <f>(U9/360)*Z9</f>
        <v>9.777777777777777</v>
      </c>
      <c r="AD9" s="95">
        <f>(V9/360)*Z9</f>
        <v>1.777777777777778</v>
      </c>
      <c r="AE9" s="221"/>
      <c r="AF9" s="95">
        <f>I9*L9</f>
        <v>280</v>
      </c>
      <c r="AG9" s="95">
        <f>(S9/360)*AF9</f>
        <v>142.33333333333331</v>
      </c>
      <c r="AH9" s="95">
        <f>(T9/360)*AF9</f>
        <v>127.55555555555556</v>
      </c>
      <c r="AI9" s="95">
        <f>(U9/360)*AF9</f>
        <v>8.555555555555555</v>
      </c>
      <c r="AJ9" s="95">
        <f>(V9/360)*AF9</f>
        <v>1.5555555555555556</v>
      </c>
    </row>
    <row r="10" spans="1:36" ht="122.25" customHeight="1" thickBot="1">
      <c r="A10" s="358"/>
      <c r="B10" s="359" t="s">
        <v>141</v>
      </c>
      <c r="C10" s="360"/>
      <c r="D10" s="360"/>
      <c r="E10" s="361"/>
      <c r="F10" s="361"/>
      <c r="G10" s="361"/>
      <c r="H10" s="361"/>
      <c r="I10" s="361"/>
      <c r="J10" s="362"/>
      <c r="K10" s="363"/>
      <c r="L10" s="364" t="s">
        <v>142</v>
      </c>
      <c r="M10" s="218"/>
      <c r="N10" s="365"/>
      <c r="O10" s="362" t="s">
        <v>272</v>
      </c>
      <c r="P10" s="365" t="s">
        <v>273</v>
      </c>
      <c r="Q10" s="362" t="s">
        <v>279</v>
      </c>
      <c r="R10" s="291" t="s">
        <v>229</v>
      </c>
      <c r="S10" s="292">
        <f>SUM(S6:S9)</f>
        <v>3985.5</v>
      </c>
      <c r="T10" s="292">
        <f>SUM(T6:T9)</f>
        <v>807.75</v>
      </c>
      <c r="U10" s="292">
        <f>SUM(U6:U9)</f>
        <v>101.125</v>
      </c>
      <c r="V10" s="292">
        <f>SUM(V6:V9)</f>
        <v>40.625</v>
      </c>
      <c r="W10" s="499">
        <f>S10+T10+U10+V10</f>
        <v>4935</v>
      </c>
      <c r="Y10" s="247"/>
      <c r="Z10" s="243">
        <f>SUM(Z6:Z9)</f>
        <v>4920</v>
      </c>
      <c r="AA10" s="292">
        <f>SUM(AA6:AA9)</f>
        <v>3952.6666666666665</v>
      </c>
      <c r="AB10" s="292">
        <f>SUM(AB6:AB9)</f>
        <v>820.7777777777778</v>
      </c>
      <c r="AC10" s="292">
        <f>SUM(AC6:AC9)</f>
        <v>104.27777777777779</v>
      </c>
      <c r="AD10" s="292">
        <f>SUM(AD6:AD9)</f>
        <v>42.27777777777778</v>
      </c>
      <c r="AE10" s="221"/>
      <c r="AF10" s="243">
        <f>SUM(AF6:AF9)</f>
        <v>5130</v>
      </c>
      <c r="AG10" s="243">
        <f>SUM(AG6:AG9)</f>
        <v>4062.3333333333335</v>
      </c>
      <c r="AH10" s="243">
        <f>SUM(AH6:AH9)</f>
        <v>902.5555555555555</v>
      </c>
      <c r="AI10" s="243">
        <f>SUM(AI6:AI9)</f>
        <v>117.05555555555557</v>
      </c>
      <c r="AJ10" s="243">
        <f>SUM(AJ6:AJ9)</f>
        <v>48.05555555555556</v>
      </c>
    </row>
    <row r="11" spans="1:36" ht="47.25" customHeight="1" thickBot="1">
      <c r="A11" s="856">
        <v>1.2</v>
      </c>
      <c r="B11" s="870" t="s">
        <v>143</v>
      </c>
      <c r="C11" s="872"/>
      <c r="D11" s="874" t="s">
        <v>144</v>
      </c>
      <c r="E11" s="850" t="s">
        <v>246</v>
      </c>
      <c r="F11" s="353" t="s">
        <v>145</v>
      </c>
      <c r="G11" s="353">
        <v>20</v>
      </c>
      <c r="H11" s="353">
        <v>16</v>
      </c>
      <c r="I11" s="353">
        <v>11</v>
      </c>
      <c r="J11" s="367">
        <v>2000000</v>
      </c>
      <c r="K11" s="218">
        <v>3</v>
      </c>
      <c r="L11" s="218">
        <f>N11/13000</f>
        <v>3076.923076923077</v>
      </c>
      <c r="M11" s="218">
        <f>L11/3</f>
        <v>1025.6410256410256</v>
      </c>
      <c r="N11" s="368">
        <f>J11*G11</f>
        <v>40000000</v>
      </c>
      <c r="O11" s="368">
        <f>N11*0.42</f>
        <v>16800000</v>
      </c>
      <c r="P11" s="368">
        <f>N11*0.355</f>
        <v>14200000</v>
      </c>
      <c r="Q11" s="368">
        <f>N11*0.225</f>
        <v>9000000</v>
      </c>
      <c r="R11" s="301" t="s">
        <v>258</v>
      </c>
      <c r="S11" s="295">
        <f>M11/2</f>
        <v>512.8205128205128</v>
      </c>
      <c r="T11" s="295">
        <f>M11*0.45</f>
        <v>461.53846153846155</v>
      </c>
      <c r="U11" s="295">
        <f>M11*0.035</f>
        <v>35.8974358974359</v>
      </c>
      <c r="V11" s="505">
        <f>M11*0.015</f>
        <v>15.384615384615383</v>
      </c>
      <c r="W11" s="507">
        <f>(W12+AE12+AK12)/3</f>
        <v>3077</v>
      </c>
      <c r="Y11" s="285"/>
      <c r="AA11" s="322">
        <v>512.8205128205128</v>
      </c>
      <c r="AB11" s="322">
        <v>461.53846153846155</v>
      </c>
      <c r="AC11" s="322">
        <v>35.8974358974359</v>
      </c>
      <c r="AD11" s="322">
        <v>15.384615384615383</v>
      </c>
      <c r="AF11" s="94"/>
      <c r="AG11" s="244">
        <v>512.8205128205128</v>
      </c>
      <c r="AH11" s="244">
        <v>461.53846153846155</v>
      </c>
      <c r="AI11" s="244">
        <v>35.8974358974359</v>
      </c>
      <c r="AJ11" s="244">
        <v>15.384615384615383</v>
      </c>
    </row>
    <row r="12" spans="1:38" ht="47.25" customHeight="1" thickBot="1">
      <c r="A12" s="857"/>
      <c r="B12" s="871"/>
      <c r="C12" s="873"/>
      <c r="D12" s="875"/>
      <c r="E12" s="851"/>
      <c r="F12" s="353" t="s">
        <v>146</v>
      </c>
      <c r="G12" s="353">
        <v>5</v>
      </c>
      <c r="H12" s="353">
        <v>4</v>
      </c>
      <c r="I12" s="353">
        <v>3</v>
      </c>
      <c r="J12" s="367">
        <v>16000000</v>
      </c>
      <c r="K12" s="218">
        <v>3</v>
      </c>
      <c r="L12" s="218">
        <f>N12/13000</f>
        <v>6153.846153846154</v>
      </c>
      <c r="M12" s="218">
        <f>L12/3</f>
        <v>2051.2820512820513</v>
      </c>
      <c r="N12" s="368">
        <f>J12*G12</f>
        <v>80000000</v>
      </c>
      <c r="O12" s="368">
        <f>N12*0.42</f>
        <v>33600000</v>
      </c>
      <c r="P12" s="368">
        <f>N12*0.355</f>
        <v>28400000</v>
      </c>
      <c r="Q12" s="368">
        <f>N12*0.225</f>
        <v>18000000</v>
      </c>
      <c r="R12" s="301" t="s">
        <v>255</v>
      </c>
      <c r="S12" s="296">
        <f>M12*0.7</f>
        <v>1435.8974358974358</v>
      </c>
      <c r="T12" s="296">
        <f>M12*0.25</f>
        <v>512.8205128205128</v>
      </c>
      <c r="U12" s="296">
        <f>M12*0.035</f>
        <v>71.7948717948718</v>
      </c>
      <c r="V12" s="506">
        <f>M12*0.015</f>
        <v>30.769230769230766</v>
      </c>
      <c r="W12" s="507">
        <f>3077</f>
        <v>3077</v>
      </c>
      <c r="Y12" s="153"/>
      <c r="AA12" s="322">
        <v>1435.8974358974358</v>
      </c>
      <c r="AB12" s="322">
        <v>512.8205128205128</v>
      </c>
      <c r="AC12" s="322">
        <v>71.7948717948718</v>
      </c>
      <c r="AD12" s="322">
        <v>30.769230769230766</v>
      </c>
      <c r="AE12" s="301">
        <f>3077</f>
        <v>3077</v>
      </c>
      <c r="AF12" s="302" t="s">
        <v>256</v>
      </c>
      <c r="AG12" s="244">
        <v>1435.8974358974358</v>
      </c>
      <c r="AH12" s="244">
        <v>512.8205128205128</v>
      </c>
      <c r="AI12" s="244">
        <v>71.7948717948718</v>
      </c>
      <c r="AJ12" s="244">
        <v>30.769230769230766</v>
      </c>
      <c r="AK12" s="301">
        <f>3077</f>
        <v>3077</v>
      </c>
      <c r="AL12" s="143" t="s">
        <v>257</v>
      </c>
    </row>
    <row r="13" spans="1:36" ht="66.75" customHeight="1" thickBot="1">
      <c r="A13" s="369"/>
      <c r="B13" s="359" t="s">
        <v>147</v>
      </c>
      <c r="C13" s="360"/>
      <c r="D13" s="360"/>
      <c r="E13" s="360"/>
      <c r="F13" s="360"/>
      <c r="G13" s="360"/>
      <c r="H13" s="360"/>
      <c r="I13" s="360"/>
      <c r="J13" s="362" t="s">
        <v>148</v>
      </c>
      <c r="K13" s="218"/>
      <c r="L13" s="218"/>
      <c r="M13" s="218">
        <f>L13*I13</f>
        <v>0</v>
      </c>
      <c r="N13" s="368"/>
      <c r="O13" s="370" t="s">
        <v>244</v>
      </c>
      <c r="P13" s="370" t="s">
        <v>243</v>
      </c>
      <c r="Q13" s="370" t="s">
        <v>247</v>
      </c>
      <c r="R13" s="293" t="s">
        <v>229</v>
      </c>
      <c r="S13" s="294" t="s">
        <v>4</v>
      </c>
      <c r="T13" s="294" t="s">
        <v>77</v>
      </c>
      <c r="U13" s="294" t="s">
        <v>27</v>
      </c>
      <c r="V13" s="294" t="s">
        <v>28</v>
      </c>
      <c r="W13" s="855" t="s">
        <v>149</v>
      </c>
      <c r="Y13" s="153"/>
      <c r="Z13" s="249" t="s">
        <v>229</v>
      </c>
      <c r="AA13" s="294" t="s">
        <v>4</v>
      </c>
      <c r="AB13" s="294" t="s">
        <v>77</v>
      </c>
      <c r="AC13" s="294" t="s">
        <v>27</v>
      </c>
      <c r="AD13" s="294" t="s">
        <v>28</v>
      </c>
      <c r="AF13" s="287" t="s">
        <v>229</v>
      </c>
      <c r="AG13" s="245" t="s">
        <v>4</v>
      </c>
      <c r="AH13" s="245" t="s">
        <v>77</v>
      </c>
      <c r="AI13" s="245" t="s">
        <v>27</v>
      </c>
      <c r="AJ13" s="248" t="s">
        <v>28</v>
      </c>
    </row>
    <row r="14" spans="1:36" ht="194.25" customHeight="1" thickBot="1">
      <c r="A14" s="369">
        <v>1.3</v>
      </c>
      <c r="B14" s="329" t="s">
        <v>355</v>
      </c>
      <c r="C14" s="366"/>
      <c r="D14" s="371" t="s">
        <v>200</v>
      </c>
      <c r="E14" s="353" t="s">
        <v>227</v>
      </c>
      <c r="F14" s="372" t="s">
        <v>356</v>
      </c>
      <c r="G14" s="353">
        <v>251</v>
      </c>
      <c r="H14" s="353">
        <v>251</v>
      </c>
      <c r="I14" s="353">
        <v>251</v>
      </c>
      <c r="J14" s="354">
        <f>(50*10*9*20*100)/40</f>
        <v>225000</v>
      </c>
      <c r="K14" s="355">
        <v>1.5</v>
      </c>
      <c r="L14" s="218">
        <f>150*251</f>
        <v>37650</v>
      </c>
      <c r="M14" s="218">
        <f>50*10*9*251</f>
        <v>1129500</v>
      </c>
      <c r="N14" s="368">
        <f>Q14+P14+O14</f>
        <v>169425000</v>
      </c>
      <c r="O14" s="368">
        <f>J14*G14</f>
        <v>56475000</v>
      </c>
      <c r="P14" s="368">
        <f>J14*H14</f>
        <v>56475000</v>
      </c>
      <c r="Q14" s="368">
        <f>J14*I14</f>
        <v>56475000</v>
      </c>
      <c r="R14" s="250">
        <f>S14+T14+U14+V14</f>
        <v>37651</v>
      </c>
      <c r="S14" s="251">
        <f>18825</f>
        <v>18825</v>
      </c>
      <c r="T14" s="251">
        <f>16943</f>
        <v>16943</v>
      </c>
      <c r="U14" s="251">
        <f>1318</f>
        <v>1318</v>
      </c>
      <c r="V14" s="251">
        <f>565</f>
        <v>565</v>
      </c>
      <c r="W14" s="855"/>
      <c r="Y14" s="153"/>
      <c r="Z14" s="250">
        <v>37651</v>
      </c>
      <c r="AA14" s="251">
        <v>18825</v>
      </c>
      <c r="AB14" s="251">
        <v>16943</v>
      </c>
      <c r="AC14" s="251">
        <v>1318</v>
      </c>
      <c r="AD14" s="251">
        <v>565</v>
      </c>
      <c r="AF14" s="250">
        <f>AG14+AH14+AI14+AJ14</f>
        <v>37651</v>
      </c>
      <c r="AG14" s="251">
        <f>18825</f>
        <v>18825</v>
      </c>
      <c r="AH14" s="251">
        <f>16943</f>
        <v>16943</v>
      </c>
      <c r="AI14" s="251">
        <f>1318</f>
        <v>1318</v>
      </c>
      <c r="AJ14" s="251">
        <f>565</f>
        <v>565</v>
      </c>
    </row>
    <row r="15" spans="1:23" ht="39" customHeight="1" thickBot="1">
      <c r="A15" s="369"/>
      <c r="B15" s="359" t="s">
        <v>150</v>
      </c>
      <c r="C15" s="360"/>
      <c r="D15" s="360"/>
      <c r="E15" s="360"/>
      <c r="F15" s="360"/>
      <c r="G15" s="360"/>
      <c r="H15" s="360"/>
      <c r="I15" s="360"/>
      <c r="J15" s="362" t="s">
        <v>151</v>
      </c>
      <c r="K15" s="218"/>
      <c r="L15" s="218" t="s">
        <v>152</v>
      </c>
      <c r="M15" s="218" t="s">
        <v>153</v>
      </c>
      <c r="N15" s="368"/>
      <c r="O15" s="373" t="s">
        <v>248</v>
      </c>
      <c r="P15" s="373" t="s">
        <v>274</v>
      </c>
      <c r="Q15" s="373" t="s">
        <v>275</v>
      </c>
      <c r="R15" s="221"/>
      <c r="S15" s="221"/>
      <c r="T15" s="221"/>
      <c r="U15" s="221"/>
      <c r="V15" s="221"/>
      <c r="W15" s="855"/>
    </row>
    <row r="16" spans="1:23" s="137" customFormat="1" ht="105.75" customHeight="1" thickBot="1">
      <c r="A16" s="374">
        <v>2</v>
      </c>
      <c r="B16" s="375" t="s">
        <v>327</v>
      </c>
      <c r="C16" s="376"/>
      <c r="D16" s="375" t="s">
        <v>212</v>
      </c>
      <c r="E16" s="376" t="s">
        <v>213</v>
      </c>
      <c r="F16" s="377"/>
      <c r="G16" s="378"/>
      <c r="H16" s="378"/>
      <c r="I16" s="378"/>
      <c r="J16" s="379"/>
      <c r="K16" s="380"/>
      <c r="L16" s="381"/>
      <c r="M16" s="382"/>
      <c r="N16" s="382"/>
      <c r="O16" s="383">
        <f>O18</f>
        <v>26250000</v>
      </c>
      <c r="P16" s="383">
        <f>P18</f>
        <v>26250000</v>
      </c>
      <c r="Q16" s="383">
        <f>Q18</f>
        <v>26250000</v>
      </c>
      <c r="R16" s="500"/>
      <c r="S16" s="500"/>
      <c r="T16" s="500"/>
      <c r="U16" s="500"/>
      <c r="V16" s="501"/>
      <c r="W16" s="855"/>
    </row>
    <row r="17" spans="1:36" s="143" customFormat="1" ht="39" customHeight="1" thickBot="1">
      <c r="A17" s="351"/>
      <c r="B17" s="138" t="s">
        <v>125</v>
      </c>
      <c r="C17" s="139" t="s">
        <v>126</v>
      </c>
      <c r="D17" s="140" t="s">
        <v>127</v>
      </c>
      <c r="E17" s="140" t="s">
        <v>128</v>
      </c>
      <c r="F17" s="140" t="s">
        <v>9</v>
      </c>
      <c r="G17" s="140"/>
      <c r="H17" s="140"/>
      <c r="I17" s="140" t="s">
        <v>129</v>
      </c>
      <c r="J17" s="140" t="s">
        <v>130</v>
      </c>
      <c r="K17" s="141" t="s">
        <v>131</v>
      </c>
      <c r="L17" s="141" t="s">
        <v>132</v>
      </c>
      <c r="M17" s="142" t="s">
        <v>133</v>
      </c>
      <c r="N17" s="140" t="s">
        <v>134</v>
      </c>
      <c r="O17" s="140">
        <v>2020</v>
      </c>
      <c r="P17" s="140">
        <v>2019</v>
      </c>
      <c r="Q17" s="140">
        <v>2018</v>
      </c>
      <c r="R17" s="253" t="s">
        <v>229</v>
      </c>
      <c r="S17" s="245" t="s">
        <v>4</v>
      </c>
      <c r="T17" s="245" t="s">
        <v>77</v>
      </c>
      <c r="U17" s="245" t="s">
        <v>27</v>
      </c>
      <c r="V17" s="245" t="s">
        <v>28</v>
      </c>
      <c r="W17" s="855"/>
      <c r="Z17" s="253" t="s">
        <v>229</v>
      </c>
      <c r="AA17" s="245" t="s">
        <v>4</v>
      </c>
      <c r="AB17" s="245" t="s">
        <v>77</v>
      </c>
      <c r="AC17" s="245" t="s">
        <v>27</v>
      </c>
      <c r="AD17" s="245" t="s">
        <v>28</v>
      </c>
      <c r="AF17" s="253" t="s">
        <v>229</v>
      </c>
      <c r="AG17" s="245" t="s">
        <v>4</v>
      </c>
      <c r="AH17" s="245" t="s">
        <v>77</v>
      </c>
      <c r="AI17" s="245" t="s">
        <v>27</v>
      </c>
      <c r="AJ17" s="245" t="s">
        <v>28</v>
      </c>
    </row>
    <row r="18" spans="1:36" s="216" customFormat="1" ht="75" customHeight="1" thickBot="1">
      <c r="A18" s="384">
        <v>2.1</v>
      </c>
      <c r="B18" s="385" t="s">
        <v>357</v>
      </c>
      <c r="C18" s="214"/>
      <c r="D18" s="215" t="s">
        <v>267</v>
      </c>
      <c r="E18" s="215"/>
      <c r="G18" s="387">
        <f>15000</f>
        <v>15000</v>
      </c>
      <c r="H18" s="387">
        <v>15000</v>
      </c>
      <c r="I18" s="387">
        <v>15000</v>
      </c>
      <c r="J18" s="386">
        <v>1750</v>
      </c>
      <c r="K18" s="388">
        <v>0.2</v>
      </c>
      <c r="L18" s="218">
        <f>K18*G18</f>
        <v>3000</v>
      </c>
      <c r="M18" s="368">
        <f>I18*J18</f>
        <v>26250000</v>
      </c>
      <c r="N18" s="368">
        <f>O18+P18+Q18</f>
        <v>78750000</v>
      </c>
      <c r="O18" s="368">
        <f>J18*G18</f>
        <v>26250000</v>
      </c>
      <c r="P18" s="368">
        <f>J18*H18</f>
        <v>26250000</v>
      </c>
      <c r="Q18" s="389">
        <f>J18*I18</f>
        <v>26250000</v>
      </c>
      <c r="R18" s="312">
        <f>S18+T18+U18+V18</f>
        <v>15000</v>
      </c>
      <c r="S18" s="244">
        <f>14000*0.75</f>
        <v>10500</v>
      </c>
      <c r="T18" s="244">
        <f>5000*0.75</f>
        <v>3750</v>
      </c>
      <c r="U18" s="244">
        <f>700*0.75</f>
        <v>525</v>
      </c>
      <c r="V18" s="244">
        <f>300*0.75</f>
        <v>225</v>
      </c>
      <c r="W18" s="855"/>
      <c r="Z18" s="312">
        <f>AA18+AB18+AC18+AD18</f>
        <v>15000</v>
      </c>
      <c r="AA18" s="244">
        <f>14000*0.75</f>
        <v>10500</v>
      </c>
      <c r="AB18" s="244">
        <f>5000*0.75</f>
        <v>3750</v>
      </c>
      <c r="AC18" s="244">
        <f>700*0.75</f>
        <v>525</v>
      </c>
      <c r="AD18" s="244">
        <f>300*0.75</f>
        <v>225</v>
      </c>
      <c r="AF18" s="312">
        <f>AG18+AH18+AI18+AJ18</f>
        <v>15000</v>
      </c>
      <c r="AG18" s="244">
        <f>14000*0.75</f>
        <v>10500</v>
      </c>
      <c r="AH18" s="244">
        <f>5000*0.75</f>
        <v>3750</v>
      </c>
      <c r="AI18" s="244">
        <f>700*0.75</f>
        <v>525</v>
      </c>
      <c r="AJ18" s="244">
        <f>300*0.75</f>
        <v>225</v>
      </c>
    </row>
    <row r="19" spans="1:44" s="216" customFormat="1" ht="85.5" customHeight="1" thickBot="1">
      <c r="A19" s="384">
        <v>2.2</v>
      </c>
      <c r="B19" s="329" t="s">
        <v>308</v>
      </c>
      <c r="C19" s="330"/>
      <c r="D19" s="307" t="s">
        <v>309</v>
      </c>
      <c r="E19" s="215"/>
      <c r="F19" s="217"/>
      <c r="G19" s="215"/>
      <c r="H19" s="215"/>
      <c r="I19" s="215"/>
      <c r="J19" s="215"/>
      <c r="K19" s="218"/>
      <c r="L19" s="218"/>
      <c r="M19" s="219"/>
      <c r="N19" s="215"/>
      <c r="O19" s="215"/>
      <c r="P19" s="215"/>
      <c r="Q19" s="215"/>
      <c r="R19" s="308"/>
      <c r="S19" s="308"/>
      <c r="T19" s="308"/>
      <c r="U19" s="308"/>
      <c r="V19" s="308"/>
      <c r="W19" s="855"/>
      <c r="X19" s="309"/>
      <c r="Y19" s="309"/>
      <c r="Z19" s="309"/>
      <c r="AA19" s="309"/>
      <c r="AB19" s="309"/>
      <c r="AC19" s="309"/>
      <c r="AD19" s="309"/>
      <c r="AE19" s="309"/>
      <c r="AF19" s="309"/>
      <c r="AG19" s="309"/>
      <c r="AH19" s="309"/>
      <c r="AI19" s="309"/>
      <c r="AJ19" s="309"/>
      <c r="AK19" s="309"/>
      <c r="AL19" s="309"/>
      <c r="AM19" s="309"/>
      <c r="AN19" s="309"/>
      <c r="AO19" s="309"/>
      <c r="AP19" s="309"/>
      <c r="AQ19" s="309"/>
      <c r="AR19" s="309"/>
    </row>
    <row r="20" spans="1:44" s="216" customFormat="1" ht="85.5" customHeight="1" thickBot="1">
      <c r="A20" s="390"/>
      <c r="B20" s="215" t="s">
        <v>214</v>
      </c>
      <c r="C20" s="215" t="s">
        <v>214</v>
      </c>
      <c r="D20" s="215"/>
      <c r="E20" s="215"/>
      <c r="F20" s="215"/>
      <c r="G20" s="215"/>
      <c r="H20" s="215"/>
      <c r="I20" s="215"/>
      <c r="J20" s="215"/>
      <c r="K20" s="218"/>
      <c r="L20" s="218"/>
      <c r="M20" s="219"/>
      <c r="N20" s="215"/>
      <c r="O20" s="215"/>
      <c r="P20" s="215"/>
      <c r="Q20" s="215"/>
      <c r="R20" s="308"/>
      <c r="S20" s="308"/>
      <c r="T20" s="308"/>
      <c r="U20" s="308"/>
      <c r="V20" s="308"/>
      <c r="W20" s="502"/>
      <c r="X20" s="309"/>
      <c r="Y20" s="309"/>
      <c r="Z20" s="309"/>
      <c r="AA20" s="309"/>
      <c r="AB20" s="309"/>
      <c r="AC20" s="309"/>
      <c r="AD20" s="309"/>
      <c r="AE20" s="309"/>
      <c r="AF20" s="309"/>
      <c r="AG20" s="309"/>
      <c r="AH20" s="309"/>
      <c r="AI20" s="309"/>
      <c r="AJ20" s="309"/>
      <c r="AK20" s="309"/>
      <c r="AL20" s="309"/>
      <c r="AM20" s="309"/>
      <c r="AN20" s="309"/>
      <c r="AO20" s="309"/>
      <c r="AP20" s="309"/>
      <c r="AQ20" s="309"/>
      <c r="AR20" s="309"/>
    </row>
    <row r="21" spans="1:44" s="144" customFormat="1" ht="104.25" customHeight="1" thickBot="1">
      <c r="A21" s="391">
        <v>3</v>
      </c>
      <c r="B21" s="392" t="s">
        <v>344</v>
      </c>
      <c r="C21" s="393"/>
      <c r="D21" s="394" t="s">
        <v>215</v>
      </c>
      <c r="E21" s="395"/>
      <c r="F21" s="395"/>
      <c r="G21" s="395"/>
      <c r="H21" s="395"/>
      <c r="I21" s="395"/>
      <c r="J21" s="396"/>
      <c r="K21" s="397"/>
      <c r="L21" s="398"/>
      <c r="M21" s="399">
        <f>M23+M24</f>
        <v>0</v>
      </c>
      <c r="N21" s="399">
        <f>N23+N24</f>
        <v>34500000</v>
      </c>
      <c r="O21" s="400">
        <f>O23+O24</f>
        <v>11500000</v>
      </c>
      <c r="P21" s="400">
        <f>P23+P24</f>
        <v>11500000</v>
      </c>
      <c r="Q21" s="400">
        <f>Q23+Q24</f>
        <v>11500000</v>
      </c>
      <c r="R21" s="310"/>
      <c r="S21" s="310"/>
      <c r="T21" s="310"/>
      <c r="U21" s="310"/>
      <c r="V21" s="310"/>
      <c r="W21" s="502"/>
      <c r="X21" s="309"/>
      <c r="Y21" s="309"/>
      <c r="Z21" s="309"/>
      <c r="AA21" s="309"/>
      <c r="AB21" s="309"/>
      <c r="AC21" s="309"/>
      <c r="AD21" s="309"/>
      <c r="AE21" s="309"/>
      <c r="AF21" s="309"/>
      <c r="AG21" s="309"/>
      <c r="AH21" s="309"/>
      <c r="AI21" s="309"/>
      <c r="AJ21" s="309"/>
      <c r="AK21" s="309"/>
      <c r="AL21" s="309"/>
      <c r="AM21" s="309"/>
      <c r="AN21" s="309"/>
      <c r="AO21" s="309"/>
      <c r="AP21" s="309"/>
      <c r="AQ21" s="309"/>
      <c r="AR21" s="309"/>
    </row>
    <row r="22" spans="1:44" s="143" customFormat="1" ht="39" customHeight="1" thickBot="1">
      <c r="A22" s="351"/>
      <c r="B22" s="138" t="s">
        <v>125</v>
      </c>
      <c r="C22" s="139" t="s">
        <v>126</v>
      </c>
      <c r="D22" s="145" t="s">
        <v>127</v>
      </c>
      <c r="E22" s="147" t="s">
        <v>128</v>
      </c>
      <c r="F22" s="148" t="s">
        <v>9</v>
      </c>
      <c r="G22" s="148" t="s">
        <v>33</v>
      </c>
      <c r="H22" s="148" t="s">
        <v>193</v>
      </c>
      <c r="I22" s="148" t="s">
        <v>43</v>
      </c>
      <c r="J22" s="148" t="s">
        <v>130</v>
      </c>
      <c r="K22" s="149" t="s">
        <v>131</v>
      </c>
      <c r="L22" s="146" t="s">
        <v>132</v>
      </c>
      <c r="M22" s="142" t="s">
        <v>133</v>
      </c>
      <c r="N22" s="140" t="s">
        <v>134</v>
      </c>
      <c r="O22" s="145">
        <v>2018</v>
      </c>
      <c r="P22" s="140">
        <v>2019</v>
      </c>
      <c r="Q22" s="140">
        <v>2020</v>
      </c>
      <c r="R22" s="311"/>
      <c r="S22" s="311"/>
      <c r="T22" s="311"/>
      <c r="U22" s="311"/>
      <c r="V22" s="311"/>
      <c r="W22" s="502"/>
      <c r="X22" s="309"/>
      <c r="Y22" s="309"/>
      <c r="Z22" s="309"/>
      <c r="AA22" s="309"/>
      <c r="AB22" s="309"/>
      <c r="AC22" s="309"/>
      <c r="AD22" s="309"/>
      <c r="AE22" s="309"/>
      <c r="AF22" s="309"/>
      <c r="AG22" s="309"/>
      <c r="AH22" s="309"/>
      <c r="AI22" s="309"/>
      <c r="AJ22" s="309"/>
      <c r="AK22" s="309"/>
      <c r="AL22" s="309"/>
      <c r="AM22" s="309"/>
      <c r="AN22" s="309"/>
      <c r="AO22" s="309"/>
      <c r="AP22" s="309"/>
      <c r="AQ22" s="309"/>
      <c r="AR22" s="309"/>
    </row>
    <row r="23" spans="1:44" ht="228" customHeight="1" thickBot="1">
      <c r="A23" s="369">
        <v>3.1</v>
      </c>
      <c r="B23" s="401" t="s">
        <v>322</v>
      </c>
      <c r="C23" s="359" t="s">
        <v>358</v>
      </c>
      <c r="D23" s="307" t="s">
        <v>359</v>
      </c>
      <c r="E23" s="402" t="s">
        <v>317</v>
      </c>
      <c r="F23" s="403"/>
      <c r="G23" s="403" t="s">
        <v>317</v>
      </c>
      <c r="H23" s="404">
        <v>7</v>
      </c>
      <c r="I23" s="404">
        <v>7</v>
      </c>
      <c r="J23" s="405"/>
      <c r="K23" s="406"/>
      <c r="L23" s="407"/>
      <c r="M23" s="368"/>
      <c r="N23" s="368">
        <f>Q23+P23+O23</f>
        <v>7500000</v>
      </c>
      <c r="O23" s="368">
        <f>'Outcome 3'!E11</f>
        <v>2500000</v>
      </c>
      <c r="P23" s="368">
        <f>'Outcome 3'!D11</f>
        <v>2500000</v>
      </c>
      <c r="Q23" s="368">
        <f>'Outcome 3'!C11</f>
        <v>2500000</v>
      </c>
      <c r="R23" s="310"/>
      <c r="S23" s="310"/>
      <c r="T23" s="310"/>
      <c r="U23" s="310"/>
      <c r="V23" s="310"/>
      <c r="W23" s="502"/>
      <c r="X23" s="309"/>
      <c r="Y23" s="309"/>
      <c r="Z23" s="309"/>
      <c r="AA23" s="309"/>
      <c r="AB23" s="309"/>
      <c r="AC23" s="309"/>
      <c r="AD23" s="309"/>
      <c r="AE23" s="309"/>
      <c r="AF23" s="309"/>
      <c r="AG23" s="309"/>
      <c r="AH23" s="309"/>
      <c r="AI23" s="309"/>
      <c r="AJ23" s="309"/>
      <c r="AK23" s="309"/>
      <c r="AL23" s="309"/>
      <c r="AM23" s="309"/>
      <c r="AN23" s="309"/>
      <c r="AO23" s="309"/>
      <c r="AP23" s="309"/>
      <c r="AQ23" s="309"/>
      <c r="AR23" s="309"/>
    </row>
    <row r="24" spans="1:44" ht="90.75" customHeight="1" thickBot="1">
      <c r="A24" s="369">
        <v>3.2</v>
      </c>
      <c r="B24" s="329" t="s">
        <v>339</v>
      </c>
      <c r="C24" s="385" t="s">
        <v>115</v>
      </c>
      <c r="D24" s="372" t="s">
        <v>115</v>
      </c>
      <c r="E24" s="408">
        <v>12</v>
      </c>
      <c r="F24" s="408"/>
      <c r="G24" s="408">
        <v>12</v>
      </c>
      <c r="H24" s="408">
        <v>12</v>
      </c>
      <c r="I24" s="408">
        <v>12</v>
      </c>
      <c r="J24" s="409"/>
      <c r="K24" s="410"/>
      <c r="L24" s="411"/>
      <c r="M24" s="368"/>
      <c r="N24" s="368">
        <f>Q24+P24+O24</f>
        <v>27000000</v>
      </c>
      <c r="O24" s="368">
        <f>'Outcome 3'!E31</f>
        <v>9000000</v>
      </c>
      <c r="P24" s="368">
        <f>'Outcome 3'!D31</f>
        <v>9000000</v>
      </c>
      <c r="Q24" s="412">
        <f>'Outcome 3'!C31</f>
        <v>9000000</v>
      </c>
      <c r="R24" s="310"/>
      <c r="S24" s="310"/>
      <c r="T24" s="310"/>
      <c r="U24" s="310"/>
      <c r="V24" s="310"/>
      <c r="W24" s="502"/>
      <c r="X24" s="309"/>
      <c r="Y24" s="309"/>
      <c r="Z24" s="309"/>
      <c r="AA24" s="309"/>
      <c r="AB24" s="309"/>
      <c r="AC24" s="309"/>
      <c r="AD24" s="309"/>
      <c r="AE24" s="309"/>
      <c r="AF24" s="309"/>
      <c r="AG24" s="309"/>
      <c r="AH24" s="309"/>
      <c r="AI24" s="309"/>
      <c r="AJ24" s="309"/>
      <c r="AK24" s="309"/>
      <c r="AL24" s="309"/>
      <c r="AM24" s="309"/>
      <c r="AN24" s="309"/>
      <c r="AO24" s="309"/>
      <c r="AP24" s="309"/>
      <c r="AQ24" s="309"/>
      <c r="AR24" s="309"/>
    </row>
    <row r="25" spans="1:44" ht="177" customHeight="1" thickBot="1">
      <c r="A25" s="369"/>
      <c r="B25" s="359" t="s">
        <v>360</v>
      </c>
      <c r="C25" s="360"/>
      <c r="D25" s="360"/>
      <c r="E25" s="360"/>
      <c r="F25" s="360"/>
      <c r="G25" s="413"/>
      <c r="H25" s="413"/>
      <c r="I25" s="413"/>
      <c r="J25" s="354" t="s">
        <v>320</v>
      </c>
      <c r="K25" s="411"/>
      <c r="L25" s="411"/>
      <c r="M25" s="411"/>
      <c r="N25" s="368"/>
      <c r="O25" s="368"/>
      <c r="P25" s="368"/>
      <c r="Q25" s="368"/>
      <c r="R25" s="503"/>
      <c r="S25" s="503"/>
      <c r="T25" s="503"/>
      <c r="U25" s="503"/>
      <c r="V25" s="503"/>
      <c r="W25" s="504"/>
      <c r="X25" s="309"/>
      <c r="Y25" s="309"/>
      <c r="Z25" s="309"/>
      <c r="AA25" s="309"/>
      <c r="AB25" s="309"/>
      <c r="AC25" s="309"/>
      <c r="AD25" s="309"/>
      <c r="AE25" s="309"/>
      <c r="AF25" s="309"/>
      <c r="AG25" s="309"/>
      <c r="AH25" s="309"/>
      <c r="AI25" s="309"/>
      <c r="AJ25" s="309"/>
      <c r="AK25" s="309"/>
      <c r="AL25" s="309"/>
      <c r="AM25" s="309"/>
      <c r="AN25" s="309"/>
      <c r="AO25" s="309"/>
      <c r="AP25" s="309"/>
      <c r="AQ25" s="309"/>
      <c r="AR25" s="309"/>
    </row>
  </sheetData>
  <sheetProtection/>
  <mergeCells count="11">
    <mergeCell ref="E11:E12"/>
    <mergeCell ref="W1:W9"/>
    <mergeCell ref="W13:W19"/>
    <mergeCell ref="A11:A12"/>
    <mergeCell ref="A6:A9"/>
    <mergeCell ref="B6:B9"/>
    <mergeCell ref="C6:C9"/>
    <mergeCell ref="D6:D9"/>
    <mergeCell ref="B11:B12"/>
    <mergeCell ref="C11:C12"/>
    <mergeCell ref="D11:D12"/>
  </mergeCells>
  <printOptions/>
  <pageMargins left="0.25" right="0.25" top="0.75" bottom="0.75" header="0.3" footer="0.3"/>
  <pageSetup fitToHeight="0" fitToWidth="1" horizontalDpi="300" verticalDpi="300" orientation="landscape" paperSize="9" scale="3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Hrayr Wannis</dc:creator>
  <cp:keywords/>
  <dc:description/>
  <cp:lastModifiedBy>Mariann Urban</cp:lastModifiedBy>
  <cp:lastPrinted>2017-11-15T10:32:03Z</cp:lastPrinted>
  <dcterms:created xsi:type="dcterms:W3CDTF">2014-08-29T13:09:43Z</dcterms:created>
  <dcterms:modified xsi:type="dcterms:W3CDTF">2018-03-14T13:30:21Z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