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aha\Desktop\Logframes\"/>
    </mc:Choice>
  </mc:AlternateContent>
  <bookViews>
    <workbookView xWindow="0" yWindow="465" windowWidth="25605" windowHeight="13500" activeTab="3"/>
  </bookViews>
  <sheets>
    <sheet name="Readme" sheetId="29" r:id="rId1"/>
    <sheet name="Summary" sheetId="41" r:id="rId2"/>
    <sheet name="Sheet2" sheetId="46" state="hidden" r:id="rId3"/>
    <sheet name="Impact 1 (2018-2020)" sheetId="37" r:id="rId4"/>
    <sheet name="Impact 1 (2018-2021)" sheetId="45" state="hidden" r:id="rId5"/>
    <sheet name="Target Dist per Caza" sheetId="44" state="hidden" r:id="rId6"/>
    <sheet name="Population Distribution" sheetId="40" state="hidden" r:id="rId7"/>
    <sheet name="Sheet1" sheetId="38" state="hidden" r:id="rId8"/>
    <sheet name="Kamal Original" sheetId="39" state="hidden" r:id="rId9"/>
    <sheet name="Appeal MoEW 2017" sheetId="42" state="hidden" r:id="rId10"/>
  </sheets>
  <externalReferences>
    <externalReference r:id="rId11"/>
    <externalReference r:id="rId12"/>
  </externalReferences>
  <definedNames>
    <definedName name="_xlnm._FilterDatabase" localSheetId="6" hidden="1">'Population Distribution'!$A$2:$AD$37</definedName>
    <definedName name="Activity_5Activity_5_51_5551_5651_5551_5451_5551_56" localSheetId="4">'Impact 1 (2018-2021)'!$55:$63</definedName>
    <definedName name="Activity_5Activity_5_51_5551_5651_5551_5451_5551_56">'Impact 1 (2018-2020)'!$55:$63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7" i="37" l="1"/>
  <c r="F117" i="37"/>
  <c r="E9" i="46"/>
  <c r="C74" i="37"/>
  <c r="C79" i="37"/>
  <c r="C69" i="37"/>
  <c r="D74" i="37"/>
  <c r="D79" i="37"/>
  <c r="D69" i="37"/>
  <c r="E74" i="37"/>
  <c r="E79" i="37"/>
  <c r="E69" i="37"/>
  <c r="F69" i="37"/>
  <c r="E8" i="46"/>
  <c r="C38" i="37"/>
  <c r="D38" i="37"/>
  <c r="E38" i="37"/>
  <c r="F38" i="37"/>
  <c r="E7" i="46"/>
  <c r="C13" i="37"/>
  <c r="D13" i="37"/>
  <c r="E13" i="37"/>
  <c r="F13" i="37"/>
  <c r="E6" i="46"/>
  <c r="D9" i="46"/>
  <c r="D8" i="46"/>
  <c r="D7" i="46"/>
  <c r="D6" i="46"/>
  <c r="E135" i="37"/>
  <c r="V114" i="37"/>
  <c r="D135" i="37"/>
  <c r="Q114" i="37"/>
  <c r="C135" i="37"/>
  <c r="L114" i="37"/>
  <c r="R20" i="37"/>
  <c r="R45" i="37"/>
  <c r="R46" i="37"/>
  <c r="R47" i="37"/>
  <c r="M20" i="37"/>
  <c r="M45" i="37"/>
  <c r="M46" i="37"/>
  <c r="M47" i="37"/>
  <c r="H20" i="37"/>
  <c r="H45" i="37"/>
  <c r="H46" i="37"/>
  <c r="H47" i="37"/>
  <c r="O4" i="37"/>
  <c r="P4" i="37"/>
  <c r="Q4" i="37"/>
  <c r="U20" i="37"/>
  <c r="U45" i="37"/>
  <c r="U46" i="37"/>
  <c r="U47" i="37"/>
  <c r="P20" i="37"/>
  <c r="P45" i="37"/>
  <c r="P46" i="37"/>
  <c r="P47" i="37"/>
  <c r="K20" i="37"/>
  <c r="K45" i="37"/>
  <c r="K46" i="37"/>
  <c r="K47" i="37"/>
  <c r="J4" i="37"/>
  <c r="K4" i="37"/>
  <c r="L4" i="37"/>
  <c r="C12" i="39"/>
  <c r="C15" i="39"/>
  <c r="D9" i="39"/>
  <c r="C17" i="39"/>
  <c r="E17" i="39"/>
  <c r="B34" i="39"/>
  <c r="B33" i="39"/>
  <c r="B36" i="39"/>
  <c r="B37" i="39"/>
  <c r="B38" i="39"/>
  <c r="B39" i="39"/>
  <c r="B40" i="39"/>
  <c r="B41" i="39"/>
  <c r="B35" i="39"/>
  <c r="B43" i="39"/>
  <c r="B44" i="39"/>
  <c r="B45" i="39"/>
  <c r="B42" i="39"/>
  <c r="B47" i="39"/>
  <c r="B48" i="39"/>
  <c r="B46" i="39"/>
  <c r="B50" i="39"/>
  <c r="B49" i="39"/>
  <c r="B52" i="39"/>
  <c r="B53" i="39"/>
  <c r="B54" i="39"/>
  <c r="B55" i="39"/>
  <c r="B56" i="39"/>
  <c r="B57" i="39"/>
  <c r="B51" i="39"/>
  <c r="B59" i="39"/>
  <c r="B60" i="39"/>
  <c r="B61" i="39"/>
  <c r="B58" i="39"/>
  <c r="B63" i="39"/>
  <c r="B64" i="39"/>
  <c r="B65" i="39"/>
  <c r="B66" i="39"/>
  <c r="B62" i="39"/>
  <c r="B67" i="39"/>
  <c r="E33" i="39"/>
  <c r="H33" i="39"/>
  <c r="E35" i="39"/>
  <c r="H35" i="39"/>
  <c r="E42" i="39"/>
  <c r="H42" i="39"/>
  <c r="E46" i="39"/>
  <c r="H46" i="39"/>
  <c r="E49" i="39"/>
  <c r="H49" i="39"/>
  <c r="E51" i="39"/>
  <c r="H51" i="39"/>
  <c r="E58" i="39"/>
  <c r="H58" i="39"/>
  <c r="E62" i="39"/>
  <c r="H62" i="39"/>
  <c r="H67" i="39"/>
  <c r="H68" i="39"/>
  <c r="C10" i="39"/>
  <c r="D10" i="39"/>
  <c r="C18" i="39"/>
  <c r="E18" i="39"/>
  <c r="I33" i="39"/>
  <c r="I35" i="39"/>
  <c r="I42" i="39"/>
  <c r="I46" i="39"/>
  <c r="I49" i="39"/>
  <c r="I51" i="39"/>
  <c r="I58" i="39"/>
  <c r="I62" i="39"/>
  <c r="I67" i="39"/>
  <c r="I68" i="39"/>
  <c r="I69" i="39"/>
  <c r="G67" i="39"/>
  <c r="J70" i="39"/>
  <c r="J71" i="39"/>
  <c r="O5" i="37"/>
  <c r="F17" i="39"/>
  <c r="E67" i="39"/>
  <c r="M67" i="39"/>
  <c r="M68" i="39"/>
  <c r="F18" i="39"/>
  <c r="N67" i="39"/>
  <c r="N68" i="39"/>
  <c r="N69" i="39"/>
  <c r="O70" i="39"/>
  <c r="O71" i="39"/>
  <c r="G17" i="39"/>
  <c r="R67" i="39"/>
  <c r="R68" i="39"/>
  <c r="G18" i="39"/>
  <c r="S67" i="39"/>
  <c r="S68" i="39"/>
  <c r="S69" i="39"/>
  <c r="T70" i="39"/>
  <c r="T71" i="39"/>
  <c r="H17" i="39"/>
  <c r="W67" i="39"/>
  <c r="W68" i="39"/>
  <c r="H18" i="39"/>
  <c r="X67" i="39"/>
  <c r="X68" i="39"/>
  <c r="X69" i="39"/>
  <c r="Y70" i="39"/>
  <c r="Y71" i="39"/>
  <c r="P5" i="37"/>
  <c r="Q5" i="37"/>
  <c r="C33" i="39"/>
  <c r="C35" i="39"/>
  <c r="C42" i="39"/>
  <c r="C46" i="39"/>
  <c r="C49" i="39"/>
  <c r="C51" i="39"/>
  <c r="C58" i="39"/>
  <c r="C62" i="39"/>
  <c r="C67" i="39"/>
  <c r="F67" i="39"/>
  <c r="I70" i="39"/>
  <c r="I71" i="39"/>
  <c r="J5" i="37"/>
  <c r="S70" i="39"/>
  <c r="S71" i="39"/>
  <c r="N70" i="39"/>
  <c r="N71" i="39"/>
  <c r="X70" i="39"/>
  <c r="X71" i="39"/>
  <c r="K5" i="37"/>
  <c r="L5" i="37"/>
  <c r="P101" i="37"/>
  <c r="U101" i="37"/>
  <c r="P100" i="37"/>
  <c r="U100" i="37"/>
  <c r="M101" i="37"/>
  <c r="R101" i="37"/>
  <c r="M100" i="37"/>
  <c r="R100" i="37"/>
  <c r="U102" i="37"/>
  <c r="R102" i="37"/>
  <c r="U87" i="37"/>
  <c r="U86" i="37"/>
  <c r="R87" i="37"/>
  <c r="R86" i="37"/>
  <c r="P87" i="37"/>
  <c r="P86" i="37"/>
  <c r="M87" i="37"/>
  <c r="M86" i="37"/>
  <c r="U88" i="37"/>
  <c r="R88" i="37"/>
  <c r="U66" i="37"/>
  <c r="R66" i="37"/>
  <c r="V65" i="37"/>
  <c r="U65" i="37"/>
  <c r="T65" i="37"/>
  <c r="S65" i="37"/>
  <c r="R65" i="37"/>
  <c r="V35" i="37"/>
  <c r="Q35" i="37"/>
  <c r="V10" i="37"/>
  <c r="Q10" i="37"/>
  <c r="V48" i="37"/>
  <c r="V49" i="37"/>
  <c r="V51" i="37"/>
  <c r="V52" i="37"/>
  <c r="R52" i="37"/>
  <c r="Q52" i="37"/>
  <c r="Q51" i="37"/>
  <c r="Q49" i="37"/>
  <c r="Q48" i="37"/>
  <c r="M52" i="37"/>
  <c r="V23" i="37"/>
  <c r="V22" i="37"/>
  <c r="V21" i="37"/>
  <c r="Q23" i="37"/>
  <c r="Q22" i="37"/>
  <c r="Q21" i="37"/>
  <c r="U52" i="37"/>
  <c r="V50" i="37"/>
  <c r="F27" i="41"/>
  <c r="F26" i="41"/>
  <c r="F25" i="41"/>
  <c r="F24" i="41"/>
  <c r="D8" i="41"/>
  <c r="G24" i="41"/>
  <c r="M53" i="37"/>
  <c r="D39" i="37"/>
  <c r="G25" i="41"/>
  <c r="M88" i="37"/>
  <c r="M102" i="37"/>
  <c r="M65" i="37"/>
  <c r="M66" i="37"/>
  <c r="M67" i="37"/>
  <c r="P88" i="37"/>
  <c r="P102" i="37"/>
  <c r="P65" i="37"/>
  <c r="P66" i="37"/>
  <c r="P67" i="37"/>
  <c r="M68" i="37"/>
  <c r="D70" i="37"/>
  <c r="G26" i="41"/>
  <c r="G27" i="41"/>
  <c r="G29" i="41"/>
  <c r="C26" i="41"/>
  <c r="C8" i="41"/>
  <c r="C24" i="41"/>
  <c r="H24" i="37"/>
  <c r="C14" i="37"/>
  <c r="D24" i="41"/>
  <c r="C25" i="41"/>
  <c r="H53" i="37"/>
  <c r="C39" i="37"/>
  <c r="D25" i="41"/>
  <c r="H86" i="37"/>
  <c r="H87" i="37"/>
  <c r="H88" i="37"/>
  <c r="H100" i="37"/>
  <c r="H101" i="37"/>
  <c r="H102" i="37"/>
  <c r="H65" i="37"/>
  <c r="H67" i="37"/>
  <c r="K86" i="37"/>
  <c r="K87" i="37"/>
  <c r="K88" i="37"/>
  <c r="K100" i="37"/>
  <c r="K101" i="37"/>
  <c r="K102" i="37"/>
  <c r="K65" i="37"/>
  <c r="K67" i="37"/>
  <c r="H68" i="37"/>
  <c r="C70" i="37"/>
  <c r="D26" i="41"/>
  <c r="C27" i="41"/>
  <c r="D27" i="41"/>
  <c r="D29" i="41"/>
  <c r="E8" i="41"/>
  <c r="K100" i="45"/>
  <c r="K101" i="45"/>
  <c r="K102" i="45"/>
  <c r="K86" i="45"/>
  <c r="K87" i="45"/>
  <c r="K88" i="45"/>
  <c r="H52" i="45"/>
  <c r="K52" i="45"/>
  <c r="H45" i="45"/>
  <c r="K45" i="45"/>
  <c r="H46" i="45"/>
  <c r="K46" i="45"/>
  <c r="K47" i="45"/>
  <c r="K20" i="45"/>
  <c r="K143" i="45"/>
  <c r="K144" i="45"/>
  <c r="H100" i="45"/>
  <c r="H101" i="45"/>
  <c r="H102" i="45"/>
  <c r="H86" i="45"/>
  <c r="H87" i="45"/>
  <c r="H88" i="45"/>
  <c r="H47" i="45"/>
  <c r="H20" i="45"/>
  <c r="H143" i="45"/>
  <c r="H144" i="45"/>
  <c r="P100" i="45"/>
  <c r="P101" i="45"/>
  <c r="P102" i="45"/>
  <c r="P86" i="45"/>
  <c r="P87" i="45"/>
  <c r="P88" i="45"/>
  <c r="M52" i="45"/>
  <c r="P52" i="45"/>
  <c r="M45" i="45"/>
  <c r="P45" i="45"/>
  <c r="M46" i="45"/>
  <c r="P46" i="45"/>
  <c r="P47" i="45"/>
  <c r="P20" i="45"/>
  <c r="P143" i="45"/>
  <c r="M100" i="45"/>
  <c r="M101" i="45"/>
  <c r="M102" i="45"/>
  <c r="M86" i="45"/>
  <c r="M87" i="45"/>
  <c r="M88" i="45"/>
  <c r="M47" i="45"/>
  <c r="M20" i="45"/>
  <c r="M143" i="45"/>
  <c r="M65" i="45"/>
  <c r="M66" i="45"/>
  <c r="M67" i="45"/>
  <c r="P65" i="45"/>
  <c r="P66" i="45"/>
  <c r="P67" i="45"/>
  <c r="M68" i="45"/>
  <c r="D70" i="45"/>
  <c r="D71" i="45"/>
  <c r="M53" i="45"/>
  <c r="D39" i="45"/>
  <c r="D40" i="45"/>
  <c r="D137" i="45"/>
  <c r="C119" i="45"/>
  <c r="H65" i="45"/>
  <c r="H67" i="45"/>
  <c r="K65" i="45"/>
  <c r="K67" i="45"/>
  <c r="H68" i="45"/>
  <c r="C70" i="45"/>
  <c r="C71" i="45"/>
  <c r="H53" i="45"/>
  <c r="C39" i="45"/>
  <c r="C40" i="45"/>
  <c r="H24" i="45"/>
  <c r="C14" i="45"/>
  <c r="C15" i="45"/>
  <c r="C137" i="45"/>
  <c r="D136" i="45"/>
  <c r="C136" i="45"/>
  <c r="C74" i="45"/>
  <c r="C79" i="45"/>
  <c r="C69" i="45"/>
  <c r="C38" i="45"/>
  <c r="C13" i="45"/>
  <c r="C135" i="45"/>
  <c r="D74" i="45"/>
  <c r="D79" i="45"/>
  <c r="D69" i="45"/>
  <c r="D38" i="45"/>
  <c r="D13" i="45"/>
  <c r="D135" i="45"/>
  <c r="E117" i="45"/>
  <c r="E74" i="45"/>
  <c r="E79" i="45"/>
  <c r="E69" i="45"/>
  <c r="E38" i="45"/>
  <c r="E13" i="45"/>
  <c r="E135" i="45"/>
  <c r="F74" i="45"/>
  <c r="F79" i="45"/>
  <c r="F69" i="45"/>
  <c r="F38" i="45"/>
  <c r="F13" i="45"/>
  <c r="F135" i="45"/>
  <c r="H135" i="45"/>
  <c r="BO110" i="45"/>
  <c r="BO109" i="45"/>
  <c r="M103" i="45"/>
  <c r="H103" i="45"/>
  <c r="BL102" i="45"/>
  <c r="BK100" i="45"/>
  <c r="BK101" i="45"/>
  <c r="BK102" i="45"/>
  <c r="BJ102" i="45"/>
  <c r="BI102" i="45"/>
  <c r="BH100" i="45"/>
  <c r="BH101" i="45"/>
  <c r="BH102" i="45"/>
  <c r="BG102" i="45"/>
  <c r="BF100" i="45"/>
  <c r="BF101" i="45"/>
  <c r="BF102" i="45"/>
  <c r="BE102" i="45"/>
  <c r="BD102" i="45"/>
  <c r="BC100" i="45"/>
  <c r="BC101" i="45"/>
  <c r="BC102" i="45"/>
  <c r="BB102" i="45"/>
  <c r="BA100" i="45"/>
  <c r="BA101" i="45"/>
  <c r="BA102" i="45"/>
  <c r="AZ102" i="45"/>
  <c r="AY102" i="45"/>
  <c r="AX100" i="45"/>
  <c r="AX101" i="45"/>
  <c r="AX102" i="45"/>
  <c r="AW102" i="45"/>
  <c r="AV100" i="45"/>
  <c r="AV101" i="45"/>
  <c r="AV102" i="45"/>
  <c r="AU102" i="45"/>
  <c r="AT102" i="45"/>
  <c r="AS100" i="45"/>
  <c r="AS101" i="45"/>
  <c r="AS102" i="45"/>
  <c r="AR102" i="45"/>
  <c r="AQ100" i="45"/>
  <c r="AQ101" i="45"/>
  <c r="AQ102" i="45"/>
  <c r="AP102" i="45"/>
  <c r="AO102" i="45"/>
  <c r="AN100" i="45"/>
  <c r="AN101" i="45"/>
  <c r="AN102" i="45"/>
  <c r="AM102" i="45"/>
  <c r="AL100" i="45"/>
  <c r="AL101" i="45"/>
  <c r="AL102" i="45"/>
  <c r="AK102" i="45"/>
  <c r="AJ102" i="45"/>
  <c r="AI100" i="45"/>
  <c r="AI101" i="45"/>
  <c r="AI102" i="45"/>
  <c r="AH102" i="45"/>
  <c r="AG100" i="45"/>
  <c r="AG101" i="45"/>
  <c r="AG102" i="45"/>
  <c r="AF102" i="45"/>
  <c r="AE102" i="45"/>
  <c r="AD100" i="45"/>
  <c r="AD101" i="45"/>
  <c r="AD102" i="45"/>
  <c r="AC102" i="45"/>
  <c r="AB100" i="45"/>
  <c r="AB101" i="45"/>
  <c r="AB102" i="45"/>
  <c r="AA102" i="45"/>
  <c r="Z102" i="45"/>
  <c r="Y100" i="45"/>
  <c r="Y101" i="45"/>
  <c r="Y102" i="45"/>
  <c r="M89" i="45"/>
  <c r="H89" i="45"/>
  <c r="BL88" i="45"/>
  <c r="BK86" i="45"/>
  <c r="BK87" i="45"/>
  <c r="BK88" i="45"/>
  <c r="BJ88" i="45"/>
  <c r="BI88" i="45"/>
  <c r="BH86" i="45"/>
  <c r="BH87" i="45"/>
  <c r="BH88" i="45"/>
  <c r="BG88" i="45"/>
  <c r="BF86" i="45"/>
  <c r="BF87" i="45"/>
  <c r="BF88" i="45"/>
  <c r="BE88" i="45"/>
  <c r="BD88" i="45"/>
  <c r="BC86" i="45"/>
  <c r="BC87" i="45"/>
  <c r="BC88" i="45"/>
  <c r="BB88" i="45"/>
  <c r="BA86" i="45"/>
  <c r="BA87" i="45"/>
  <c r="BA88" i="45"/>
  <c r="AZ88" i="45"/>
  <c r="AY88" i="45"/>
  <c r="AX86" i="45"/>
  <c r="AX87" i="45"/>
  <c r="AX88" i="45"/>
  <c r="AW88" i="45"/>
  <c r="AV86" i="45"/>
  <c r="AV87" i="45"/>
  <c r="AV88" i="45"/>
  <c r="AU88" i="45"/>
  <c r="AT88" i="45"/>
  <c r="AS86" i="45"/>
  <c r="AS87" i="45"/>
  <c r="AS88" i="45"/>
  <c r="AR88" i="45"/>
  <c r="AQ86" i="45"/>
  <c r="AQ87" i="45"/>
  <c r="AQ88" i="45"/>
  <c r="AP88" i="45"/>
  <c r="AO88" i="45"/>
  <c r="AN86" i="45"/>
  <c r="AN87" i="45"/>
  <c r="AN88" i="45"/>
  <c r="AM88" i="45"/>
  <c r="AL86" i="45"/>
  <c r="AL87" i="45"/>
  <c r="AL88" i="45"/>
  <c r="AK88" i="45"/>
  <c r="AJ88" i="45"/>
  <c r="AI86" i="45"/>
  <c r="AI87" i="45"/>
  <c r="AI88" i="45"/>
  <c r="AH88" i="45"/>
  <c r="AG86" i="45"/>
  <c r="AG87" i="45"/>
  <c r="AG88" i="45"/>
  <c r="AF88" i="45"/>
  <c r="AE88" i="45"/>
  <c r="AD86" i="45"/>
  <c r="AD87" i="45"/>
  <c r="AD88" i="45"/>
  <c r="AC88" i="45"/>
  <c r="AB86" i="45"/>
  <c r="AB87" i="45"/>
  <c r="AB88" i="45"/>
  <c r="AA88" i="45"/>
  <c r="Z88" i="45"/>
  <c r="Y86" i="45"/>
  <c r="Y87" i="45"/>
  <c r="Y88" i="45"/>
  <c r="D80" i="45"/>
  <c r="D81" i="45"/>
  <c r="C80" i="45"/>
  <c r="C81" i="45"/>
  <c r="D75" i="45"/>
  <c r="D76" i="45"/>
  <c r="C75" i="45"/>
  <c r="C76" i="45"/>
  <c r="G69" i="45"/>
  <c r="Q65" i="45"/>
  <c r="O65" i="45"/>
  <c r="N65" i="45"/>
  <c r="L65" i="45"/>
  <c r="J65" i="45"/>
  <c r="I65" i="45"/>
  <c r="L48" i="45"/>
  <c r="BL48" i="45"/>
  <c r="L49" i="45"/>
  <c r="BL49" i="45"/>
  <c r="BL52" i="45"/>
  <c r="BK52" i="45"/>
  <c r="BH52" i="45"/>
  <c r="BG48" i="45"/>
  <c r="BG49" i="45"/>
  <c r="BG52" i="45"/>
  <c r="BF52" i="45"/>
  <c r="BC52" i="45"/>
  <c r="BB48" i="45"/>
  <c r="BB49" i="45"/>
  <c r="BB52" i="45"/>
  <c r="BA52" i="45"/>
  <c r="AX52" i="45"/>
  <c r="AW48" i="45"/>
  <c r="AW49" i="45"/>
  <c r="AW52" i="45"/>
  <c r="AV52" i="45"/>
  <c r="AS52" i="45"/>
  <c r="AR48" i="45"/>
  <c r="AR49" i="45"/>
  <c r="AR52" i="45"/>
  <c r="AQ52" i="45"/>
  <c r="AN52" i="45"/>
  <c r="AM48" i="45"/>
  <c r="AM49" i="45"/>
  <c r="AM52" i="45"/>
  <c r="AL52" i="45"/>
  <c r="AI52" i="45"/>
  <c r="AH48" i="45"/>
  <c r="AH49" i="45"/>
  <c r="AH52" i="45"/>
  <c r="AG52" i="45"/>
  <c r="AD52" i="45"/>
  <c r="AC48" i="45"/>
  <c r="AC49" i="45"/>
  <c r="AC52" i="45"/>
  <c r="AB52" i="45"/>
  <c r="Y52" i="45"/>
  <c r="Q52" i="45"/>
  <c r="L52" i="45"/>
  <c r="L51" i="45"/>
  <c r="BL51" i="45"/>
  <c r="BG51" i="45"/>
  <c r="BB51" i="45"/>
  <c r="AW51" i="45"/>
  <c r="AR51" i="45"/>
  <c r="AM51" i="45"/>
  <c r="AH51" i="45"/>
  <c r="AC51" i="45"/>
  <c r="Q51" i="45"/>
  <c r="BL47" i="45"/>
  <c r="BL50" i="45"/>
  <c r="BG47" i="45"/>
  <c r="BG50" i="45"/>
  <c r="BB47" i="45"/>
  <c r="BB50" i="45"/>
  <c r="BA45" i="45"/>
  <c r="BA46" i="45"/>
  <c r="BA47" i="45"/>
  <c r="BA50" i="45"/>
  <c r="AW47" i="45"/>
  <c r="AW50" i="45"/>
  <c r="AR47" i="45"/>
  <c r="AR50" i="45"/>
  <c r="AM47" i="45"/>
  <c r="AM50" i="45"/>
  <c r="AH47" i="45"/>
  <c r="AH50" i="45"/>
  <c r="AC47" i="45"/>
  <c r="AC50" i="45"/>
  <c r="Q48" i="45"/>
  <c r="Q49" i="45"/>
  <c r="Q50" i="45"/>
  <c r="L50" i="45"/>
  <c r="BN49" i="45"/>
  <c r="BN48" i="45"/>
  <c r="BK45" i="45"/>
  <c r="BK46" i="45"/>
  <c r="BK47" i="45"/>
  <c r="BJ47" i="45"/>
  <c r="BI47" i="45"/>
  <c r="BH45" i="45"/>
  <c r="BH46" i="45"/>
  <c r="BH47" i="45"/>
  <c r="BF45" i="45"/>
  <c r="BF46" i="45"/>
  <c r="BF47" i="45"/>
  <c r="BE47" i="45"/>
  <c r="BD47" i="45"/>
  <c r="BC45" i="45"/>
  <c r="BC46" i="45"/>
  <c r="BC47" i="45"/>
  <c r="AZ47" i="45"/>
  <c r="AY47" i="45"/>
  <c r="AX45" i="45"/>
  <c r="AX46" i="45"/>
  <c r="AX47" i="45"/>
  <c r="AV45" i="45"/>
  <c r="AV46" i="45"/>
  <c r="AV47" i="45"/>
  <c r="AU47" i="45"/>
  <c r="AT47" i="45"/>
  <c r="AS45" i="45"/>
  <c r="AS46" i="45"/>
  <c r="AS47" i="45"/>
  <c r="AQ45" i="45"/>
  <c r="AQ46" i="45"/>
  <c r="AQ47" i="45"/>
  <c r="AP47" i="45"/>
  <c r="AO47" i="45"/>
  <c r="AN45" i="45"/>
  <c r="AN46" i="45"/>
  <c r="AN47" i="45"/>
  <c r="AL45" i="45"/>
  <c r="AL46" i="45"/>
  <c r="AL47" i="45"/>
  <c r="AK47" i="45"/>
  <c r="AJ47" i="45"/>
  <c r="AI45" i="45"/>
  <c r="AI46" i="45"/>
  <c r="AI47" i="45"/>
  <c r="AG45" i="45"/>
  <c r="AG46" i="45"/>
  <c r="AG47" i="45"/>
  <c r="AF47" i="45"/>
  <c r="AE47" i="45"/>
  <c r="AD45" i="45"/>
  <c r="AD46" i="45"/>
  <c r="AD47" i="45"/>
  <c r="AB45" i="45"/>
  <c r="AB46" i="45"/>
  <c r="AB47" i="45"/>
  <c r="AA47" i="45"/>
  <c r="Z47" i="45"/>
  <c r="Y45" i="45"/>
  <c r="Y46" i="45"/>
  <c r="Y47" i="45"/>
  <c r="BM46" i="45"/>
  <c r="BM45" i="45"/>
  <c r="BZ24" i="45"/>
  <c r="M24" i="45"/>
  <c r="BW23" i="45"/>
  <c r="BV23" i="45"/>
  <c r="L23" i="45"/>
  <c r="BV21" i="45"/>
  <c r="BG23" i="45"/>
  <c r="BL23" i="45"/>
  <c r="BV20" i="45"/>
  <c r="AW23" i="45"/>
  <c r="BB23" i="45"/>
  <c r="BV19" i="45"/>
  <c r="AM23" i="45"/>
  <c r="AR23" i="45"/>
  <c r="BV22" i="45"/>
  <c r="AC23" i="45"/>
  <c r="AH23" i="45"/>
  <c r="Q23" i="45"/>
  <c r="BW22" i="45"/>
  <c r="L22" i="45"/>
  <c r="BQ20" i="45"/>
  <c r="BG22" i="45"/>
  <c r="BL22" i="45"/>
  <c r="BQ19" i="45"/>
  <c r="AW22" i="45"/>
  <c r="BB22" i="45"/>
  <c r="BQ18" i="45"/>
  <c r="AM22" i="45"/>
  <c r="AR22" i="45"/>
  <c r="BQ21" i="45"/>
  <c r="AC22" i="45"/>
  <c r="AH22" i="45"/>
  <c r="Q22" i="45"/>
  <c r="BW21" i="45"/>
  <c r="L21" i="45"/>
  <c r="BL21" i="45"/>
  <c r="BK21" i="45"/>
  <c r="BH21" i="45"/>
  <c r="BG21" i="45"/>
  <c r="BF21" i="45"/>
  <c r="BC21" i="45"/>
  <c r="BB21" i="45"/>
  <c r="BA21" i="45"/>
  <c r="AX21" i="45"/>
  <c r="AW21" i="45"/>
  <c r="AV21" i="45"/>
  <c r="AS21" i="45"/>
  <c r="AR21" i="45"/>
  <c r="AQ21" i="45"/>
  <c r="AN21" i="45"/>
  <c r="AM21" i="45"/>
  <c r="AL21" i="45"/>
  <c r="AI21" i="45"/>
  <c r="AH21" i="45"/>
  <c r="AG21" i="45"/>
  <c r="AD21" i="45"/>
  <c r="AC21" i="45"/>
  <c r="AB21" i="45"/>
  <c r="Y21" i="45"/>
  <c r="Q21" i="45"/>
  <c r="BW20" i="45"/>
  <c r="BK20" i="45"/>
  <c r="BH20" i="45"/>
  <c r="BF20" i="45"/>
  <c r="BC20" i="45"/>
  <c r="BA20" i="45"/>
  <c r="AX20" i="45"/>
  <c r="AV20" i="45"/>
  <c r="AS20" i="45"/>
  <c r="AQ20" i="45"/>
  <c r="AN20" i="45"/>
  <c r="AL20" i="45"/>
  <c r="AI20" i="45"/>
  <c r="AG20" i="45"/>
  <c r="AD20" i="45"/>
  <c r="AB20" i="45"/>
  <c r="Y20" i="45"/>
  <c r="BW19" i="45"/>
  <c r="O5" i="45"/>
  <c r="M5" i="45"/>
  <c r="N5" i="45"/>
  <c r="K5" i="45"/>
  <c r="I5" i="45"/>
  <c r="J5" i="45"/>
  <c r="O4" i="45"/>
  <c r="N4" i="45"/>
  <c r="K4" i="45"/>
  <c r="J4" i="45"/>
  <c r="A23" i="41"/>
  <c r="E25" i="41"/>
  <c r="E26" i="41"/>
  <c r="E27" i="41"/>
  <c r="E24" i="41"/>
  <c r="H25" i="41"/>
  <c r="H26" i="41"/>
  <c r="H27" i="41"/>
  <c r="H24" i="41"/>
  <c r="D71" i="37"/>
  <c r="D40" i="37"/>
  <c r="D137" i="37"/>
  <c r="D136" i="37"/>
  <c r="C119" i="37"/>
  <c r="C71" i="37"/>
  <c r="C40" i="37"/>
  <c r="C15" i="37"/>
  <c r="C137" i="37"/>
  <c r="C136" i="37"/>
  <c r="M103" i="37"/>
  <c r="D80" i="37"/>
  <c r="D81" i="37"/>
  <c r="M89" i="37"/>
  <c r="D75" i="37"/>
  <c r="D76" i="37"/>
  <c r="H103" i="37"/>
  <c r="C80" i="37"/>
  <c r="H89" i="37"/>
  <c r="C75" i="37"/>
  <c r="Q65" i="37"/>
  <c r="O65" i="37"/>
  <c r="N65" i="37"/>
  <c r="L65" i="37"/>
  <c r="J65" i="37"/>
  <c r="I65" i="37"/>
  <c r="C81" i="37"/>
  <c r="C76" i="37"/>
  <c r="BV23" i="37"/>
  <c r="BW23" i="37"/>
  <c r="AO123" i="44"/>
  <c r="AO142" i="44"/>
  <c r="AO143" i="44"/>
  <c r="AO144" i="44"/>
  <c r="AO141" i="44"/>
  <c r="AK123" i="44"/>
  <c r="AK138" i="44"/>
  <c r="AK139" i="44"/>
  <c r="AK137" i="44"/>
  <c r="AG123" i="44"/>
  <c r="AG134" i="44"/>
  <c r="AG133" i="44"/>
  <c r="AC123" i="44"/>
  <c r="AC138" i="44"/>
  <c r="AC139" i="44"/>
  <c r="AC137" i="44"/>
  <c r="T123" i="44"/>
  <c r="T150" i="44"/>
  <c r="T151" i="44"/>
  <c r="T152" i="44"/>
  <c r="T153" i="44"/>
  <c r="T154" i="44"/>
  <c r="T149" i="44"/>
  <c r="P123" i="44"/>
  <c r="P150" i="44"/>
  <c r="P151" i="44"/>
  <c r="P152" i="44"/>
  <c r="P153" i="44"/>
  <c r="P154" i="44"/>
  <c r="P149" i="44"/>
  <c r="X123" i="44"/>
  <c r="K123" i="44"/>
  <c r="AT18" i="44"/>
  <c r="AT19" i="44"/>
  <c r="AT20" i="44"/>
  <c r="AO16" i="44"/>
  <c r="AO17" i="44"/>
  <c r="AO15" i="44"/>
  <c r="AJ13" i="44"/>
  <c r="AE16" i="44"/>
  <c r="AE17" i="44"/>
  <c r="V23" i="44"/>
  <c r="V24" i="44"/>
  <c r="V25" i="44"/>
  <c r="V26" i="44"/>
  <c r="V21" i="44"/>
  <c r="V22" i="44"/>
  <c r="Q22" i="44"/>
  <c r="Q23" i="44"/>
  <c r="AO138" i="44"/>
  <c r="AO139" i="44"/>
  <c r="AO140" i="44"/>
  <c r="AO137" i="44"/>
  <c r="AN138" i="44"/>
  <c r="AN139" i="44"/>
  <c r="AN140" i="44"/>
  <c r="AN137" i="44"/>
  <c r="AO134" i="44"/>
  <c r="AO135" i="44"/>
  <c r="AO136" i="44"/>
  <c r="AO133" i="44"/>
  <c r="AN134" i="44"/>
  <c r="AN135" i="44"/>
  <c r="AN136" i="44"/>
  <c r="AN133" i="44"/>
  <c r="AO130" i="44"/>
  <c r="AO131" i="44"/>
  <c r="AO132" i="44"/>
  <c r="AO129" i="44"/>
  <c r="AN130" i="44"/>
  <c r="AN131" i="44"/>
  <c r="AN132" i="44"/>
  <c r="AN129" i="44"/>
  <c r="AK135" i="44"/>
  <c r="AK136" i="44"/>
  <c r="AK134" i="44"/>
  <c r="AJ135" i="44"/>
  <c r="AJ136" i="44"/>
  <c r="AJ134" i="44"/>
  <c r="AK132" i="44"/>
  <c r="AK133" i="44"/>
  <c r="AK131" i="44"/>
  <c r="AJ132" i="44"/>
  <c r="AJ133" i="44"/>
  <c r="AJ131" i="44"/>
  <c r="AK129" i="44"/>
  <c r="AK130" i="44"/>
  <c r="AK128" i="44"/>
  <c r="AJ129" i="44"/>
  <c r="AJ130" i="44"/>
  <c r="AJ128" i="44"/>
  <c r="AG132" i="44"/>
  <c r="AG131" i="44"/>
  <c r="AF132" i="44"/>
  <c r="AF131" i="44"/>
  <c r="AG130" i="44"/>
  <c r="AG129" i="44"/>
  <c r="AF130" i="44"/>
  <c r="AF129" i="44"/>
  <c r="AG128" i="44"/>
  <c r="AG127" i="44"/>
  <c r="AF128" i="44"/>
  <c r="AF127" i="44"/>
  <c r="AC135" i="44"/>
  <c r="AC136" i="44"/>
  <c r="AC134" i="44"/>
  <c r="AB135" i="44"/>
  <c r="AB136" i="44"/>
  <c r="AB134" i="44"/>
  <c r="AC132" i="44"/>
  <c r="AC133" i="44"/>
  <c r="AC131" i="44"/>
  <c r="AB132" i="44"/>
  <c r="AB133" i="44"/>
  <c r="AB131" i="44"/>
  <c r="AC129" i="44"/>
  <c r="AC130" i="44"/>
  <c r="AC128" i="44"/>
  <c r="AB129" i="44"/>
  <c r="AB130" i="44"/>
  <c r="AB128" i="44"/>
  <c r="T144" i="44"/>
  <c r="T145" i="44"/>
  <c r="T146" i="44"/>
  <c r="T147" i="44"/>
  <c r="T148" i="44"/>
  <c r="T143" i="44"/>
  <c r="S144" i="44"/>
  <c r="S145" i="44"/>
  <c r="S146" i="44"/>
  <c r="S147" i="44"/>
  <c r="S148" i="44"/>
  <c r="S143" i="44"/>
  <c r="T138" i="44"/>
  <c r="T139" i="44"/>
  <c r="T140" i="44"/>
  <c r="T141" i="44"/>
  <c r="T142" i="44"/>
  <c r="T137" i="44"/>
  <c r="S138" i="44"/>
  <c r="S139" i="44"/>
  <c r="S140" i="44"/>
  <c r="S141" i="44"/>
  <c r="S142" i="44"/>
  <c r="S137" i="44"/>
  <c r="T132" i="44"/>
  <c r="T133" i="44"/>
  <c r="T134" i="44"/>
  <c r="T135" i="44"/>
  <c r="T136" i="44"/>
  <c r="T131" i="44"/>
  <c r="S132" i="44"/>
  <c r="S133" i="44"/>
  <c r="S134" i="44"/>
  <c r="S135" i="44"/>
  <c r="S136" i="44"/>
  <c r="S131" i="44"/>
  <c r="P144" i="44"/>
  <c r="P145" i="44"/>
  <c r="P146" i="44"/>
  <c r="P147" i="44"/>
  <c r="P148" i="44"/>
  <c r="P143" i="44"/>
  <c r="O144" i="44"/>
  <c r="O145" i="44"/>
  <c r="O146" i="44"/>
  <c r="O147" i="44"/>
  <c r="O148" i="44"/>
  <c r="O143" i="44"/>
  <c r="P138" i="44"/>
  <c r="P139" i="44"/>
  <c r="P140" i="44"/>
  <c r="P141" i="44"/>
  <c r="P142" i="44"/>
  <c r="P137" i="44"/>
  <c r="O138" i="44"/>
  <c r="O139" i="44"/>
  <c r="O140" i="44"/>
  <c r="O141" i="44"/>
  <c r="O142" i="44"/>
  <c r="O137" i="44"/>
  <c r="P132" i="44"/>
  <c r="P133" i="44"/>
  <c r="P134" i="44"/>
  <c r="P135" i="44"/>
  <c r="P136" i="44"/>
  <c r="P131" i="44"/>
  <c r="O132" i="44"/>
  <c r="O133" i="44"/>
  <c r="O134" i="44"/>
  <c r="O135" i="44"/>
  <c r="O136" i="44"/>
  <c r="O131" i="44"/>
  <c r="AP104" i="44"/>
  <c r="AP105" i="44"/>
  <c r="AP106" i="44"/>
  <c r="AP103" i="44"/>
  <c r="AP100" i="44"/>
  <c r="AP101" i="44"/>
  <c r="AP102" i="44"/>
  <c r="AP99" i="44"/>
  <c r="AO104" i="44"/>
  <c r="AO105" i="44"/>
  <c r="AO106" i="44"/>
  <c r="AO103" i="44"/>
  <c r="AO100" i="44"/>
  <c r="AO101" i="44"/>
  <c r="AO102" i="44"/>
  <c r="AO99" i="44"/>
  <c r="AL102" i="44"/>
  <c r="AL103" i="44"/>
  <c r="AL101" i="44"/>
  <c r="AK102" i="44"/>
  <c r="AK103" i="44"/>
  <c r="AK101" i="44"/>
  <c r="AL99" i="44"/>
  <c r="AL100" i="44"/>
  <c r="AL98" i="44"/>
  <c r="AK99" i="44"/>
  <c r="AK100" i="44"/>
  <c r="AK98" i="44"/>
  <c r="AH100" i="44"/>
  <c r="AH99" i="44"/>
  <c r="AG100" i="44"/>
  <c r="AG99" i="44"/>
  <c r="AH98" i="44"/>
  <c r="AH97" i="44"/>
  <c r="AG98" i="44"/>
  <c r="AG97" i="44"/>
  <c r="AD102" i="44"/>
  <c r="AD103" i="44"/>
  <c r="AD101" i="44"/>
  <c r="AC102" i="44"/>
  <c r="AC103" i="44"/>
  <c r="AC101" i="44"/>
  <c r="AD99" i="44"/>
  <c r="AD100" i="44"/>
  <c r="AD98" i="44"/>
  <c r="AC99" i="44"/>
  <c r="AC100" i="44"/>
  <c r="AC98" i="44"/>
  <c r="T108" i="44"/>
  <c r="U108" i="44"/>
  <c r="T109" i="44"/>
  <c r="U109" i="44"/>
  <c r="T110" i="44"/>
  <c r="U110" i="44"/>
  <c r="T111" i="44"/>
  <c r="U111" i="44"/>
  <c r="T112" i="44"/>
  <c r="U112" i="44"/>
  <c r="U107" i="44"/>
  <c r="T107" i="44"/>
  <c r="U102" i="44"/>
  <c r="U103" i="44"/>
  <c r="U104" i="44"/>
  <c r="U105" i="44"/>
  <c r="U106" i="44"/>
  <c r="U101" i="44"/>
  <c r="T102" i="44"/>
  <c r="T103" i="44"/>
  <c r="T104" i="44"/>
  <c r="T105" i="44"/>
  <c r="T106" i="44"/>
  <c r="T101" i="44"/>
  <c r="Q108" i="44"/>
  <c r="Q109" i="44"/>
  <c r="Q110" i="44"/>
  <c r="Q111" i="44"/>
  <c r="Q112" i="44"/>
  <c r="Q107" i="44"/>
  <c r="P108" i="44"/>
  <c r="P109" i="44"/>
  <c r="P110" i="44"/>
  <c r="P111" i="44"/>
  <c r="P112" i="44"/>
  <c r="P107" i="44"/>
  <c r="Q102" i="44"/>
  <c r="Q103" i="44"/>
  <c r="Q104" i="44"/>
  <c r="Q105" i="44"/>
  <c r="Q106" i="44"/>
  <c r="Q101" i="44"/>
  <c r="P102" i="44"/>
  <c r="P103" i="44"/>
  <c r="P104" i="44"/>
  <c r="P105" i="44"/>
  <c r="P106" i="44"/>
  <c r="P101" i="44"/>
  <c r="G93" i="44"/>
  <c r="G92" i="44"/>
  <c r="F93" i="44"/>
  <c r="F92" i="44"/>
  <c r="AR72" i="44"/>
  <c r="AS72" i="44"/>
  <c r="AR73" i="44"/>
  <c r="AS73" i="44"/>
  <c r="AR74" i="44"/>
  <c r="AS74" i="44"/>
  <c r="AS71" i="44"/>
  <c r="AR71" i="44"/>
  <c r="AT72" i="44"/>
  <c r="AT73" i="44"/>
  <c r="AT74" i="44"/>
  <c r="AT71" i="44"/>
  <c r="AT68" i="44"/>
  <c r="AT69" i="44"/>
  <c r="AT70" i="44"/>
  <c r="AT67" i="44"/>
  <c r="AT64" i="44"/>
  <c r="AT65" i="44"/>
  <c r="AT66" i="44"/>
  <c r="AT63" i="44"/>
  <c r="AT61" i="44"/>
  <c r="AT62" i="44"/>
  <c r="AT60" i="44"/>
  <c r="AT56" i="44"/>
  <c r="AT57" i="44"/>
  <c r="AT58" i="44"/>
  <c r="AR52" i="44"/>
  <c r="AS52" i="44"/>
  <c r="AR53" i="44"/>
  <c r="AS53" i="44"/>
  <c r="AR54" i="44"/>
  <c r="AS54" i="44"/>
  <c r="AS51" i="44"/>
  <c r="AR51" i="44"/>
  <c r="AM65" i="44"/>
  <c r="AN65" i="44"/>
  <c r="AM66" i="44"/>
  <c r="AN66" i="44"/>
  <c r="AN64" i="44"/>
  <c r="AM64" i="44"/>
  <c r="AO65" i="44"/>
  <c r="AO66" i="44"/>
  <c r="AO64" i="44"/>
  <c r="AO62" i="44"/>
  <c r="AO63" i="44"/>
  <c r="AO61" i="44"/>
  <c r="AO59" i="44"/>
  <c r="AO60" i="44"/>
  <c r="AO58" i="44"/>
  <c r="AO56" i="44"/>
  <c r="AO57" i="44"/>
  <c r="AO55" i="44"/>
  <c r="AO53" i="44"/>
  <c r="AO54" i="44"/>
  <c r="AO52" i="44"/>
  <c r="AM50" i="44"/>
  <c r="AN50" i="44"/>
  <c r="AM51" i="44"/>
  <c r="AN51" i="44"/>
  <c r="AN49" i="44"/>
  <c r="AM49" i="44"/>
  <c r="AJ58" i="44"/>
  <c r="AH58" i="44"/>
  <c r="AI58" i="44"/>
  <c r="AI57" i="44"/>
  <c r="AH57" i="44"/>
  <c r="AJ57" i="44"/>
  <c r="AJ56" i="44"/>
  <c r="AJ55" i="44"/>
  <c r="AJ52" i="44"/>
  <c r="AJ51" i="44"/>
  <c r="AJ50" i="44"/>
  <c r="AJ49" i="44"/>
  <c r="AJ54" i="44"/>
  <c r="AJ53" i="44"/>
  <c r="AH48" i="44"/>
  <c r="AI48" i="44"/>
  <c r="AI47" i="44"/>
  <c r="AH47" i="44"/>
  <c r="AC65" i="44"/>
  <c r="AD65" i="44"/>
  <c r="AE65" i="44"/>
  <c r="AC66" i="44"/>
  <c r="AD66" i="44"/>
  <c r="AE66" i="44"/>
  <c r="AD64" i="44"/>
  <c r="AC64" i="44"/>
  <c r="AE60" i="44"/>
  <c r="AE53" i="44"/>
  <c r="AE52" i="44"/>
  <c r="AD50" i="44"/>
  <c r="AD51" i="44"/>
  <c r="AD49" i="44"/>
  <c r="AC51" i="44"/>
  <c r="AC50" i="44"/>
  <c r="AC49" i="44"/>
  <c r="U82" i="44"/>
  <c r="U83" i="44"/>
  <c r="U84" i="44"/>
  <c r="U85" i="44"/>
  <c r="U86" i="44"/>
  <c r="U81" i="44"/>
  <c r="T82" i="44"/>
  <c r="T83" i="44"/>
  <c r="T84" i="44"/>
  <c r="T85" i="44"/>
  <c r="T86" i="44"/>
  <c r="T81" i="44"/>
  <c r="V82" i="44"/>
  <c r="V83" i="44"/>
  <c r="V84" i="44"/>
  <c r="V85" i="44"/>
  <c r="V86" i="44"/>
  <c r="V81" i="44"/>
  <c r="V76" i="44"/>
  <c r="V77" i="44"/>
  <c r="V78" i="44"/>
  <c r="V79" i="44"/>
  <c r="V80" i="44"/>
  <c r="V75" i="44"/>
  <c r="V70" i="44"/>
  <c r="V71" i="44"/>
  <c r="V72" i="44"/>
  <c r="V73" i="44"/>
  <c r="V74" i="44"/>
  <c r="V69" i="44"/>
  <c r="V66" i="44"/>
  <c r="V67" i="44"/>
  <c r="V68" i="44"/>
  <c r="V65" i="44"/>
  <c r="V62" i="44"/>
  <c r="V63" i="44"/>
  <c r="V64" i="44"/>
  <c r="V61" i="44"/>
  <c r="O80" i="44"/>
  <c r="P80" i="44"/>
  <c r="Q80" i="44"/>
  <c r="O81" i="44"/>
  <c r="P81" i="44"/>
  <c r="Q81" i="44"/>
  <c r="O82" i="44"/>
  <c r="P82" i="44"/>
  <c r="Q82" i="44"/>
  <c r="O83" i="44"/>
  <c r="P83" i="44"/>
  <c r="Q83" i="44"/>
  <c r="O84" i="44"/>
  <c r="P84" i="44"/>
  <c r="Q84" i="44"/>
  <c r="Q79" i="44"/>
  <c r="P79" i="44"/>
  <c r="O79" i="44"/>
  <c r="Q74" i="44"/>
  <c r="Q75" i="44"/>
  <c r="Q76" i="44"/>
  <c r="Q77" i="44"/>
  <c r="Q78" i="44"/>
  <c r="Q73" i="44"/>
  <c r="Q68" i="44"/>
  <c r="Q69" i="44"/>
  <c r="Q70" i="44"/>
  <c r="Q71" i="44"/>
  <c r="Q72" i="44"/>
  <c r="Q67" i="44"/>
  <c r="Q63" i="44"/>
  <c r="Q62" i="44"/>
  <c r="Q61" i="44"/>
  <c r="T56" i="44"/>
  <c r="U56" i="44"/>
  <c r="T57" i="44"/>
  <c r="U57" i="44"/>
  <c r="T58" i="44"/>
  <c r="U58" i="44"/>
  <c r="T59" i="44"/>
  <c r="U59" i="44"/>
  <c r="T60" i="44"/>
  <c r="U60" i="44"/>
  <c r="U55" i="44"/>
  <c r="T55" i="44"/>
  <c r="P55" i="44"/>
  <c r="O56" i="44"/>
  <c r="P56" i="44"/>
  <c r="O57" i="44"/>
  <c r="P57" i="44"/>
  <c r="O58" i="44"/>
  <c r="P58" i="44"/>
  <c r="O59" i="44"/>
  <c r="P59" i="44"/>
  <c r="O60" i="44"/>
  <c r="P60" i="44"/>
  <c r="O55" i="44"/>
  <c r="AR48" i="44"/>
  <c r="AS48" i="44"/>
  <c r="AR49" i="44"/>
  <c r="AS49" i="44"/>
  <c r="AR50" i="44"/>
  <c r="AS50" i="44"/>
  <c r="AS47" i="44"/>
  <c r="AR47" i="44"/>
  <c r="AM47" i="44"/>
  <c r="AN47" i="44"/>
  <c r="AM48" i="44"/>
  <c r="AN48" i="44"/>
  <c r="AN46" i="44"/>
  <c r="AM46" i="44"/>
  <c r="AI46" i="44"/>
  <c r="AI45" i="44"/>
  <c r="AH46" i="44"/>
  <c r="AH45" i="44"/>
  <c r="AC47" i="44"/>
  <c r="AD47" i="44"/>
  <c r="AC48" i="44"/>
  <c r="AD48" i="44"/>
  <c r="AD46" i="44"/>
  <c r="AC46" i="44"/>
  <c r="P49" i="44"/>
  <c r="O49" i="44"/>
  <c r="T50" i="44"/>
  <c r="U50" i="44"/>
  <c r="T51" i="44"/>
  <c r="U51" i="44"/>
  <c r="T52" i="44"/>
  <c r="U52" i="44"/>
  <c r="T53" i="44"/>
  <c r="U53" i="44"/>
  <c r="T54" i="44"/>
  <c r="U54" i="44"/>
  <c r="U49" i="44"/>
  <c r="T49" i="44"/>
  <c r="O50" i="44"/>
  <c r="P50" i="44"/>
  <c r="O51" i="44"/>
  <c r="P51" i="44"/>
  <c r="O52" i="44"/>
  <c r="P52" i="44"/>
  <c r="O53" i="44"/>
  <c r="P53" i="44"/>
  <c r="O54" i="44"/>
  <c r="P54" i="44"/>
  <c r="H39" i="44"/>
  <c r="F39" i="44"/>
  <c r="G39" i="44"/>
  <c r="H38" i="44"/>
  <c r="H35" i="44"/>
  <c r="H36" i="44"/>
  <c r="H37" i="44"/>
  <c r="F33" i="44"/>
  <c r="G33" i="44"/>
  <c r="F34" i="44"/>
  <c r="G34" i="44"/>
  <c r="AR14" i="44"/>
  <c r="AS14" i="44"/>
  <c r="AR15" i="44"/>
  <c r="AS15" i="44"/>
  <c r="AR16" i="44"/>
  <c r="AS16" i="44"/>
  <c r="AS13" i="44"/>
  <c r="AR13" i="44"/>
  <c r="AM13" i="44"/>
  <c r="AN13" i="44"/>
  <c r="AM14" i="44"/>
  <c r="AN14" i="44"/>
  <c r="AM12" i="44"/>
  <c r="AN12" i="44"/>
  <c r="AH12" i="44"/>
  <c r="AI12" i="44"/>
  <c r="AH11" i="44"/>
  <c r="AI11" i="44"/>
  <c r="AC13" i="44"/>
  <c r="AD13" i="44"/>
  <c r="AC14" i="44"/>
  <c r="AD14" i="44"/>
  <c r="AD12" i="44"/>
  <c r="AC12" i="44"/>
  <c r="T16" i="44"/>
  <c r="U16" i="44"/>
  <c r="T17" i="44"/>
  <c r="U17" i="44"/>
  <c r="T18" i="44"/>
  <c r="U18" i="44"/>
  <c r="T19" i="44"/>
  <c r="U19" i="44"/>
  <c r="T20" i="44"/>
  <c r="U20" i="44"/>
  <c r="U15" i="44"/>
  <c r="T15" i="44"/>
  <c r="C32" i="40"/>
  <c r="G34" i="40"/>
  <c r="H34" i="40"/>
  <c r="G35" i="40"/>
  <c r="H35" i="40"/>
  <c r="G36" i="40"/>
  <c r="H36" i="40"/>
  <c r="H33" i="40"/>
  <c r="G33" i="40"/>
  <c r="C28" i="40"/>
  <c r="G30" i="40"/>
  <c r="H30" i="40"/>
  <c r="G31" i="40"/>
  <c r="H31" i="40"/>
  <c r="H29" i="40"/>
  <c r="G29" i="40"/>
  <c r="C21" i="40"/>
  <c r="G23" i="40"/>
  <c r="H23" i="40"/>
  <c r="G24" i="40"/>
  <c r="H24" i="40"/>
  <c r="G25" i="40"/>
  <c r="H25" i="40"/>
  <c r="G26" i="40"/>
  <c r="H26" i="40"/>
  <c r="G27" i="40"/>
  <c r="H27" i="40"/>
  <c r="H22" i="40"/>
  <c r="G22" i="40"/>
  <c r="H20" i="40"/>
  <c r="C19" i="40"/>
  <c r="G20" i="40"/>
  <c r="H18" i="40"/>
  <c r="H17" i="40"/>
  <c r="C16" i="40"/>
  <c r="G18" i="40"/>
  <c r="G17" i="40"/>
  <c r="H14" i="40"/>
  <c r="H15" i="40"/>
  <c r="H13" i="40"/>
  <c r="C12" i="40"/>
  <c r="G14" i="40"/>
  <c r="G15" i="40"/>
  <c r="G13" i="40"/>
  <c r="H7" i="40"/>
  <c r="H8" i="40"/>
  <c r="H9" i="40"/>
  <c r="H10" i="40"/>
  <c r="H11" i="40"/>
  <c r="H6" i="40"/>
  <c r="C5" i="40"/>
  <c r="G7" i="40"/>
  <c r="G8" i="40"/>
  <c r="G9" i="40"/>
  <c r="G10" i="40"/>
  <c r="G11" i="40"/>
  <c r="G6" i="40"/>
  <c r="P16" i="44"/>
  <c r="P17" i="44"/>
  <c r="P18" i="44"/>
  <c r="P19" i="44"/>
  <c r="P20" i="44"/>
  <c r="P15" i="44"/>
  <c r="O16" i="44"/>
  <c r="O17" i="44"/>
  <c r="O18" i="44"/>
  <c r="O19" i="44"/>
  <c r="O20" i="44"/>
  <c r="O15" i="44"/>
  <c r="H6" i="44"/>
  <c r="H5" i="44"/>
  <c r="H4" i="44"/>
  <c r="G3" i="44"/>
  <c r="F3" i="44"/>
  <c r="C3" i="40"/>
  <c r="C37" i="40"/>
  <c r="G4" i="40"/>
  <c r="G5" i="40"/>
  <c r="G12" i="40"/>
  <c r="G16" i="40"/>
  <c r="G19" i="40"/>
  <c r="G21" i="40"/>
  <c r="G28" i="40"/>
  <c r="G32" i="40"/>
  <c r="G37" i="40"/>
  <c r="G3" i="40"/>
  <c r="H37" i="40"/>
  <c r="H28" i="40"/>
  <c r="H32" i="40"/>
  <c r="H4" i="40"/>
  <c r="H5" i="40"/>
  <c r="H12" i="40"/>
  <c r="H16" i="40"/>
  <c r="H19" i="40"/>
  <c r="H21" i="40"/>
  <c r="H3" i="40"/>
  <c r="B4" i="40"/>
  <c r="B3" i="40"/>
  <c r="B6" i="40"/>
  <c r="B7" i="40"/>
  <c r="B8" i="40"/>
  <c r="B9" i="40"/>
  <c r="B10" i="40"/>
  <c r="B11" i="40"/>
  <c r="B5" i="40"/>
  <c r="B13" i="40"/>
  <c r="B14" i="40"/>
  <c r="B15" i="40"/>
  <c r="B12" i="40"/>
  <c r="B17" i="40"/>
  <c r="B18" i="40"/>
  <c r="B16" i="40"/>
  <c r="B20" i="40"/>
  <c r="B19" i="40"/>
  <c r="B22" i="40"/>
  <c r="B23" i="40"/>
  <c r="B24" i="40"/>
  <c r="B25" i="40"/>
  <c r="B26" i="40"/>
  <c r="B27" i="40"/>
  <c r="B21" i="40"/>
  <c r="B29" i="40"/>
  <c r="B30" i="40"/>
  <c r="B31" i="40"/>
  <c r="B28" i="40"/>
  <c r="B33" i="40"/>
  <c r="B34" i="40"/>
  <c r="B35" i="40"/>
  <c r="B36" i="40"/>
  <c r="B32" i="40"/>
  <c r="B37" i="40"/>
  <c r="F4" i="40"/>
  <c r="F5" i="40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" i="40"/>
  <c r="H30" i="41"/>
  <c r="D10" i="41"/>
  <c r="E30" i="41"/>
  <c r="C10" i="41"/>
  <c r="G30" i="41"/>
  <c r="D9" i="41"/>
  <c r="D30" i="41"/>
  <c r="C9" i="41"/>
  <c r="N16" i="42"/>
  <c r="O16" i="42"/>
  <c r="P16" i="42"/>
  <c r="Q16" i="42"/>
  <c r="R16" i="42"/>
  <c r="S16" i="42"/>
  <c r="T16" i="42"/>
  <c r="M16" i="42"/>
  <c r="L51" i="37"/>
  <c r="BL51" i="37"/>
  <c r="BG51" i="37"/>
  <c r="BB51" i="37"/>
  <c r="AW51" i="37"/>
  <c r="AR51" i="37"/>
  <c r="AM51" i="37"/>
  <c r="AH51" i="37"/>
  <c r="AC51" i="37"/>
  <c r="T15" i="42"/>
  <c r="S15" i="42"/>
  <c r="R15" i="42"/>
  <c r="Q15" i="42"/>
  <c r="P15" i="42"/>
  <c r="O15" i="42"/>
  <c r="N15" i="42"/>
  <c r="M15" i="42"/>
  <c r="T27" i="42"/>
  <c r="S27" i="42"/>
  <c r="R27" i="42"/>
  <c r="Q27" i="42"/>
  <c r="P27" i="42"/>
  <c r="O27" i="42"/>
  <c r="N27" i="42"/>
  <c r="M27" i="42"/>
  <c r="T24" i="42"/>
  <c r="S24" i="42"/>
  <c r="R24" i="42"/>
  <c r="Q24" i="42"/>
  <c r="P24" i="42"/>
  <c r="O24" i="42"/>
  <c r="N24" i="42"/>
  <c r="M24" i="42"/>
  <c r="T22" i="42"/>
  <c r="S22" i="42"/>
  <c r="R22" i="42"/>
  <c r="Q22" i="42"/>
  <c r="P22" i="42"/>
  <c r="O22" i="42"/>
  <c r="N22" i="42"/>
  <c r="M22" i="42"/>
  <c r="T19" i="42"/>
  <c r="S19" i="42"/>
  <c r="R19" i="42"/>
  <c r="Q19" i="42"/>
  <c r="P19" i="42"/>
  <c r="O19" i="42"/>
  <c r="N19" i="42"/>
  <c r="M19" i="42"/>
  <c r="T14" i="42"/>
  <c r="S14" i="42"/>
  <c r="R14" i="42"/>
  <c r="Q14" i="42"/>
  <c r="P14" i="42"/>
  <c r="O14" i="42"/>
  <c r="N14" i="42"/>
  <c r="M14" i="42"/>
  <c r="T11" i="42"/>
  <c r="S11" i="42"/>
  <c r="R11" i="42"/>
  <c r="Q11" i="42"/>
  <c r="P11" i="42"/>
  <c r="O11" i="42"/>
  <c r="N11" i="42"/>
  <c r="M11" i="42"/>
  <c r="T6" i="42"/>
  <c r="S6" i="42"/>
  <c r="R6" i="42"/>
  <c r="Q6" i="42"/>
  <c r="P6" i="42"/>
  <c r="O6" i="42"/>
  <c r="N6" i="42"/>
  <c r="M6" i="42"/>
  <c r="T3" i="42"/>
  <c r="S3" i="42"/>
  <c r="R3" i="42"/>
  <c r="Q3" i="42"/>
  <c r="P3" i="42"/>
  <c r="O3" i="42"/>
  <c r="F3" i="42"/>
  <c r="N3" i="42"/>
  <c r="M3" i="42"/>
  <c r="L21" i="37"/>
  <c r="BL21" i="37"/>
  <c r="BG21" i="37"/>
  <c r="BB21" i="37"/>
  <c r="AW21" i="37"/>
  <c r="AR21" i="37"/>
  <c r="AM21" i="37"/>
  <c r="AH21" i="37"/>
  <c r="AC21" i="37"/>
  <c r="H29" i="41"/>
  <c r="M143" i="37"/>
  <c r="D14" i="41"/>
  <c r="P52" i="37"/>
  <c r="P143" i="37"/>
  <c r="D15" i="41"/>
  <c r="D13" i="41"/>
  <c r="H52" i="37"/>
  <c r="K52" i="37"/>
  <c r="K143" i="37"/>
  <c r="C15" i="41"/>
  <c r="H143" i="37"/>
  <c r="C14" i="41"/>
  <c r="M24" i="37"/>
  <c r="Q50" i="37"/>
  <c r="F2" i="38"/>
  <c r="E29" i="41"/>
  <c r="C13" i="41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E37" i="40"/>
  <c r="J36" i="40"/>
  <c r="I36" i="40"/>
  <c r="E36" i="40"/>
  <c r="J35" i="40"/>
  <c r="I35" i="40"/>
  <c r="E35" i="40"/>
  <c r="J34" i="40"/>
  <c r="I34" i="40"/>
  <c r="E34" i="40"/>
  <c r="J33" i="40"/>
  <c r="I33" i="40"/>
  <c r="E33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E32" i="40"/>
  <c r="J31" i="40"/>
  <c r="I31" i="40"/>
  <c r="E31" i="40"/>
  <c r="J30" i="40"/>
  <c r="I30" i="40"/>
  <c r="E30" i="40"/>
  <c r="J29" i="40"/>
  <c r="I29" i="40"/>
  <c r="E29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E28" i="40"/>
  <c r="J27" i="40"/>
  <c r="I27" i="40"/>
  <c r="E27" i="40"/>
  <c r="J26" i="40"/>
  <c r="I26" i="40"/>
  <c r="E26" i="40"/>
  <c r="J25" i="40"/>
  <c r="I25" i="40"/>
  <c r="E25" i="40"/>
  <c r="J24" i="40"/>
  <c r="I24" i="40"/>
  <c r="E24" i="40"/>
  <c r="J23" i="40"/>
  <c r="I23" i="40"/>
  <c r="E23" i="40"/>
  <c r="J22" i="40"/>
  <c r="I22" i="40"/>
  <c r="E22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E21" i="40"/>
  <c r="J20" i="40"/>
  <c r="I20" i="40"/>
  <c r="E20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E19" i="40"/>
  <c r="J18" i="40"/>
  <c r="I18" i="40"/>
  <c r="E18" i="40"/>
  <c r="J17" i="40"/>
  <c r="I17" i="40"/>
  <c r="E17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E16" i="40"/>
  <c r="J15" i="40"/>
  <c r="I15" i="40"/>
  <c r="E15" i="40"/>
  <c r="J14" i="40"/>
  <c r="I14" i="40"/>
  <c r="E14" i="40"/>
  <c r="J13" i="40"/>
  <c r="I13" i="40"/>
  <c r="E13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E12" i="40"/>
  <c r="J11" i="40"/>
  <c r="I11" i="40"/>
  <c r="E11" i="40"/>
  <c r="J10" i="40"/>
  <c r="I10" i="40"/>
  <c r="E10" i="40"/>
  <c r="J9" i="40"/>
  <c r="I9" i="40"/>
  <c r="E9" i="40"/>
  <c r="J8" i="40"/>
  <c r="I8" i="40"/>
  <c r="E8" i="40"/>
  <c r="J7" i="40"/>
  <c r="I7" i="40"/>
  <c r="E7" i="40"/>
  <c r="J6" i="40"/>
  <c r="I6" i="40"/>
  <c r="E6" i="40"/>
  <c r="AD5" i="40"/>
  <c r="AC5" i="40"/>
  <c r="AB5" i="40"/>
  <c r="AA5" i="40"/>
  <c r="Z5" i="40"/>
  <c r="Y5" i="40"/>
  <c r="X5" i="40"/>
  <c r="W5" i="40"/>
  <c r="V5" i="40"/>
  <c r="U5" i="40"/>
  <c r="T5" i="40"/>
  <c r="S5" i="40"/>
  <c r="R5" i="40"/>
  <c r="Q5" i="40"/>
  <c r="P5" i="40"/>
  <c r="O5" i="40"/>
  <c r="N5" i="40"/>
  <c r="M5" i="40"/>
  <c r="L5" i="40"/>
  <c r="K5" i="40"/>
  <c r="J5" i="40"/>
  <c r="I5" i="40"/>
  <c r="E5" i="40"/>
  <c r="J4" i="40"/>
  <c r="I4" i="40"/>
  <c r="E4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E3" i="40"/>
  <c r="AD2" i="40"/>
  <c r="AC2" i="40"/>
  <c r="AB2" i="40"/>
  <c r="AA2" i="40"/>
  <c r="Z2" i="40"/>
  <c r="Y2" i="40"/>
  <c r="X2" i="40"/>
  <c r="W2" i="40"/>
  <c r="V2" i="40"/>
  <c r="U2" i="40"/>
  <c r="T2" i="40"/>
  <c r="S2" i="40"/>
  <c r="R2" i="40"/>
  <c r="Q2" i="40"/>
  <c r="P2" i="40"/>
  <c r="O2" i="40"/>
  <c r="N2" i="40"/>
  <c r="M2" i="40"/>
  <c r="L2" i="40"/>
  <c r="K2" i="40"/>
  <c r="G33" i="39"/>
  <c r="H74" i="39"/>
  <c r="X33" i="39"/>
  <c r="S33" i="39"/>
  <c r="N33" i="39"/>
  <c r="AC33" i="39"/>
  <c r="X35" i="39"/>
  <c r="S35" i="39"/>
  <c r="N35" i="39"/>
  <c r="AC35" i="39"/>
  <c r="X42" i="39"/>
  <c r="S42" i="39"/>
  <c r="N42" i="39"/>
  <c r="AC42" i="39"/>
  <c r="X46" i="39"/>
  <c r="S46" i="39"/>
  <c r="N46" i="39"/>
  <c r="AC46" i="39"/>
  <c r="X49" i="39"/>
  <c r="S49" i="39"/>
  <c r="N49" i="39"/>
  <c r="AC49" i="39"/>
  <c r="X51" i="39"/>
  <c r="S51" i="39"/>
  <c r="N51" i="39"/>
  <c r="AC51" i="39"/>
  <c r="X58" i="39"/>
  <c r="S58" i="39"/>
  <c r="N58" i="39"/>
  <c r="AC58" i="39"/>
  <c r="X62" i="39"/>
  <c r="S62" i="39"/>
  <c r="N62" i="39"/>
  <c r="AC62" i="39"/>
  <c r="AC67" i="39"/>
  <c r="AC68" i="39"/>
  <c r="W33" i="39"/>
  <c r="R33" i="39"/>
  <c r="M33" i="39"/>
  <c r="AB33" i="39"/>
  <c r="W35" i="39"/>
  <c r="R35" i="39"/>
  <c r="M35" i="39"/>
  <c r="AB35" i="39"/>
  <c r="W42" i="39"/>
  <c r="R42" i="39"/>
  <c r="M42" i="39"/>
  <c r="AB42" i="39"/>
  <c r="W46" i="39"/>
  <c r="R46" i="39"/>
  <c r="M46" i="39"/>
  <c r="AB46" i="39"/>
  <c r="W49" i="39"/>
  <c r="R49" i="39"/>
  <c r="M49" i="39"/>
  <c r="AB49" i="39"/>
  <c r="W51" i="39"/>
  <c r="R51" i="39"/>
  <c r="M51" i="39"/>
  <c r="AB51" i="39"/>
  <c r="W58" i="39"/>
  <c r="R58" i="39"/>
  <c r="M58" i="39"/>
  <c r="AB58" i="39"/>
  <c r="W62" i="39"/>
  <c r="R62" i="39"/>
  <c r="M62" i="39"/>
  <c r="AB62" i="39"/>
  <c r="AB67" i="39"/>
  <c r="AB68" i="39"/>
  <c r="C16" i="39"/>
  <c r="H16" i="39"/>
  <c r="C19" i="39"/>
  <c r="H19" i="39"/>
  <c r="C20" i="39"/>
  <c r="H20" i="39"/>
  <c r="C21" i="39"/>
  <c r="C22" i="39"/>
  <c r="C24" i="39"/>
  <c r="H24" i="39"/>
  <c r="C26" i="39"/>
  <c r="C27" i="39"/>
  <c r="C28" i="39"/>
  <c r="H28" i="39"/>
  <c r="H29" i="39"/>
  <c r="AA33" i="39"/>
  <c r="G16" i="39"/>
  <c r="G19" i="39"/>
  <c r="G20" i="39"/>
  <c r="G24" i="39"/>
  <c r="G28" i="39"/>
  <c r="G29" i="39"/>
  <c r="V33" i="39"/>
  <c r="F16" i="39"/>
  <c r="F19" i="39"/>
  <c r="F20" i="39"/>
  <c r="F24" i="39"/>
  <c r="F28" i="39"/>
  <c r="F29" i="39"/>
  <c r="Q33" i="39"/>
  <c r="E16" i="39"/>
  <c r="E19" i="39"/>
  <c r="E20" i="39"/>
  <c r="E24" i="39"/>
  <c r="E28" i="39"/>
  <c r="E29" i="39"/>
  <c r="L33" i="39"/>
  <c r="AF33" i="39"/>
  <c r="AA35" i="39"/>
  <c r="V35" i="39"/>
  <c r="Q35" i="39"/>
  <c r="L35" i="39"/>
  <c r="AF35" i="39"/>
  <c r="AA42" i="39"/>
  <c r="V42" i="39"/>
  <c r="Q42" i="39"/>
  <c r="L42" i="39"/>
  <c r="AF42" i="39"/>
  <c r="AA46" i="39"/>
  <c r="V46" i="39"/>
  <c r="Q46" i="39"/>
  <c r="L46" i="39"/>
  <c r="AF46" i="39"/>
  <c r="AA49" i="39"/>
  <c r="V49" i="39"/>
  <c r="Q49" i="39"/>
  <c r="L49" i="39"/>
  <c r="AF49" i="39"/>
  <c r="AA51" i="39"/>
  <c r="V51" i="39"/>
  <c r="Q51" i="39"/>
  <c r="L51" i="39"/>
  <c r="AF51" i="39"/>
  <c r="AA58" i="39"/>
  <c r="V58" i="39"/>
  <c r="Q58" i="39"/>
  <c r="L58" i="39"/>
  <c r="AF58" i="39"/>
  <c r="AA62" i="39"/>
  <c r="V62" i="39"/>
  <c r="Q62" i="39"/>
  <c r="L62" i="39"/>
  <c r="AF62" i="39"/>
  <c r="AF67" i="39"/>
  <c r="C23" i="39"/>
  <c r="H23" i="39"/>
  <c r="Z33" i="39"/>
  <c r="G23" i="39"/>
  <c r="U33" i="39"/>
  <c r="F23" i="39"/>
  <c r="P33" i="39"/>
  <c r="E23" i="39"/>
  <c r="K33" i="39"/>
  <c r="AE33" i="39"/>
  <c r="Z35" i="39"/>
  <c r="U35" i="39"/>
  <c r="P35" i="39"/>
  <c r="K35" i="39"/>
  <c r="AE35" i="39"/>
  <c r="Z42" i="39"/>
  <c r="U42" i="39"/>
  <c r="P42" i="39"/>
  <c r="K42" i="39"/>
  <c r="AE42" i="39"/>
  <c r="Z46" i="39"/>
  <c r="U46" i="39"/>
  <c r="P46" i="39"/>
  <c r="K46" i="39"/>
  <c r="AE46" i="39"/>
  <c r="Z49" i="39"/>
  <c r="U49" i="39"/>
  <c r="P49" i="39"/>
  <c r="K49" i="39"/>
  <c r="AE49" i="39"/>
  <c r="Z51" i="39"/>
  <c r="U51" i="39"/>
  <c r="P51" i="39"/>
  <c r="K51" i="39"/>
  <c r="AE51" i="39"/>
  <c r="Z58" i="39"/>
  <c r="U58" i="39"/>
  <c r="P58" i="39"/>
  <c r="K58" i="39"/>
  <c r="AE58" i="39"/>
  <c r="Z62" i="39"/>
  <c r="U62" i="39"/>
  <c r="P62" i="39"/>
  <c r="K62" i="39"/>
  <c r="AE62" i="39"/>
  <c r="AE67" i="39"/>
  <c r="H22" i="39"/>
  <c r="Y33" i="39"/>
  <c r="G22" i="39"/>
  <c r="T33" i="39"/>
  <c r="F22" i="39"/>
  <c r="O33" i="39"/>
  <c r="E22" i="39"/>
  <c r="J33" i="39"/>
  <c r="AD33" i="39"/>
  <c r="Y35" i="39"/>
  <c r="T35" i="39"/>
  <c r="O35" i="39"/>
  <c r="J35" i="39"/>
  <c r="AD35" i="39"/>
  <c r="Y42" i="39"/>
  <c r="T42" i="39"/>
  <c r="O42" i="39"/>
  <c r="J42" i="39"/>
  <c r="AD42" i="39"/>
  <c r="Y46" i="39"/>
  <c r="T46" i="39"/>
  <c r="O46" i="39"/>
  <c r="J46" i="39"/>
  <c r="AD46" i="39"/>
  <c r="Y49" i="39"/>
  <c r="T49" i="39"/>
  <c r="O49" i="39"/>
  <c r="J49" i="39"/>
  <c r="AD49" i="39"/>
  <c r="Y51" i="39"/>
  <c r="T51" i="39"/>
  <c r="O51" i="39"/>
  <c r="J51" i="39"/>
  <c r="AD51" i="39"/>
  <c r="Y58" i="39"/>
  <c r="T58" i="39"/>
  <c r="O58" i="39"/>
  <c r="J58" i="39"/>
  <c r="AD58" i="39"/>
  <c r="Y62" i="39"/>
  <c r="T62" i="39"/>
  <c r="O62" i="39"/>
  <c r="J62" i="39"/>
  <c r="AD62" i="39"/>
  <c r="AD67" i="39"/>
  <c r="AA67" i="39"/>
  <c r="Z67" i="39"/>
  <c r="Y67" i="39"/>
  <c r="V67" i="39"/>
  <c r="U67" i="39"/>
  <c r="T67" i="39"/>
  <c r="Q67" i="39"/>
  <c r="P67" i="39"/>
  <c r="O67" i="39"/>
  <c r="L67" i="39"/>
  <c r="K67" i="39"/>
  <c r="J67" i="39"/>
  <c r="G66" i="39"/>
  <c r="F66" i="39"/>
  <c r="E66" i="39"/>
  <c r="G65" i="39"/>
  <c r="F65" i="39"/>
  <c r="E65" i="39"/>
  <c r="G64" i="39"/>
  <c r="F64" i="39"/>
  <c r="E64" i="39"/>
  <c r="G63" i="39"/>
  <c r="F63" i="39"/>
  <c r="E63" i="39"/>
  <c r="G62" i="39"/>
  <c r="F62" i="39"/>
  <c r="AF61" i="39"/>
  <c r="AE61" i="39"/>
  <c r="AD61" i="39"/>
  <c r="AC61" i="39"/>
  <c r="AB61" i="39"/>
  <c r="G61" i="39"/>
  <c r="F61" i="39"/>
  <c r="E61" i="39"/>
  <c r="AF60" i="39"/>
  <c r="AE60" i="39"/>
  <c r="AD60" i="39"/>
  <c r="AC60" i="39"/>
  <c r="AB60" i="39"/>
  <c r="G60" i="39"/>
  <c r="F60" i="39"/>
  <c r="E60" i="39"/>
  <c r="AF59" i="39"/>
  <c r="AE59" i="39"/>
  <c r="AD59" i="39"/>
  <c r="AC59" i="39"/>
  <c r="AB59" i="39"/>
  <c r="G59" i="39"/>
  <c r="F59" i="39"/>
  <c r="E59" i="39"/>
  <c r="G58" i="39"/>
  <c r="F58" i="39"/>
  <c r="AF57" i="39"/>
  <c r="AE57" i="39"/>
  <c r="AD57" i="39"/>
  <c r="AC57" i="39"/>
  <c r="AB57" i="39"/>
  <c r="G57" i="39"/>
  <c r="F57" i="39"/>
  <c r="E57" i="39"/>
  <c r="AF56" i="39"/>
  <c r="AE56" i="39"/>
  <c r="AD56" i="39"/>
  <c r="AC56" i="39"/>
  <c r="AB56" i="39"/>
  <c r="G56" i="39"/>
  <c r="F56" i="39"/>
  <c r="E56" i="39"/>
  <c r="AF55" i="39"/>
  <c r="AE55" i="39"/>
  <c r="AD55" i="39"/>
  <c r="AC55" i="39"/>
  <c r="AB55" i="39"/>
  <c r="G55" i="39"/>
  <c r="F55" i="39"/>
  <c r="E55" i="39"/>
  <c r="AF54" i="39"/>
  <c r="AE54" i="39"/>
  <c r="AD54" i="39"/>
  <c r="AC54" i="39"/>
  <c r="AB54" i="39"/>
  <c r="G54" i="39"/>
  <c r="F54" i="39"/>
  <c r="E54" i="39"/>
  <c r="AF53" i="39"/>
  <c r="AE53" i="39"/>
  <c r="AD53" i="39"/>
  <c r="AC53" i="39"/>
  <c r="AB53" i="39"/>
  <c r="G53" i="39"/>
  <c r="F53" i="39"/>
  <c r="E53" i="39"/>
  <c r="AF52" i="39"/>
  <c r="AE52" i="39"/>
  <c r="AD52" i="39"/>
  <c r="AC52" i="39"/>
  <c r="AB52" i="39"/>
  <c r="G52" i="39"/>
  <c r="F52" i="39"/>
  <c r="E52" i="39"/>
  <c r="G51" i="39"/>
  <c r="F51" i="39"/>
  <c r="AF50" i="39"/>
  <c r="AE50" i="39"/>
  <c r="AD50" i="39"/>
  <c r="AC50" i="39"/>
  <c r="AB50" i="39"/>
  <c r="G50" i="39"/>
  <c r="F50" i="39"/>
  <c r="E50" i="39"/>
  <c r="G49" i="39"/>
  <c r="F49" i="39"/>
  <c r="AF48" i="39"/>
  <c r="AE48" i="39"/>
  <c r="AD48" i="39"/>
  <c r="AC48" i="39"/>
  <c r="AB48" i="39"/>
  <c r="G48" i="39"/>
  <c r="F48" i="39"/>
  <c r="E48" i="39"/>
  <c r="AF47" i="39"/>
  <c r="AE47" i="39"/>
  <c r="AD47" i="39"/>
  <c r="AC47" i="39"/>
  <c r="AB47" i="39"/>
  <c r="G47" i="39"/>
  <c r="F47" i="39"/>
  <c r="E47" i="39"/>
  <c r="G46" i="39"/>
  <c r="F46" i="39"/>
  <c r="AF45" i="39"/>
  <c r="AE45" i="39"/>
  <c r="AD45" i="39"/>
  <c r="AC45" i="39"/>
  <c r="AB45" i="39"/>
  <c r="G45" i="39"/>
  <c r="F45" i="39"/>
  <c r="E45" i="39"/>
  <c r="AF44" i="39"/>
  <c r="AE44" i="39"/>
  <c r="AD44" i="39"/>
  <c r="AC44" i="39"/>
  <c r="AB44" i="39"/>
  <c r="G44" i="39"/>
  <c r="F44" i="39"/>
  <c r="E44" i="39"/>
  <c r="AF43" i="39"/>
  <c r="AE43" i="39"/>
  <c r="AD43" i="39"/>
  <c r="AC43" i="39"/>
  <c r="AB43" i="39"/>
  <c r="G43" i="39"/>
  <c r="F43" i="39"/>
  <c r="E43" i="39"/>
  <c r="G42" i="39"/>
  <c r="F42" i="39"/>
  <c r="AF41" i="39"/>
  <c r="AE41" i="39"/>
  <c r="AD41" i="39"/>
  <c r="AC41" i="39"/>
  <c r="AB41" i="39"/>
  <c r="G41" i="39"/>
  <c r="F41" i="39"/>
  <c r="E41" i="39"/>
  <c r="AF40" i="39"/>
  <c r="AE40" i="39"/>
  <c r="AD40" i="39"/>
  <c r="AC40" i="39"/>
  <c r="AB40" i="39"/>
  <c r="G40" i="39"/>
  <c r="F40" i="39"/>
  <c r="E40" i="39"/>
  <c r="AF39" i="39"/>
  <c r="AE39" i="39"/>
  <c r="AD39" i="39"/>
  <c r="AC39" i="39"/>
  <c r="AB39" i="39"/>
  <c r="G39" i="39"/>
  <c r="F39" i="39"/>
  <c r="E39" i="39"/>
  <c r="AF38" i="39"/>
  <c r="AE38" i="39"/>
  <c r="AD38" i="39"/>
  <c r="AC38" i="39"/>
  <c r="AB38" i="39"/>
  <c r="G38" i="39"/>
  <c r="F38" i="39"/>
  <c r="E38" i="39"/>
  <c r="AF37" i="39"/>
  <c r="AE37" i="39"/>
  <c r="AD37" i="39"/>
  <c r="AC37" i="39"/>
  <c r="AB37" i="39"/>
  <c r="G37" i="39"/>
  <c r="F37" i="39"/>
  <c r="E37" i="39"/>
  <c r="AF36" i="39"/>
  <c r="AE36" i="39"/>
  <c r="AD36" i="39"/>
  <c r="AC36" i="39"/>
  <c r="AB36" i="39"/>
  <c r="G36" i="39"/>
  <c r="F36" i="39"/>
  <c r="E36" i="39"/>
  <c r="G35" i="39"/>
  <c r="F35" i="39"/>
  <c r="AF34" i="39"/>
  <c r="AE34" i="39"/>
  <c r="AD34" i="39"/>
  <c r="AC34" i="39"/>
  <c r="AB34" i="39"/>
  <c r="G34" i="39"/>
  <c r="F34" i="39"/>
  <c r="E34" i="39"/>
  <c r="F33" i="39"/>
  <c r="K32" i="39"/>
  <c r="P32" i="39"/>
  <c r="U32" i="39"/>
  <c r="Z32" i="39"/>
  <c r="AE32" i="39"/>
  <c r="J32" i="39"/>
  <c r="O32" i="39"/>
  <c r="T32" i="39"/>
  <c r="Y32" i="39"/>
  <c r="AD32" i="39"/>
  <c r="I32" i="39"/>
  <c r="N32" i="39"/>
  <c r="S32" i="39"/>
  <c r="X32" i="39"/>
  <c r="AC32" i="39"/>
  <c r="H32" i="39"/>
  <c r="M32" i="39"/>
  <c r="R32" i="39"/>
  <c r="W32" i="39"/>
  <c r="AB32" i="39"/>
  <c r="C29" i="39"/>
  <c r="C25" i="39"/>
  <c r="H25" i="39"/>
  <c r="G25" i="39"/>
  <c r="F25" i="39"/>
  <c r="E25" i="39"/>
  <c r="H21" i="39"/>
  <c r="G21" i="39"/>
  <c r="F21" i="39"/>
  <c r="E21" i="39"/>
  <c r="M18" i="39"/>
  <c r="L18" i="39"/>
  <c r="K18" i="39"/>
  <c r="J18" i="39"/>
  <c r="M17" i="39"/>
  <c r="L17" i="39"/>
  <c r="K17" i="39"/>
  <c r="J17" i="39"/>
  <c r="H15" i="39"/>
  <c r="G15" i="39"/>
  <c r="F15" i="39"/>
  <c r="E15" i="39"/>
  <c r="C7" i="39"/>
  <c r="D7" i="39"/>
  <c r="E6" i="39"/>
  <c r="D6" i="39"/>
  <c r="E5" i="39"/>
  <c r="K144" i="37"/>
  <c r="L23" i="37"/>
  <c r="L22" i="37"/>
  <c r="H144" i="37"/>
  <c r="Z102" i="37"/>
  <c r="AA102" i="37"/>
  <c r="AB100" i="37"/>
  <c r="AB101" i="37"/>
  <c r="AB102" i="37"/>
  <c r="AC102" i="37"/>
  <c r="AD100" i="37"/>
  <c r="AD101" i="37"/>
  <c r="AD102" i="37"/>
  <c r="AE102" i="37"/>
  <c r="AF102" i="37"/>
  <c r="AG100" i="37"/>
  <c r="AG101" i="37"/>
  <c r="AG102" i="37"/>
  <c r="AH102" i="37"/>
  <c r="AI100" i="37"/>
  <c r="AI101" i="37"/>
  <c r="AI102" i="37"/>
  <c r="AJ102" i="37"/>
  <c r="AK102" i="37"/>
  <c r="AL100" i="37"/>
  <c r="AL101" i="37"/>
  <c r="AL102" i="37"/>
  <c r="AM102" i="37"/>
  <c r="AN100" i="37"/>
  <c r="AN101" i="37"/>
  <c r="AN102" i="37"/>
  <c r="AO102" i="37"/>
  <c r="AP102" i="37"/>
  <c r="AQ100" i="37"/>
  <c r="AQ101" i="37"/>
  <c r="AQ102" i="37"/>
  <c r="AR102" i="37"/>
  <c r="AS100" i="37"/>
  <c r="AS101" i="37"/>
  <c r="AS102" i="37"/>
  <c r="AT102" i="37"/>
  <c r="AU102" i="37"/>
  <c r="AV100" i="37"/>
  <c r="AV101" i="37"/>
  <c r="AV102" i="37"/>
  <c r="AW102" i="37"/>
  <c r="AX100" i="37"/>
  <c r="AX101" i="37"/>
  <c r="AX102" i="37"/>
  <c r="AY102" i="37"/>
  <c r="AZ102" i="37"/>
  <c r="BA100" i="37"/>
  <c r="BA101" i="37"/>
  <c r="BA102" i="37"/>
  <c r="BB102" i="37"/>
  <c r="BC100" i="37"/>
  <c r="BC101" i="37"/>
  <c r="BC102" i="37"/>
  <c r="BD102" i="37"/>
  <c r="BE102" i="37"/>
  <c r="BF100" i="37"/>
  <c r="BF101" i="37"/>
  <c r="BF102" i="37"/>
  <c r="BG102" i="37"/>
  <c r="BH100" i="37"/>
  <c r="BH101" i="37"/>
  <c r="BH102" i="37"/>
  <c r="BI102" i="37"/>
  <c r="BJ102" i="37"/>
  <c r="BK100" i="37"/>
  <c r="BK101" i="37"/>
  <c r="BK102" i="37"/>
  <c r="BL102" i="37"/>
  <c r="Y100" i="37"/>
  <c r="Y101" i="37"/>
  <c r="Y102" i="37"/>
  <c r="Z88" i="37"/>
  <c r="AA88" i="37"/>
  <c r="AB86" i="37"/>
  <c r="AB87" i="37"/>
  <c r="AB88" i="37"/>
  <c r="AC88" i="37"/>
  <c r="AD86" i="37"/>
  <c r="AD87" i="37"/>
  <c r="AD88" i="37"/>
  <c r="AE88" i="37"/>
  <c r="AF88" i="37"/>
  <c r="AG86" i="37"/>
  <c r="AG87" i="37"/>
  <c r="AG88" i="37"/>
  <c r="AH88" i="37"/>
  <c r="AI86" i="37"/>
  <c r="AI87" i="37"/>
  <c r="AI88" i="37"/>
  <c r="AJ88" i="37"/>
  <c r="AK88" i="37"/>
  <c r="AL86" i="37"/>
  <c r="AL87" i="37"/>
  <c r="AL88" i="37"/>
  <c r="AM88" i="37"/>
  <c r="AN86" i="37"/>
  <c r="AN87" i="37"/>
  <c r="AN88" i="37"/>
  <c r="AO88" i="37"/>
  <c r="AP88" i="37"/>
  <c r="AQ86" i="37"/>
  <c r="AQ87" i="37"/>
  <c r="AQ88" i="37"/>
  <c r="AR88" i="37"/>
  <c r="AS86" i="37"/>
  <c r="AS87" i="37"/>
  <c r="AS88" i="37"/>
  <c r="AT88" i="37"/>
  <c r="AU88" i="37"/>
  <c r="AV86" i="37"/>
  <c r="AV87" i="37"/>
  <c r="AV88" i="37"/>
  <c r="AW88" i="37"/>
  <c r="AX86" i="37"/>
  <c r="AX87" i="37"/>
  <c r="AX88" i="37"/>
  <c r="AY88" i="37"/>
  <c r="AZ88" i="37"/>
  <c r="BA86" i="37"/>
  <c r="BA87" i="37"/>
  <c r="BA88" i="37"/>
  <c r="BB88" i="37"/>
  <c r="BC86" i="37"/>
  <c r="BC87" i="37"/>
  <c r="BC88" i="37"/>
  <c r="BD88" i="37"/>
  <c r="BE88" i="37"/>
  <c r="BF86" i="37"/>
  <c r="BF87" i="37"/>
  <c r="BF88" i="37"/>
  <c r="BG88" i="37"/>
  <c r="BH86" i="37"/>
  <c r="BH87" i="37"/>
  <c r="BH88" i="37"/>
  <c r="BI88" i="37"/>
  <c r="BJ88" i="37"/>
  <c r="BK86" i="37"/>
  <c r="BK87" i="37"/>
  <c r="BK88" i="37"/>
  <c r="BL88" i="37"/>
  <c r="Y86" i="37"/>
  <c r="Y87" i="37"/>
  <c r="Y88" i="37"/>
  <c r="AD45" i="37"/>
  <c r="AD46" i="37"/>
  <c r="AD47" i="37"/>
  <c r="AE47" i="37"/>
  <c r="AF47" i="37"/>
  <c r="AG45" i="37"/>
  <c r="AG46" i="37"/>
  <c r="AG47" i="37"/>
  <c r="L48" i="37"/>
  <c r="AH48" i="37"/>
  <c r="L49" i="37"/>
  <c r="AH49" i="37"/>
  <c r="AH47" i="37"/>
  <c r="AH50" i="37"/>
  <c r="AI45" i="37"/>
  <c r="AI46" i="37"/>
  <c r="AI47" i="37"/>
  <c r="AJ47" i="37"/>
  <c r="AK47" i="37"/>
  <c r="AL45" i="37"/>
  <c r="AL46" i="37"/>
  <c r="AL47" i="37"/>
  <c r="AM48" i="37"/>
  <c r="AM49" i="37"/>
  <c r="AM47" i="37"/>
  <c r="AM50" i="37"/>
  <c r="AN45" i="37"/>
  <c r="AN46" i="37"/>
  <c r="AN47" i="37"/>
  <c r="AO47" i="37"/>
  <c r="AP47" i="37"/>
  <c r="AQ45" i="37"/>
  <c r="AQ46" i="37"/>
  <c r="AQ47" i="37"/>
  <c r="AR48" i="37"/>
  <c r="AR49" i="37"/>
  <c r="AR47" i="37"/>
  <c r="AR50" i="37"/>
  <c r="AS45" i="37"/>
  <c r="AS46" i="37"/>
  <c r="AS47" i="37"/>
  <c r="AT47" i="37"/>
  <c r="AU47" i="37"/>
  <c r="AV45" i="37"/>
  <c r="AV46" i="37"/>
  <c r="AV47" i="37"/>
  <c r="AW48" i="37"/>
  <c r="AW49" i="37"/>
  <c r="AW47" i="37"/>
  <c r="AW50" i="37"/>
  <c r="AX45" i="37"/>
  <c r="AX46" i="37"/>
  <c r="AX47" i="37"/>
  <c r="AY47" i="37"/>
  <c r="AZ47" i="37"/>
  <c r="BA45" i="37"/>
  <c r="BA46" i="37"/>
  <c r="BA47" i="37"/>
  <c r="BA50" i="37"/>
  <c r="BB48" i="37"/>
  <c r="BB49" i="37"/>
  <c r="BB47" i="37"/>
  <c r="BB50" i="37"/>
  <c r="BC45" i="37"/>
  <c r="BC46" i="37"/>
  <c r="BC47" i="37"/>
  <c r="BD47" i="37"/>
  <c r="BE47" i="37"/>
  <c r="BF45" i="37"/>
  <c r="BF46" i="37"/>
  <c r="BF47" i="37"/>
  <c r="BG48" i="37"/>
  <c r="BG49" i="37"/>
  <c r="BG47" i="37"/>
  <c r="BG50" i="37"/>
  <c r="BH45" i="37"/>
  <c r="BH46" i="37"/>
  <c r="BH47" i="37"/>
  <c r="BI47" i="37"/>
  <c r="BJ47" i="37"/>
  <c r="BK45" i="37"/>
  <c r="BK46" i="37"/>
  <c r="BK47" i="37"/>
  <c r="BL48" i="37"/>
  <c r="BL49" i="37"/>
  <c r="BL47" i="37"/>
  <c r="BL50" i="37"/>
  <c r="AC48" i="37"/>
  <c r="AC49" i="37"/>
  <c r="AC47" i="37"/>
  <c r="AC50" i="37"/>
  <c r="L50" i="37"/>
  <c r="Z47" i="37"/>
  <c r="AA47" i="37"/>
  <c r="AB45" i="37"/>
  <c r="AB46" i="37"/>
  <c r="AB47" i="37"/>
  <c r="Y45" i="37"/>
  <c r="Y46" i="37"/>
  <c r="Y47" i="37"/>
  <c r="BZ24" i="37"/>
  <c r="H135" i="37"/>
  <c r="BO110" i="37"/>
  <c r="BO109" i="37"/>
  <c r="BL52" i="37"/>
  <c r="BK52" i="37"/>
  <c r="BH52" i="37"/>
  <c r="BG52" i="37"/>
  <c r="BF52" i="37"/>
  <c r="BC52" i="37"/>
  <c r="BB52" i="37"/>
  <c r="BA52" i="37"/>
  <c r="AX52" i="37"/>
  <c r="AW52" i="37"/>
  <c r="AV52" i="37"/>
  <c r="AS52" i="37"/>
  <c r="AR52" i="37"/>
  <c r="AQ52" i="37"/>
  <c r="AN52" i="37"/>
  <c r="AM52" i="37"/>
  <c r="AL52" i="37"/>
  <c r="AI52" i="37"/>
  <c r="AH52" i="37"/>
  <c r="AG52" i="37"/>
  <c r="AD52" i="37"/>
  <c r="AC52" i="37"/>
  <c r="AB52" i="37"/>
  <c r="Y52" i="37"/>
  <c r="L52" i="37"/>
  <c r="BN49" i="37"/>
  <c r="BN48" i="37"/>
  <c r="BM46" i="37"/>
  <c r="BM45" i="37"/>
  <c r="BV21" i="37"/>
  <c r="BG23" i="37"/>
  <c r="BL23" i="37"/>
  <c r="BV20" i="37"/>
  <c r="AW23" i="37"/>
  <c r="BB23" i="37"/>
  <c r="BV19" i="37"/>
  <c r="AM23" i="37"/>
  <c r="BV22" i="37"/>
  <c r="AC23" i="37"/>
  <c r="AR23" i="37"/>
  <c r="AH23" i="37"/>
  <c r="BW20" i="37"/>
  <c r="BW21" i="37"/>
  <c r="BW22" i="37"/>
  <c r="BW19" i="37"/>
  <c r="BQ20" i="37"/>
  <c r="BG22" i="37"/>
  <c r="BL22" i="37"/>
  <c r="BQ19" i="37"/>
  <c r="AW22" i="37"/>
  <c r="BB22" i="37"/>
  <c r="BQ18" i="37"/>
  <c r="AM22" i="37"/>
  <c r="AR22" i="37"/>
  <c r="BQ21" i="37"/>
  <c r="AC22" i="37"/>
  <c r="AH22" i="37"/>
  <c r="BK21" i="37"/>
  <c r="BH21" i="37"/>
  <c r="BF21" i="37"/>
  <c r="BC21" i="37"/>
  <c r="BA21" i="37"/>
  <c r="AX21" i="37"/>
  <c r="AV21" i="37"/>
  <c r="AS21" i="37"/>
  <c r="AQ21" i="37"/>
  <c r="AN21" i="37"/>
  <c r="AL21" i="37"/>
  <c r="AI21" i="37"/>
  <c r="AG21" i="37"/>
  <c r="AD21" i="37"/>
  <c r="AB21" i="37"/>
  <c r="Y21" i="37"/>
  <c r="BK20" i="37"/>
  <c r="BF20" i="37"/>
  <c r="BA20" i="37"/>
  <c r="AV20" i="37"/>
  <c r="AQ20" i="37"/>
  <c r="AL20" i="37"/>
  <c r="AG20" i="37"/>
  <c r="AB20" i="37"/>
  <c r="BH20" i="37"/>
  <c r="BC20" i="37"/>
  <c r="AX20" i="37"/>
  <c r="AS20" i="37"/>
  <c r="AN20" i="37"/>
  <c r="AI20" i="37"/>
  <c r="AD20" i="37"/>
  <c r="Y20" i="37"/>
</calcChain>
</file>

<file path=xl/comments1.xml><?xml version="1.0" encoding="utf-8"?>
<comments xmlns="http://schemas.openxmlformats.org/spreadsheetml/2006/main">
  <authors>
    <author>Microsoft Office User</author>
  </authors>
  <commentList>
    <comment ref="J4" authorId="0" shapeId="0">
      <text>
        <r>
          <rPr>
            <b/>
            <sz val="10"/>
            <color indexed="81"/>
            <rFont val="Calibri"/>
          </rPr>
          <t>Microsoft Office User::
insert a factor of 0.6 considering that 60% populations targeted in Outcome 1 are the same targeted in Outcome 2, in order to avoid double counting.</t>
        </r>
        <r>
          <rPr>
            <sz val="10"/>
            <color indexed="81"/>
            <rFont val="Calibri"/>
          </rPr>
          <t xml:space="preserve">
</t>
        </r>
      </text>
    </comment>
    <comment ref="L5" authorId="0" shapeId="0">
      <text>
        <r>
          <rPr>
            <b/>
            <sz val="10"/>
            <color indexed="81"/>
            <rFont val="Calibri"/>
          </rPr>
          <t>Target in 2020 is 1.1million (refernce Kamal sheet no IS)</t>
        </r>
      </text>
    </comment>
    <comment ref="H10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C13" authorId="0" shapeId="0">
      <text>
        <r>
          <rPr>
            <b/>
            <sz val="10"/>
            <color indexed="81"/>
            <rFont val="Calibri"/>
          </rPr>
          <t xml:space="preserve">Add 250,000 USD per output for capacity building </t>
        </r>
      </text>
    </comment>
    <comment ref="D13" authorId="0" shapeId="0">
      <text>
        <r>
          <rPr>
            <b/>
            <sz val="10"/>
            <color indexed="81"/>
            <rFont val="Calibri"/>
          </rPr>
          <t>2018: 30% of overall budget and targets</t>
        </r>
      </text>
    </comment>
    <comment ref="E13" authorId="0" shapeId="0">
      <text>
        <r>
          <rPr>
            <b/>
            <sz val="10"/>
            <color indexed="81"/>
            <rFont val="Calibri"/>
          </rPr>
          <t>30% of target and budget</t>
        </r>
      </text>
    </comment>
    <comment ref="F13" authorId="0" shapeId="0">
      <text>
        <r>
          <rPr>
            <b/>
            <sz val="10"/>
            <color indexed="81"/>
            <rFont val="Calibri"/>
          </rPr>
          <t xml:space="preserve">25% of overall budget 
</t>
        </r>
      </text>
    </comment>
    <comment ref="Y15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15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H20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L22" authorId="0" shapeId="0">
      <text>
        <r>
          <rPr>
            <b/>
            <sz val="10"/>
            <color indexed="81"/>
            <rFont val="Calibri"/>
          </rPr>
          <t xml:space="preserve">15% of total nr of systems which is 34
</t>
        </r>
      </text>
    </comment>
    <comment ref="H3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Y40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40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H45" authorId="0" shapeId="0">
      <text>
        <r>
          <rPr>
            <b/>
            <sz val="10"/>
            <color indexed="81"/>
            <rFont val="Calibri"/>
          </rPr>
          <t>15% of Syrian hh have access to LED the first year.
Equal amount to Lebanese HH</t>
        </r>
      </text>
    </comment>
    <comment ref="H46" authorId="0" shapeId="0">
      <text>
        <r>
          <rPr>
            <b/>
            <sz val="10"/>
            <color indexed="81"/>
            <rFont val="Calibri"/>
          </rPr>
          <t>Only 20% of total HH use electric stove
15% of the are targeted the first year
equal distribution between L and S</t>
        </r>
      </text>
    </comment>
    <comment ref="H6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K6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H66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C69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Y71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71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C74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H86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K86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H87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K87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Y96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96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K100" authorId="0" shapeId="0">
      <text>
        <r>
          <rPr>
            <b/>
            <sz val="10"/>
            <color indexed="81"/>
            <rFont val="Calibri"/>
          </rPr>
          <t>Target over 4 years is 1.5M S and L
40% target for first year</t>
        </r>
      </text>
    </comment>
    <comment ref="H114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L114" authorId="0" shapeId="0">
      <text>
        <r>
          <rPr>
            <b/>
            <sz val="10"/>
            <color indexed="81"/>
            <rFont val="Calibri"/>
          </rPr>
          <t xml:space="preserve">consider an average cost of projects at 1500000.
</t>
        </r>
      </text>
    </comment>
    <comment ref="C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D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E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P3" authorId="0" shapeId="0">
      <text>
        <r>
          <rPr>
            <b/>
            <sz val="10"/>
            <color indexed="81"/>
            <rFont val="Calibri"/>
          </rPr>
          <t>f we consider that each activity would target a different HH, then we can reach 1.5M for Leb and 1.5M for Syr.  The target is relative to the total of each cohort separately, 4M Leb and 1.5M syr</t>
        </r>
      </text>
    </comment>
    <comment ref="K5" authorId="0" shapeId="0">
      <text>
        <r>
          <rPr>
            <b/>
            <sz val="10"/>
            <color indexed="81"/>
            <rFont val="Calibri"/>
          </rPr>
          <t>Target in 2020 is 1.1million (refernce Kamal sheet no IS)</t>
        </r>
      </text>
    </comment>
    <comment ref="H10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C13" authorId="0" shapeId="0">
      <text>
        <r>
          <rPr>
            <b/>
            <sz val="10"/>
            <color indexed="81"/>
            <rFont val="Calibri"/>
          </rPr>
          <t xml:space="preserve">Add 250,000 USD per output for capacity building </t>
        </r>
      </text>
    </comment>
    <comment ref="D13" authorId="0" shapeId="0">
      <text>
        <r>
          <rPr>
            <b/>
            <sz val="10"/>
            <color indexed="81"/>
            <rFont val="Calibri"/>
          </rPr>
          <t>2018: 30% of overall budget and targets</t>
        </r>
      </text>
    </comment>
    <comment ref="E13" authorId="0" shapeId="0">
      <text>
        <r>
          <rPr>
            <b/>
            <sz val="10"/>
            <color indexed="81"/>
            <rFont val="Calibri"/>
          </rPr>
          <t>30% of target and budget</t>
        </r>
      </text>
    </comment>
    <comment ref="F13" authorId="0" shapeId="0">
      <text>
        <r>
          <rPr>
            <b/>
            <sz val="10"/>
            <color indexed="81"/>
            <rFont val="Calibri"/>
          </rPr>
          <t xml:space="preserve">25% of overall budget 
</t>
        </r>
      </text>
    </comment>
    <comment ref="Y15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15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H20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L22" authorId="0" shapeId="0">
      <text>
        <r>
          <rPr>
            <b/>
            <sz val="10"/>
            <color indexed="81"/>
            <rFont val="Calibri"/>
          </rPr>
          <t xml:space="preserve">15% of total nr of systems which is 34
</t>
        </r>
      </text>
    </comment>
    <comment ref="H3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Y40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40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H45" authorId="0" shapeId="0">
      <text>
        <r>
          <rPr>
            <b/>
            <sz val="10"/>
            <color indexed="81"/>
            <rFont val="Calibri"/>
          </rPr>
          <t>15% of Syrian hh have access to LED the first year.
Equal amount to Lebanese HH</t>
        </r>
      </text>
    </comment>
    <comment ref="H46" authorId="0" shapeId="0">
      <text>
        <r>
          <rPr>
            <b/>
            <sz val="10"/>
            <color indexed="81"/>
            <rFont val="Calibri"/>
          </rPr>
          <t>Only 20% of total HH use electric stove
15% of the are targeted the first year
equal distribution between L and S</t>
        </r>
      </text>
    </comment>
    <comment ref="H6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K65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H66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C69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Y71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71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C74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H86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K86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H87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K87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Y96" authorId="0" shapeId="0">
      <text>
        <r>
          <rPr>
            <b/>
            <sz val="10"/>
            <color indexed="81"/>
            <rFont val="Calibri"/>
          </rPr>
          <t>Syrian distribution as per Population Package of Intersector</t>
        </r>
      </text>
    </comment>
    <comment ref="AB96" authorId="0" shapeId="0">
      <text>
        <r>
          <rPr>
            <b/>
            <sz val="10"/>
            <color indexed="81"/>
            <rFont val="Calibri"/>
          </rPr>
          <t xml:space="preserve">Lebanese distr asper Population package
</t>
        </r>
      </text>
    </comment>
    <comment ref="K100" authorId="0" shapeId="0">
      <text>
        <r>
          <rPr>
            <b/>
            <sz val="10"/>
            <color indexed="81"/>
            <rFont val="Calibri"/>
          </rPr>
          <t>Target over 4 years is 1.5M S and L
40% target for first year</t>
        </r>
      </text>
    </comment>
    <comment ref="H114" authorId="0" shapeId="0">
      <text>
        <r>
          <rPr>
            <b/>
            <sz val="10"/>
            <color indexed="81"/>
            <rFont val="Calibri"/>
          </rPr>
          <t>half of the syrian households can be equipped with SWH; 15% for the first year; equal value to lebanese</t>
        </r>
      </text>
    </comment>
    <comment ref="C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D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  <comment ref="E135" authorId="0" shapeId="0">
      <text>
        <r>
          <rPr>
            <b/>
            <sz val="10"/>
            <color indexed="81"/>
            <rFont val="Calibri"/>
          </rPr>
          <t>nstallation of 40% of projects, targets and budget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</authors>
  <commentList>
    <comment ref="F33" authorId="0" shapeId="0">
      <text>
        <r>
          <rPr>
            <b/>
            <sz val="10"/>
            <color indexed="81"/>
            <rFont val="Calibri"/>
          </rPr>
          <t>15% of Syrian hh have access to LED the first year.
Equal amount to Lebanese HH</t>
        </r>
      </text>
    </comment>
    <comment ref="F34" authorId="0" shapeId="0">
      <text>
        <r>
          <rPr>
            <b/>
            <sz val="10"/>
            <color indexed="81"/>
            <rFont val="Calibri"/>
          </rPr>
          <t>Only 20% of total HH use electric stove
15% of the are targeted the first year
equal distribution between L and S</t>
        </r>
      </text>
    </comment>
    <comment ref="F92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G92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F93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G93" authorId="0" shapeId="0">
      <text>
        <r>
          <rPr>
            <b/>
            <sz val="10"/>
            <color indexed="81"/>
            <rFont val="Calibri"/>
          </rPr>
          <t>every 20MVA transformer would serve 5,000HH. 
40% of 7 20MVA transformers = 3
=&gt;3*5000HH = 15000HH
consider 5 persons per syrian HH and 4 per Lebanese HH</t>
        </r>
      </text>
    </comment>
    <comment ref="G119" authorId="0" shapeId="0">
      <text>
        <r>
          <rPr>
            <b/>
            <sz val="10"/>
            <color indexed="81"/>
            <rFont val="Calibri"/>
          </rPr>
          <t>Target over 4 years is 1.5M S and L
40% target for first year</t>
        </r>
      </text>
    </comment>
  </commentList>
</comments>
</file>

<file path=xl/sharedStrings.xml><?xml version="1.0" encoding="utf-8"?>
<sst xmlns="http://schemas.openxmlformats.org/spreadsheetml/2006/main" count="2871" uniqueCount="402">
  <si>
    <t>Frequency</t>
  </si>
  <si>
    <t>Baseline</t>
  </si>
  <si>
    <t>Activity 2</t>
  </si>
  <si>
    <t>Activity 3</t>
  </si>
  <si>
    <t>Definition / Description</t>
  </si>
  <si>
    <t>Indicator ID</t>
  </si>
  <si>
    <t>Outcome Indicators</t>
  </si>
  <si>
    <t>Output Indicator</t>
  </si>
  <si>
    <t>Budget</t>
  </si>
  <si>
    <t>Unit</t>
  </si>
  <si>
    <t>Akkar</t>
  </si>
  <si>
    <t>Baalbek-Hermel</t>
  </si>
  <si>
    <t>Beirut</t>
  </si>
  <si>
    <t>Bekaa</t>
  </si>
  <si>
    <t>Nabatiyeh</t>
  </si>
  <si>
    <t>North</t>
  </si>
  <si>
    <t>South</t>
  </si>
  <si>
    <t>A</t>
  </si>
  <si>
    <t>B</t>
  </si>
  <si>
    <t>C</t>
  </si>
  <si>
    <t>%</t>
  </si>
  <si>
    <t>SYR</t>
  </si>
  <si>
    <t>LEB</t>
  </si>
  <si>
    <t>Mount Lebanon</t>
  </si>
  <si>
    <t>% Humanitarian</t>
  </si>
  <si>
    <t>% Stabilization</t>
  </si>
  <si>
    <t>Output Budget (USD)</t>
  </si>
  <si>
    <t>All Population</t>
  </si>
  <si>
    <t>PRL</t>
  </si>
  <si>
    <t>PRS</t>
  </si>
  <si>
    <t>Vulnerable Lebanese</t>
  </si>
  <si>
    <t>In Need (persons)</t>
  </si>
  <si>
    <t>Means of Verification ( how to measure and who is responsible )</t>
  </si>
  <si>
    <t>Outcome</t>
  </si>
  <si>
    <t>Output</t>
  </si>
  <si>
    <t>TBD in 2018</t>
  </si>
  <si>
    <t>Targets 2017</t>
  </si>
  <si>
    <t>Target 2017</t>
  </si>
  <si>
    <t>Target 2018</t>
  </si>
  <si>
    <t>TBD 2018</t>
  </si>
  <si>
    <t>INST</t>
  </si>
  <si>
    <t>Targets 2018 (Optional)</t>
  </si>
  <si>
    <t>Institutions (List them)</t>
  </si>
  <si>
    <t xml:space="preserve">Budget </t>
  </si>
  <si>
    <t>LCRP 2017/2020 Sector Logframe template</t>
  </si>
  <si>
    <t xml:space="preserve">1. Please place each Outcome on a separate Sheet within the same workbook. </t>
  </si>
  <si>
    <t>2. Please use excel formulas to sum up the budgets and % Humanitarian/Stabilization</t>
  </si>
  <si>
    <t xml:space="preserve">3. 2017/2018 budgets and targets are mandatory </t>
  </si>
  <si>
    <t>4. For institutions, you can modify the column headings and add as many columns as necessary; 1 colum per institution. Ex: School, Municipalities, SDCs , Water establishments, central ministries, etc…</t>
  </si>
  <si>
    <t>Lead Ministry</t>
  </si>
  <si>
    <t>Coordinating Agency</t>
  </si>
  <si>
    <t>Contact Information</t>
  </si>
  <si>
    <t>6. File Name should be "LCRP_2017_SECTOR_LOGFRAME_Version</t>
  </si>
  <si>
    <t>5. Please make sure to update the document version on the summary page, Cell B1</t>
  </si>
  <si>
    <t>SECTOR Name</t>
  </si>
  <si>
    <t>Target 2020</t>
  </si>
  <si>
    <t>Means of Verification ( how to measure and who is responsible, tools used )</t>
  </si>
  <si>
    <t>% vulnerable populations with improved quality of electricity</t>
  </si>
  <si>
    <t>% vulnerable populations with improved supply hours of electricity</t>
  </si>
  <si>
    <t>% vulnerable populations with access to sustainable renewable energy</t>
  </si>
  <si>
    <t>measure the improvement of quality due to rehabilitation/upgrading of the electricity infrastructure in affected areas</t>
  </si>
  <si>
    <t>Assessment study in 2018</t>
  </si>
  <si>
    <t>bi-yearly</t>
  </si>
  <si>
    <t>D</t>
  </si>
  <si>
    <t>Activity 1</t>
  </si>
  <si>
    <t>Activity 4</t>
  </si>
  <si>
    <t>Activity 5</t>
  </si>
  <si>
    <t>Activity 6</t>
  </si>
  <si>
    <t>Activity 7</t>
  </si>
  <si>
    <t>Activity 8</t>
  </si>
  <si>
    <t>List of Activities under output 1.1</t>
  </si>
  <si>
    <t>List of Activities under output 1.2</t>
  </si>
  <si>
    <t>List of Activities under output 1.3</t>
  </si>
  <si>
    <t>List of Activities under output 1.4</t>
  </si>
  <si>
    <t>List of indicators used to measure Output 1.1</t>
  </si>
  <si>
    <t>number of sites and municipalities with access to off-grid street lighting</t>
  </si>
  <si>
    <t>number of public wells with installed solar power for water pumping</t>
  </si>
  <si>
    <t>number of persons engaged at MoEW and EdL to assist in projects implementation</t>
  </si>
  <si>
    <t>Activity Info and/or direct reporting to LCEC/MoEW</t>
  </si>
  <si>
    <t>#</t>
  </si>
  <si>
    <t>Quarterly</t>
  </si>
  <si>
    <t>quarterly</t>
  </si>
  <si>
    <t>Activity Info and direct reporting to EdL/MoEW</t>
  </si>
  <si>
    <t>activity Info and direct reporting to EdL/MoEW</t>
  </si>
  <si>
    <t>number of persons engaged at MoEW to assist in projects implementation</t>
  </si>
  <si>
    <t>number of public institutions and/or households that have undergone an awareness campaign on Energy Conservation</t>
  </si>
  <si>
    <t>number of households with access to solar water heaters</t>
  </si>
  <si>
    <t>-</t>
  </si>
  <si>
    <t>number of households with access to LED lights</t>
  </si>
  <si>
    <t>number of households with access to solar cookers</t>
  </si>
  <si>
    <t>number of public schools with access to LED lights and  motion detectors</t>
  </si>
  <si>
    <t>Beirut and Mount Lebanon</t>
  </si>
  <si>
    <t>South Lebanon</t>
  </si>
  <si>
    <t>North Lebanon</t>
  </si>
  <si>
    <t>Total</t>
  </si>
  <si>
    <t>Total number of Public Wells</t>
  </si>
  <si>
    <t>Small Systems</t>
  </si>
  <si>
    <t>(&lt; 100 kWp)</t>
  </si>
  <si>
    <t>Large Systems</t>
  </si>
  <si>
    <t>(100-500 kWp)</t>
  </si>
  <si>
    <t>SOLAR PV FARMS</t>
  </si>
  <si>
    <t>kWp</t>
  </si>
  <si>
    <t>kW generated upon installation of solar PV farms for communities or institutions</t>
  </si>
  <si>
    <t>Baalbeck-Hermel</t>
  </si>
  <si>
    <t>Nabatieh</t>
  </si>
  <si>
    <t>Dist of Public Schools</t>
  </si>
  <si>
    <t>Dist of Public Healthcare</t>
  </si>
  <si>
    <t>number of consumers reached as a result of rehabilitating transformers, incl. provision of MV feeders</t>
  </si>
  <si>
    <t>2017 Budget Per Region</t>
  </si>
  <si>
    <t>Estimated No. of New Transfos</t>
  </si>
  <si>
    <t>Estimated No. of Rehab. Transfos</t>
  </si>
  <si>
    <t>OH</t>
  </si>
  <si>
    <t>UG</t>
  </si>
  <si>
    <t>% Lebanese</t>
  </si>
  <si>
    <t>%Syrians</t>
  </si>
  <si>
    <t>4M lebanese served by 18200 transformers</t>
  </si>
  <si>
    <t>5.85M today served by 18200+700new transformers</t>
  </si>
  <si>
    <t>number of consumers reached as a result of installing new transformers, incl. provision of MV feeders</t>
  </si>
  <si>
    <t>OVERALL Budget</t>
  </si>
  <si>
    <t>AKKAR</t>
  </si>
  <si>
    <t>NORTH</t>
  </si>
  <si>
    <t>BEKAA</t>
  </si>
  <si>
    <t>BAALBEK-EL HERMEL</t>
  </si>
  <si>
    <t>BEIRUT</t>
  </si>
  <si>
    <t>MOUNT LEBANON</t>
  </si>
  <si>
    <t>SOUTH</t>
  </si>
  <si>
    <t>EL NABATIEH</t>
  </si>
  <si>
    <t>Syrian Population</t>
  </si>
  <si>
    <t>Solar Water Heaters are provided in Residential facilities</t>
  </si>
  <si>
    <t>Solar powered pumps are provided in public wells</t>
  </si>
  <si>
    <t>Solar PV farms are installed for Electricity generation</t>
  </si>
  <si>
    <t>Capacity building is provided to MoEW to assist in implementation of renewable energy projects</t>
  </si>
  <si>
    <t>Awareness campaigns on energy efficiency and energy conservation are conducted at household and instutional levels</t>
  </si>
  <si>
    <t>Energy Audits are conducted in Public Healthcare facilities</t>
  </si>
  <si>
    <t>Variable Speed drives for pumps on water wells are installed</t>
  </si>
  <si>
    <t>Capacity building is provided to MoEW to assist in implementation of energy efficiency projects</t>
  </si>
  <si>
    <t>Motion Detectors are installed in public schools</t>
  </si>
  <si>
    <t>Motion Detectors are installed in public healthcare institutions</t>
  </si>
  <si>
    <t>Indoor LED lighting is provided in permanent locations</t>
  </si>
  <si>
    <t>Solar Cookers are provided in permanent locations</t>
  </si>
  <si>
    <t>Indoor LED lighting is installed in Schools</t>
  </si>
  <si>
    <t xml:space="preserve">66 kV incoming Bays are installed </t>
  </si>
  <si>
    <t>40MVA transformers are installed</t>
  </si>
  <si>
    <t>66 kV outgoing Bays are installed</t>
  </si>
  <si>
    <t>20MVA transformers are installed</t>
  </si>
  <si>
    <t>MV switchgears are installed</t>
  </si>
  <si>
    <t>Capacity building is provided to MoEW to implement works on the transmission network</t>
  </si>
  <si>
    <t>New transformers including LV cables and poles as needed are provided and installed</t>
  </si>
  <si>
    <t xml:space="preserve">Existing MV/LV transformers  including LV cables and poles as needed are rehabilitated </t>
  </si>
  <si>
    <t>Reinforcing MV/LV feeders are provided and installed</t>
  </si>
  <si>
    <t>Capacity building is provided to MoEW to implement works on the distribution network</t>
  </si>
  <si>
    <t>number of public health institutions that have undergone an Energy Audit measures implemented</t>
  </si>
  <si>
    <t>number of households with access to energy efficient products</t>
  </si>
  <si>
    <t>number of households reached through installation of necessary equipment to reinforce the transmission network</t>
  </si>
  <si>
    <t>number of households reached through installation of necessary equipment to reinforce the distribution network</t>
  </si>
  <si>
    <t>% vulnerable populations with access to  energy efficient products</t>
  </si>
  <si>
    <t>Lebanese</t>
  </si>
  <si>
    <t>Syrians</t>
  </si>
  <si>
    <t>Off-grid lighting is provided in municipalities and around informal sites</t>
  </si>
  <si>
    <t>number of public institutions (schools, healtcare) with access to energy efficient products</t>
  </si>
  <si>
    <t>number of Households and public institutions (schools, healtcare) with access to energy efficient products</t>
  </si>
  <si>
    <t>Alternatives sources of power generation to manage supply</t>
  </si>
  <si>
    <t>Energy efficient products to manage demand side</t>
  </si>
  <si>
    <t>Reinforcement of the grid to improve quality of supply and manage increased load</t>
  </si>
  <si>
    <t>TARGETS 2020</t>
  </si>
  <si>
    <t>TARGETS 2017</t>
  </si>
  <si>
    <t>New transformers including LV cables and poles as needed 
are provided and installed</t>
  </si>
  <si>
    <t>Capacity building is provided to MoEW to implement 
works on the distribution network</t>
  </si>
  <si>
    <t>number of persons reached through installation of necessary equipment to reinforce the distribution network</t>
  </si>
  <si>
    <t>number of persons reached through installation of necessary equipment to reinforce the transmission network</t>
  </si>
  <si>
    <t>number of persons reached through installation of 20MVA transformers and other necessary equipment to reinforce the transmission network</t>
  </si>
  <si>
    <t>number of personsreached through installation of 40MVA transformers and other necessary equipment to reinforce the transmission network</t>
  </si>
  <si>
    <t>number of households with access to energy efficient products (indoor LED and Solar cookers)</t>
  </si>
  <si>
    <t>Indoor LED lighting is provided in households</t>
  </si>
  <si>
    <t>Solar Cookers are provided in households</t>
  </si>
  <si>
    <t xml:space="preserve">number of public health institutions that have undergone an Energy Audit measures </t>
  </si>
  <si>
    <t>number of wells equipped with variable speed pumps</t>
  </si>
  <si>
    <t>solar PV farms installed for communities or institutions</t>
  </si>
  <si>
    <t>systems</t>
  </si>
  <si>
    <t>individuals</t>
  </si>
  <si>
    <t>vulnerable localities</t>
  </si>
  <si>
    <t>wells</t>
  </si>
  <si>
    <t>public institution
Household</t>
  </si>
  <si>
    <t>number of persons with access to solar water heaters</t>
  </si>
  <si>
    <t>114
50,100</t>
  </si>
  <si>
    <t>757
333,869</t>
  </si>
  <si>
    <t>Effect of Syrian Refugees on the Electrical Distribution Network (Oct.-2016)</t>
  </si>
  <si>
    <t>Total # Of Syrian Refugees</t>
  </si>
  <si>
    <t xml:space="preserve">No. of Syrian Refugees </t>
  </si>
  <si>
    <t xml:space="preserve">In Informal Settlements </t>
  </si>
  <si>
    <t>Inside Bldgs/Cities</t>
  </si>
  <si>
    <t>Total Mwh Consumed by Syrian Refugees</t>
  </si>
  <si>
    <t>Installation Capacity Required (MV/LV) in kva</t>
  </si>
  <si>
    <t>Each MV/LV Tranfo required in kva</t>
  </si>
  <si>
    <t>No. of Transfos for 2017</t>
  </si>
  <si>
    <t>No. of Transfos for 2018</t>
  </si>
  <si>
    <t>No. of Transfos for 2019</t>
  </si>
  <si>
    <t>No. of Transfos for 2020</t>
  </si>
  <si>
    <t>Transfo. Utilization Factor</t>
  </si>
  <si>
    <t>Total No. of Tranfos Required</t>
  </si>
  <si>
    <t>EDL Meter Subsc. For 3x400amps (33,000,000L.L.)</t>
  </si>
  <si>
    <t>Budget in M$ for New Network</t>
  </si>
  <si>
    <t>Budget in M$ for Transfos Rehab/Upgrade</t>
  </si>
  <si>
    <t>No. of New (MV/LV) Feeders Required (Av. 50 Transfos Per Feeder)</t>
  </si>
  <si>
    <t>Est. Budget for MV/LV Feeders (OH - $50,000 Per km for 9km)</t>
  </si>
  <si>
    <t>Est. Budget for MV/LV Feeders (UG - $75,000 Per km for 9km)</t>
  </si>
  <si>
    <t>Estimated no. Of Maintenance Operators (Est. 6 per Transfo)</t>
  </si>
  <si>
    <t>Estimated Salaries Per Year</t>
  </si>
  <si>
    <t>Salaries for 4 Years</t>
  </si>
  <si>
    <t>Total Budget in $</t>
  </si>
  <si>
    <t>TOTAL</t>
  </si>
  <si>
    <t>Governorate/District</t>
  </si>
  <si>
    <t>TOTAL LEBANESE</t>
  </si>
  <si>
    <t>TOTAL SYRIANS</t>
  </si>
  <si>
    <t>% from Total</t>
  </si>
  <si>
    <t>2018 Budget Per Region</t>
  </si>
  <si>
    <t>2019Budget Per Region</t>
  </si>
  <si>
    <t>2020Budget Per Region</t>
  </si>
  <si>
    <t>El Batroun</t>
  </si>
  <si>
    <t>Bcharre</t>
  </si>
  <si>
    <t>El Koura</t>
  </si>
  <si>
    <t>El Minieh-Dennie</t>
  </si>
  <si>
    <t>Tripoli</t>
  </si>
  <si>
    <t>Zgharta</t>
  </si>
  <si>
    <t>Rachaya</t>
  </si>
  <si>
    <t>West Bekaa</t>
  </si>
  <si>
    <t>Zahle</t>
  </si>
  <si>
    <t>Baalbek</t>
  </si>
  <si>
    <t>El Hermel</t>
  </si>
  <si>
    <t>Aley</t>
  </si>
  <si>
    <t>Baabda</t>
  </si>
  <si>
    <t>Chouf</t>
  </si>
  <si>
    <t>El Meten</t>
  </si>
  <si>
    <t>Jbeil</t>
  </si>
  <si>
    <t>Kesrwane</t>
  </si>
  <si>
    <t>Jezzine</t>
  </si>
  <si>
    <t>Saida</t>
  </si>
  <si>
    <t>Sour</t>
  </si>
  <si>
    <t>El Nabatieh</t>
  </si>
  <si>
    <t>Bent Jbeil</t>
  </si>
  <si>
    <t>Hasbaya</t>
  </si>
  <si>
    <t>Marjaayoun</t>
  </si>
  <si>
    <t>Grand Total</t>
  </si>
  <si>
    <t>New transf for Syrians</t>
  </si>
  <si>
    <t>UNIT</t>
  </si>
  <si>
    <t>Key Indicators</t>
  </si>
  <si>
    <t>ENERGY</t>
  </si>
  <si>
    <t>MoEW</t>
  </si>
  <si>
    <t>Suzy Hoayek
Suzy.hoayek@gmail.com</t>
  </si>
  <si>
    <t>ENERGY SECTOR Total budget (USD)</t>
  </si>
  <si>
    <t>Displaced Syrians</t>
  </si>
  <si>
    <t>90 Public Healthcare Institutions
24 Public Schools
4 Water Establishments
1 Ministry (MoEW)
Municipalities (TBD)</t>
  </si>
  <si>
    <t>Energy Audits are conducted in Public Hospitals and Public healthcare institutions and measures implemented</t>
  </si>
  <si>
    <t>597 Public Healthcare Institutions
160 Public Schools
4 Water Establishments
1 Ministry (MoEW)
Municipalities (TBD)</t>
  </si>
  <si>
    <t>TARGETS 2018</t>
  </si>
  <si>
    <t>239 Public Healthcare Institutions
64 Public Schools
4 Water Establishments
1 Ministry (MoEW)
Municipalities (TBD)</t>
  </si>
  <si>
    <t>ActivityName</t>
  </si>
  <si>
    <t>Category</t>
  </si>
  <si>
    <t>Name</t>
  </si>
  <si>
    <t>Units</t>
  </si>
  <si>
    <t>Beirut/Countrywide</t>
  </si>
  <si>
    <t>Baalbek_Hermel</t>
  </si>
  <si>
    <t>Mont Lebanon</t>
  </si>
  <si>
    <t>El Nabatiyeh</t>
  </si>
  <si>
    <t>Energy</t>
  </si>
  <si>
    <t>OUTPUT 1.1:</t>
  </si>
  <si>
    <t>ENR: OUTPUT 1.1: Target (# of SYR persons with access to solar water heaters)</t>
  </si>
  <si>
    <t>Individuals</t>
  </si>
  <si>
    <t>ENR: OUTPUT 1.1: Target (# of PRS persons with access to solar water heaters)</t>
  </si>
  <si>
    <t>ENR: OUTPUT 1.1: Target (# of PRL persons with access to solar water heaters)</t>
  </si>
  <si>
    <t>ENR: OUTPUT 1.1: Target (# of LEB persons with access to solar water heaters)</t>
  </si>
  <si>
    <t>ENR: OUTPUT 1.1: Target (# of sites and municipalities with access to off-grid street lighting)</t>
  </si>
  <si>
    <t>Sites/Municipalities</t>
  </si>
  <si>
    <t>ENR: OUTPUT 1.1: Target (# of public wells with installed solar power for water pumping)</t>
  </si>
  <si>
    <t>Wells</t>
  </si>
  <si>
    <t>ENR: OUTPUT 1.1: Target (# of solar PV systems installed for communities or institutions)</t>
  </si>
  <si>
    <t>ENR: OUTPUT 1.1: Target (# of persons engaged at MoEW to assist in projects implementation)</t>
  </si>
  <si>
    <t>Staff</t>
  </si>
  <si>
    <t>OUTPUT 1.2:</t>
  </si>
  <si>
    <t>ENR: OUTPUT 1.2: Target (# of SYR households with access to energy efficient products (indoor LED and Solar cookers))</t>
  </si>
  <si>
    <t>Households</t>
  </si>
  <si>
    <t>ENR: OUTPUT 1.2: Target (# of PRS households with access to energy efficient products (indoor LED and Solar cookers))</t>
  </si>
  <si>
    <t>ENR: OUTPUT 1.2: Target (# of PRL households with access to energy efficient products (indoor LED and Solar cookers))</t>
  </si>
  <si>
    <t>ENR: OUTPUT 1.2: Target (# of LEB households with access to energy efficient products (indoor LED and Solar cookers))</t>
  </si>
  <si>
    <t>ENR: OUTPUT 1.2: Target (# of public institutions (schools, healtcare) with access to energy efficient products)</t>
  </si>
  <si>
    <t>Institutions</t>
  </si>
  <si>
    <t>ENR: OUTPUT 1.2: Target (# of wells equipped with variable speed pumps)</t>
  </si>
  <si>
    <t>ENR: OUTPUT 1.2: Target (# of public institutions and/or households that have undergone an awareness campaign on Energy Conservation)</t>
  </si>
  <si>
    <t>Institutions/Households</t>
  </si>
  <si>
    <t>OUTPUT 1.3:</t>
  </si>
  <si>
    <t>ENR: OUTPUT 1.3: Target (# of SYR persons reached through installation of necessary equipment to reinforce the transmission network)</t>
  </si>
  <si>
    <t>ENR: OUTPUT 1.3: Target (# of PRS persons reached through installation of necessary equipment to reinforce the transmission network)</t>
  </si>
  <si>
    <t>ENR: OUTPUT 1.3: Target (# of PRL persons reached through installation of necessary equipment to reinforce the transmission network)</t>
  </si>
  <si>
    <t>ENR: OUTPUT 1.3: Target (# of LEB persons reached through installation of necessary equipment to reinforce the transmission network)</t>
  </si>
  <si>
    <t>ENR: OUTPUT 1.3: Target (# of persons engaged at MoEW and EdL to assist in projects implementation)</t>
  </si>
  <si>
    <t>OUTPUT 1.4:</t>
  </si>
  <si>
    <t>ENR: OUTPUT 1.4: Target (# of SYR persons reached through installation of necessary equipment to reinforce the distribution network)</t>
  </si>
  <si>
    <t>ENR: OUTPUT 1.4: Target (# of PRS persons reached through installation of necessary equipment to reinforce the distribution network)</t>
  </si>
  <si>
    <t>ENR: OUTPUT 1.4: Target (# of PRL persons reached through installation of necessary equipment to reinforce the distribution network)</t>
  </si>
  <si>
    <t>ENR: OUTPUT 1.4: Target (# of LEB persons reached through installation of necessary equipment to reinforce the distribution network)</t>
  </si>
  <si>
    <t>ENR: OUTPUT 1.4: Target (# of persons engaged at MoEW and EdL to assist in projects implementation)</t>
  </si>
  <si>
    <t>ENR: OUTPUT 1.2: Target (# of persons engaged at MoEW to assist in projects implementation)</t>
  </si>
  <si>
    <t>TARGET VALUES 2017 (MoEW's Appeal Budegt 30MUSD)</t>
  </si>
  <si>
    <t>TARGET VALUES 2017 (Total Appeal Budget 99MUSD)</t>
  </si>
  <si>
    <t># of persons benefitting from SWH units</t>
  </si>
  <si>
    <t>monthly</t>
  </si>
  <si>
    <t># of municipalities or IS sites</t>
  </si>
  <si>
    <t xml:space="preserve"># of public wells serviced </t>
  </si>
  <si>
    <t># of systems installed</t>
  </si>
  <si>
    <t xml:space="preserve"># of persons </t>
  </si>
  <si>
    <t># of households benefitting from LED lights</t>
  </si>
  <si>
    <t># of households benefitting from solar cookers</t>
  </si>
  <si>
    <t xml:space="preserve"># of public schools serviced </t>
  </si>
  <si>
    <t># of public healthcare institutions serviced</t>
  </si>
  <si>
    <t># of public wells serviced</t>
  </si>
  <si>
    <t># of households/public institutions</t>
  </si>
  <si>
    <t># of persons reached through installation of equipment</t>
  </si>
  <si>
    <t>% Lebanese from Total</t>
  </si>
  <si>
    <t>% Syrians from Total</t>
  </si>
  <si>
    <t>TOTAL LEBANESE+Syrians</t>
  </si>
  <si>
    <t>% Lebanese from Total Lebanese</t>
  </si>
  <si>
    <t>% Syrians from Total Syrians</t>
  </si>
  <si>
    <t>Promoting installation of legal electrical connections</t>
  </si>
  <si>
    <t># of electrical connections installed</t>
  </si>
  <si>
    <r>
      <rPr>
        <b/>
        <sz val="20"/>
        <rFont val="Calibri"/>
        <family val="2"/>
        <scheme val="minor"/>
      </rPr>
      <t>IMPACT 1:</t>
    </r>
    <r>
      <rPr>
        <b/>
        <sz val="18"/>
        <color theme="8"/>
        <rFont val="Calibri"/>
        <family val="2"/>
        <scheme val="minor"/>
      </rPr>
      <t xml:space="preserve">   By the year 2020, all vulnerable populations in Lebanon will have an improved, equitable and gender appropriate access to Electricity in terms of quality, quantity and sustainability.</t>
    </r>
  </si>
  <si>
    <t>List of indicators used to measure Outcome 1</t>
  </si>
  <si>
    <t>Outcome Indicator</t>
  </si>
  <si>
    <t>increase in MWh resulting from installed capacity through renewable energy sources</t>
  </si>
  <si>
    <t>Direct reporting to LCEC/MoEW</t>
  </si>
  <si>
    <t>MWh</t>
  </si>
  <si>
    <t>yearly</t>
  </si>
  <si>
    <t>Targets 2018</t>
  </si>
  <si>
    <t>Targets 2019 (Optional)</t>
  </si>
  <si>
    <t>Budget 1</t>
  </si>
  <si>
    <t>Outcome Budget (USD)</t>
  </si>
  <si>
    <t>year 2018</t>
  </si>
  <si>
    <t>Targets per governorate (Mandatory at output level) - required for 2018 only</t>
  </si>
  <si>
    <t>number of solar water heaters provided to HH</t>
  </si>
  <si>
    <t>Activity Info and direct reporting to LCEC/MoEW</t>
  </si>
  <si>
    <t>Activity Info and direct reporting to LCEC/MoEW and municipalities</t>
  </si>
  <si>
    <t>Activity Info and direct reporting to LCEC/MoEW and WE's</t>
  </si>
  <si>
    <t>List of indicators used to measure Outcome 2</t>
  </si>
  <si>
    <t xml:space="preserve">Reduction resulting from installed capacity through energy efficient measures in MWh </t>
  </si>
  <si>
    <t>Budget 2</t>
  </si>
  <si>
    <t>List of indicators used to measure Output 2.1</t>
  </si>
  <si>
    <t>List of Activities under output 2.1</t>
  </si>
  <si>
    <t>Activity Info and direct reporting to MoEW</t>
  </si>
  <si>
    <t>Indoor LED lighting and Motion detectors are installed in Schools</t>
  </si>
  <si>
    <r>
      <rPr>
        <b/>
        <sz val="18"/>
        <rFont val="Calibri"/>
        <family val="2"/>
        <scheme val="minor"/>
      </rPr>
      <t>OUTCOME 3:</t>
    </r>
    <r>
      <rPr>
        <b/>
        <sz val="18"/>
        <color theme="8"/>
        <rFont val="Calibri"/>
        <family val="2"/>
        <scheme val="minor"/>
      </rPr>
      <t xml:space="preserve"> Improve access to electricity through Rehabilitation and Reinforcement works on the Transmission and Distribution networks</t>
    </r>
  </si>
  <si>
    <t>List of indicators used to measure Outcome 3</t>
  </si>
  <si>
    <t>Activity Info and/or direct reporting to MoEW</t>
  </si>
  <si>
    <t>Budget 3</t>
  </si>
  <si>
    <t>List of indicators used to measure Output 3.1</t>
  </si>
  <si>
    <t>List of indicators used to measure Output 3.2</t>
  </si>
  <si>
    <t>List of Activities under output 3.2</t>
  </si>
  <si>
    <t>activity Info and direct reporting to MoEW</t>
  </si>
  <si>
    <r>
      <t xml:space="preserve">OUTCOME 4: </t>
    </r>
    <r>
      <rPr>
        <b/>
        <sz val="18"/>
        <color theme="4" tint="-0.249977111117893"/>
        <rFont val="Calibri (Body)"/>
      </rPr>
      <t>Enhance capacity of MoEW to plan, budget and oversee energy sector initiatives</t>
    </r>
  </si>
  <si>
    <t>List of indicators used to measure Outcome 4</t>
  </si>
  <si>
    <t>number of new energy initiatives resulting from capacity development and support to MoEW</t>
  </si>
  <si>
    <t>number of projects identified and implemented by the recruited staff at MoEW</t>
  </si>
  <si>
    <t># of projects</t>
  </si>
  <si>
    <t>Budget 4</t>
  </si>
  <si>
    <t>List of indicators used to measure Output 4.1</t>
  </si>
  <si>
    <t>number of staff provided to MoEW to assist in implementation of projects</t>
  </si>
  <si>
    <t># of persons</t>
  </si>
  <si>
    <t>List of Activities under output 4.1</t>
  </si>
  <si>
    <t>number of staff provided to MoEW to assist in implementation of renewable energy and energy efficient projects</t>
  </si>
  <si>
    <t>number of staff provided to MoEW to implement works on the transmission network</t>
  </si>
  <si>
    <t>number of staff provided to MoEW to implement works on the distribution network</t>
  </si>
  <si>
    <t>Impact Budget (USD)</t>
  </si>
  <si>
    <t>Impact Indicators</t>
  </si>
  <si>
    <t>measure the improvement in the number of supply hours of electricity due to implementation of renewable energy sources and promotion of energy efficiency products in affected areas</t>
  </si>
  <si>
    <t>List of Activities under output 3.1</t>
  </si>
  <si>
    <t>Targeted 2018</t>
  </si>
  <si>
    <t>Indicative Target 2019</t>
  </si>
  <si>
    <t>OUTCOME 4: Enhance capacity of MoEW to plan, budget and oversee energy sector initiatives</t>
  </si>
  <si>
    <t>OUTCOME 3: Improve access to electricity through Rehabilitation and Reinforcement works on the Transmission and Distribution networks</t>
  </si>
  <si>
    <t>OUTCOME 2: Reduction in Energy demand due to implementation of Energy Efficiency Initiatives</t>
  </si>
  <si>
    <t>OUTCOME 1: Increase in Energy production through implementation of Renewable Energy Sources</t>
  </si>
  <si>
    <t>Distributed Renewable Energy Power Generation:</t>
  </si>
  <si>
    <t>number of Renewable Energy power generation systems installed for communities and/or institutions</t>
  </si>
  <si>
    <t xml:space="preserve">OUTPUT 4.1: Staff provided to MoEW to plan, budget and oversee energy sector initiatives </t>
  </si>
  <si>
    <t xml:space="preserve">OUTPUT 3.2: Distribution network reinforced through installation of MV/LV transformers </t>
  </si>
  <si>
    <t xml:space="preserve">OUTPUT 3.1: Transmission network reinforced through installation of HV/MV transformers </t>
  </si>
  <si>
    <r>
      <rPr>
        <b/>
        <sz val="18"/>
        <rFont val="Calibri"/>
        <family val="2"/>
        <scheme val="minor"/>
      </rPr>
      <t>OUTCOME 3:</t>
    </r>
    <r>
      <rPr>
        <b/>
        <sz val="18"/>
        <color theme="8"/>
        <rFont val="Calibri"/>
        <family val="2"/>
        <scheme val="minor"/>
      </rPr>
      <t xml:space="preserve"> Improve access to electricity </t>
    </r>
  </si>
  <si>
    <t>OUTPUT 2.1: : Energy efficient products provided to households and public institutions</t>
  </si>
  <si>
    <r>
      <rPr>
        <b/>
        <sz val="18"/>
        <rFont val="Calibri"/>
        <family val="2"/>
        <scheme val="minor"/>
      </rPr>
      <t>OUTCOME 2:</t>
    </r>
    <r>
      <rPr>
        <b/>
        <sz val="18"/>
        <color theme="8"/>
        <rFont val="Calibri"/>
        <family val="2"/>
        <scheme val="minor"/>
      </rPr>
      <t xml:space="preserve"> Increase savings on energy demand from energy efficient initiatives</t>
    </r>
  </si>
  <si>
    <t>OUTPUT 1.1: Renewable Energy systems implemented</t>
  </si>
  <si>
    <r>
      <rPr>
        <b/>
        <sz val="18"/>
        <rFont val="Calibri"/>
        <family val="2"/>
        <scheme val="minor"/>
      </rPr>
      <t>OUTCOME 1:</t>
    </r>
    <r>
      <rPr>
        <b/>
        <sz val="18"/>
        <color theme="8"/>
        <rFont val="Calibri"/>
        <family val="2"/>
        <scheme val="minor"/>
      </rPr>
      <t xml:space="preserve"> Increase energy production from renewable energy sources</t>
    </r>
  </si>
  <si>
    <r>
      <rPr>
        <b/>
        <sz val="18"/>
        <rFont val="Calibri"/>
        <family val="2"/>
        <scheme val="minor"/>
      </rPr>
      <t>OUTCOME 2:</t>
    </r>
    <r>
      <rPr>
        <b/>
        <sz val="18"/>
        <color theme="8"/>
        <rFont val="Calibri"/>
        <family val="2"/>
        <scheme val="minor"/>
      </rPr>
      <t xml:space="preserve"> Reduce energy demand due to implementation of energy efficient initiatives</t>
    </r>
  </si>
  <si>
    <t xml:space="preserve">OUTPUT 2.1: : Energy efficient products to households and public institutions provided </t>
  </si>
  <si>
    <t xml:space="preserve">OUTPUT 3.2: Distribution network reinforced through the installation of MV/LV transformers </t>
  </si>
  <si>
    <t xml:space="preserve">OUTPUT 3.1: Transmission network reinforced through the installation of HV/MV transformers </t>
  </si>
  <si>
    <t>OUTPUT 4.1: MoEW staff specialized in different areas of the Energy sector provided</t>
  </si>
  <si>
    <r>
      <rPr>
        <b/>
        <sz val="18"/>
        <rFont val="Calibri"/>
        <family val="2"/>
        <scheme val="minor"/>
      </rPr>
      <t>OUTCOME 1:</t>
    </r>
    <r>
      <rPr>
        <b/>
        <sz val="18"/>
        <color theme="8"/>
        <rFont val="Calibri"/>
        <family val="2"/>
        <scheme val="minor"/>
      </rPr>
      <t xml:space="preserve"> Increase energy production through implementation of renewable energy sources</t>
    </r>
  </si>
  <si>
    <t>Target 2019</t>
  </si>
  <si>
    <t>Targets 2020 (Optional)</t>
  </si>
  <si>
    <t>OUTCOME 1</t>
  </si>
  <si>
    <t>OUTCOME 3</t>
  </si>
  <si>
    <t>OUTCOME 4</t>
  </si>
  <si>
    <t>OUTCOME 2</t>
  </si>
  <si>
    <t>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</si>
</sst>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"/>
  </numFmts>
  <fonts count="5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8"/>
      <color theme="8"/>
      <name val="Calibri"/>
      <family val="2"/>
      <scheme val="minor"/>
    </font>
    <font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name val="Calibri"/>
      <family val="2"/>
      <scheme val="minor"/>
    </font>
    <font>
      <sz val="14"/>
      <name val="Calibri Light"/>
      <family val="2"/>
      <scheme val="major"/>
    </font>
    <font>
      <sz val="12"/>
      <name val="Calibri Light"/>
      <family val="2"/>
      <scheme val="major"/>
    </font>
    <font>
      <b/>
      <sz val="22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Calibri"/>
    </font>
    <font>
      <sz val="11"/>
      <color rgb="FF000000"/>
      <name val="Calibri"/>
    </font>
    <font>
      <b/>
      <sz val="11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name val="Book Antiqua"/>
      <family val="1"/>
    </font>
    <font>
      <b/>
      <sz val="11"/>
      <name val="Cambria"/>
      <family val="1"/>
    </font>
    <font>
      <b/>
      <sz val="12"/>
      <name val="Cambria"/>
      <family val="1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Book Antiqua"/>
      <family val="1"/>
    </font>
    <font>
      <sz val="10"/>
      <color theme="1"/>
      <name val="Calibri"/>
      <family val="2"/>
      <scheme val="minor"/>
    </font>
    <font>
      <b/>
      <sz val="18"/>
      <color theme="4" tint="-0.249977111117893"/>
      <name val="Calibri (Body)"/>
    </font>
    <font>
      <sz val="1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indexed="81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ck">
        <color theme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medium">
        <color theme="6" tint="-0.249977111117893"/>
      </left>
      <right style="medium">
        <color auto="1"/>
      </right>
      <top style="medium">
        <color theme="6" tint="-0.249977111117893"/>
      </top>
      <bottom style="medium">
        <color theme="6" tint="-0.249977111117893"/>
      </bottom>
      <diagonal/>
    </border>
    <border>
      <left/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 style="thin">
        <color auto="1"/>
      </right>
      <top style="medium">
        <color theme="6" tint="-0.249977111117893"/>
      </top>
      <bottom style="thin">
        <color auto="1"/>
      </bottom>
      <diagonal/>
    </border>
    <border>
      <left style="thin">
        <color auto="1"/>
      </left>
      <right style="medium">
        <color theme="6" tint="-0.249977111117893"/>
      </right>
      <top style="medium">
        <color theme="6" tint="-0.249977111117893"/>
      </top>
      <bottom style="thin">
        <color auto="1"/>
      </bottom>
      <diagonal/>
    </border>
    <border>
      <left style="medium">
        <color theme="6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6" tint="-0.249977111117893"/>
      </right>
      <top style="thin">
        <color auto="1"/>
      </top>
      <bottom style="thin">
        <color auto="1"/>
      </bottom>
      <diagonal/>
    </border>
    <border>
      <left style="medium">
        <color theme="6" tint="-0.249977111117893"/>
      </left>
      <right style="thin">
        <color auto="1"/>
      </right>
      <top style="thin">
        <color auto="1"/>
      </top>
      <bottom style="medium">
        <color theme="6" tint="-0.249977111117893"/>
      </bottom>
      <diagonal/>
    </border>
    <border>
      <left style="thin">
        <color auto="1"/>
      </left>
      <right style="medium">
        <color theme="6" tint="-0.249977111117893"/>
      </right>
      <top style="thin">
        <color auto="1"/>
      </top>
      <bottom style="medium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6" tint="-0.249977111117893"/>
      </top>
      <bottom style="thin">
        <color theme="6" tint="-0.249977111117893"/>
      </bottom>
      <diagonal/>
    </border>
  </borders>
  <cellStyleXfs count="25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wrapText="1"/>
    </xf>
    <xf numFmtId="0" fontId="9" fillId="0" borderId="2" xfId="2" applyFont="1" applyBorder="1" applyAlignment="1">
      <alignment horizontal="left" vertical="center"/>
    </xf>
    <xf numFmtId="0" fontId="0" fillId="0" borderId="2" xfId="0" applyBorder="1"/>
    <xf numFmtId="0" fontId="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wrapText="1"/>
    </xf>
    <xf numFmtId="166" fontId="10" fillId="0" borderId="0" xfId="3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9" fillId="0" borderId="0" xfId="2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20" fillId="0" borderId="0" xfId="0" applyFont="1" applyAlignment="1">
      <alignment wrapText="1"/>
    </xf>
    <xf numFmtId="0" fontId="21" fillId="0" borderId="0" xfId="2" applyFont="1" applyBorder="1" applyAlignment="1">
      <alignment vertical="center"/>
    </xf>
    <xf numFmtId="0" fontId="0" fillId="0" borderId="0" xfId="0" applyFont="1" applyAlignment="1">
      <alignment wrapText="1"/>
    </xf>
    <xf numFmtId="0" fontId="16" fillId="5" borderId="0" xfId="2" applyFont="1" applyFill="1" applyBorder="1" applyAlignment="1">
      <alignment vertical="center"/>
    </xf>
    <xf numFmtId="0" fontId="22" fillId="5" borderId="5" xfId="2" applyFont="1" applyFill="1" applyBorder="1" applyAlignment="1">
      <alignment vertical="center"/>
    </xf>
    <xf numFmtId="0" fontId="22" fillId="5" borderId="9" xfId="2" applyFont="1" applyFill="1" applyBorder="1" applyAlignment="1">
      <alignment vertical="center"/>
    </xf>
    <xf numFmtId="0" fontId="9" fillId="8" borderId="0" xfId="2" applyFont="1" applyFill="1" applyBorder="1" applyAlignment="1">
      <alignment horizontal="right" vertical="center"/>
    </xf>
    <xf numFmtId="0" fontId="9" fillId="8" borderId="9" xfId="2" applyFont="1" applyFill="1" applyBorder="1" applyAlignment="1">
      <alignment vertical="center"/>
    </xf>
    <xf numFmtId="0" fontId="9" fillId="8" borderId="9" xfId="2" applyFont="1" applyFill="1" applyBorder="1" applyAlignment="1">
      <alignment horizontal="right" vertical="center" wrapText="1"/>
    </xf>
    <xf numFmtId="0" fontId="0" fillId="8" borderId="0" xfId="0" applyFill="1" applyBorder="1"/>
    <xf numFmtId="0" fontId="9" fillId="8" borderId="0" xfId="2" applyFont="1" applyFill="1" applyBorder="1" applyAlignment="1">
      <alignment horizontal="right" vertical="center" wrapText="1"/>
    </xf>
    <xf numFmtId="166" fontId="9" fillId="8" borderId="0" xfId="3" applyNumberFormat="1" applyFont="1" applyFill="1" applyBorder="1" applyAlignment="1">
      <alignment vertical="center"/>
    </xf>
    <xf numFmtId="166" fontId="14" fillId="8" borderId="11" xfId="3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right"/>
    </xf>
    <xf numFmtId="0" fontId="5" fillId="13" borderId="10" xfId="0" applyFont="1" applyFill="1" applyBorder="1" applyAlignment="1">
      <alignment horizontal="center" vertical="top"/>
    </xf>
    <xf numFmtId="0" fontId="5" fillId="14" borderId="10" xfId="0" applyFont="1" applyFill="1" applyBorder="1" applyAlignment="1">
      <alignment horizontal="center" vertical="top"/>
    </xf>
    <xf numFmtId="0" fontId="17" fillId="12" borderId="6" xfId="0" applyFont="1" applyFill="1" applyBorder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5" fillId="4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3" fontId="17" fillId="12" borderId="1" xfId="0" applyNumberFormat="1" applyFont="1" applyFill="1" applyBorder="1" applyAlignment="1">
      <alignment vertical="top" wrapText="1"/>
    </xf>
    <xf numFmtId="3" fontId="17" fillId="11" borderId="1" xfId="0" applyNumberFormat="1" applyFont="1" applyFill="1" applyBorder="1" applyAlignment="1">
      <alignment vertical="top" wrapText="1"/>
    </xf>
    <xf numFmtId="0" fontId="5" fillId="16" borderId="10" xfId="0" applyFont="1" applyFill="1" applyBorder="1" applyAlignment="1">
      <alignment horizontal="center" vertical="top"/>
    </xf>
    <xf numFmtId="3" fontId="17" fillId="10" borderId="1" xfId="0" applyNumberFormat="1" applyFont="1" applyFill="1" applyBorder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9" borderId="10" xfId="0" applyFont="1" applyFill="1" applyBorder="1" applyAlignment="1">
      <alignment horizontal="center" vertical="top"/>
    </xf>
    <xf numFmtId="0" fontId="17" fillId="3" borderId="6" xfId="0" applyFont="1" applyFill="1" applyBorder="1" applyAlignment="1">
      <alignment vertical="top" wrapText="1"/>
    </xf>
    <xf numFmtId="3" fontId="17" fillId="3" borderId="1" xfId="0" applyNumberFormat="1" applyFont="1" applyFill="1" applyBorder="1" applyAlignment="1">
      <alignment vertical="top" wrapText="1"/>
    </xf>
    <xf numFmtId="0" fontId="5" fillId="14" borderId="10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vertical="center" wrapText="1"/>
    </xf>
    <xf numFmtId="3" fontId="0" fillId="12" borderId="1" xfId="0" applyNumberFormat="1" applyFont="1" applyFill="1" applyBorder="1" applyAlignment="1">
      <alignment vertical="center" wrapText="1"/>
    </xf>
    <xf numFmtId="3" fontId="0" fillId="11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15" fillId="8" borderId="11" xfId="2" applyFont="1" applyFill="1" applyBorder="1" applyAlignment="1">
      <alignment vertical="center"/>
    </xf>
    <xf numFmtId="0" fontId="0" fillId="0" borderId="0" xfId="0" applyBorder="1"/>
    <xf numFmtId="0" fontId="2" fillId="5" borderId="15" xfId="0" applyFont="1" applyFill="1" applyBorder="1" applyAlignment="1">
      <alignment horizontal="right"/>
    </xf>
    <xf numFmtId="0" fontId="15" fillId="12" borderId="15" xfId="2" applyFont="1" applyFill="1" applyBorder="1" applyAlignment="1">
      <alignment horizontal="right" vertical="center"/>
    </xf>
    <xf numFmtId="166" fontId="18" fillId="12" borderId="14" xfId="3" applyNumberFormat="1" applyFont="1" applyFill="1" applyBorder="1" applyAlignment="1">
      <alignment vertical="center"/>
    </xf>
    <xf numFmtId="9" fontId="18" fillId="12" borderId="14" xfId="1" applyFont="1" applyFill="1" applyBorder="1" applyAlignment="1">
      <alignment vertical="center"/>
    </xf>
    <xf numFmtId="0" fontId="15" fillId="10" borderId="18" xfId="2" applyFont="1" applyFill="1" applyBorder="1" applyAlignment="1">
      <alignment horizontal="right" vertical="center"/>
    </xf>
    <xf numFmtId="166" fontId="19" fillId="10" borderId="17" xfId="3" applyNumberFormat="1" applyFont="1" applyFill="1" applyBorder="1" applyAlignment="1">
      <alignment vertical="center"/>
    </xf>
    <xf numFmtId="9" fontId="18" fillId="10" borderId="17" xfId="1" applyFont="1" applyFill="1" applyBorder="1" applyAlignment="1">
      <alignment vertical="center"/>
    </xf>
    <xf numFmtId="0" fontId="15" fillId="3" borderId="18" xfId="2" applyFont="1" applyFill="1" applyBorder="1" applyAlignment="1">
      <alignment horizontal="right" vertical="center"/>
    </xf>
    <xf numFmtId="0" fontId="23" fillId="3" borderId="17" xfId="0" applyFont="1" applyFill="1" applyBorder="1" applyAlignment="1">
      <alignment horizontal="right"/>
    </xf>
    <xf numFmtId="166" fontId="15" fillId="12" borderId="15" xfId="3" applyNumberFormat="1" applyFont="1" applyFill="1" applyBorder="1" applyAlignment="1">
      <alignment horizontal="right" vertical="center"/>
    </xf>
    <xf numFmtId="166" fontId="14" fillId="12" borderId="19" xfId="3" applyNumberFormat="1" applyFont="1" applyFill="1" applyBorder="1" applyAlignment="1">
      <alignment vertical="center"/>
    </xf>
    <xf numFmtId="166" fontId="9" fillId="12" borderId="14" xfId="3" applyNumberFormat="1" applyFont="1" applyFill="1" applyBorder="1" applyAlignment="1">
      <alignment vertical="center"/>
    </xf>
    <xf numFmtId="166" fontId="15" fillId="10" borderId="18" xfId="3" quotePrefix="1" applyNumberFormat="1" applyFont="1" applyFill="1" applyBorder="1" applyAlignment="1">
      <alignment horizontal="right" vertical="center" wrapText="1"/>
    </xf>
    <xf numFmtId="166" fontId="14" fillId="10" borderId="20" xfId="3" applyNumberFormat="1" applyFont="1" applyFill="1" applyBorder="1" applyAlignment="1">
      <alignment vertical="center"/>
    </xf>
    <xf numFmtId="166" fontId="0" fillId="10" borderId="17" xfId="5" applyNumberFormat="1" applyFont="1" applyFill="1" applyBorder="1"/>
    <xf numFmtId="166" fontId="15" fillId="3" borderId="18" xfId="3" applyNumberFormat="1" applyFont="1" applyFill="1" applyBorder="1" applyAlignment="1">
      <alignment horizontal="right" vertical="center"/>
    </xf>
    <xf numFmtId="166" fontId="14" fillId="10" borderId="20" xfId="3" applyNumberFormat="1" applyFont="1" applyFill="1" applyBorder="1" applyAlignment="1">
      <alignment horizontal="right" vertical="center"/>
    </xf>
    <xf numFmtId="0" fontId="5" fillId="14" borderId="21" xfId="0" applyFont="1" applyFill="1" applyBorder="1" applyAlignment="1">
      <alignment horizontal="center" vertical="center"/>
    </xf>
    <xf numFmtId="0" fontId="0" fillId="11" borderId="22" xfId="0" applyFont="1" applyFill="1" applyBorder="1" applyAlignment="1">
      <alignment vertical="center" wrapText="1"/>
    </xf>
    <xf numFmtId="3" fontId="0" fillId="12" borderId="23" xfId="0" applyNumberFormat="1" applyFont="1" applyFill="1" applyBorder="1" applyAlignment="1">
      <alignment vertical="center" wrapText="1"/>
    </xf>
    <xf numFmtId="3" fontId="0" fillId="11" borderId="23" xfId="0" applyNumberFormat="1" applyFont="1" applyFill="1" applyBorder="1" applyAlignment="1">
      <alignment vertical="center" wrapText="1"/>
    </xf>
    <xf numFmtId="0" fontId="5" fillId="14" borderId="25" xfId="0" applyFont="1" applyFill="1" applyBorder="1" applyAlignment="1">
      <alignment horizontal="center" vertical="center"/>
    </xf>
    <xf numFmtId="3" fontId="0" fillId="12" borderId="27" xfId="0" applyNumberFormat="1" applyFont="1" applyFill="1" applyBorder="1" applyAlignment="1">
      <alignment vertical="center" wrapText="1"/>
    </xf>
    <xf numFmtId="3" fontId="0" fillId="11" borderId="27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24" fillId="0" borderId="0" xfId="0" applyFont="1" applyBorder="1" applyAlignment="1"/>
    <xf numFmtId="0" fontId="26" fillId="14" borderId="10" xfId="0" applyFont="1" applyFill="1" applyBorder="1" applyAlignment="1">
      <alignment horizontal="right" vertical="top"/>
    </xf>
    <xf numFmtId="0" fontId="26" fillId="16" borderId="10" xfId="0" applyFont="1" applyFill="1" applyBorder="1" applyAlignment="1">
      <alignment horizontal="right" vertical="top" wrapText="1"/>
    </xf>
    <xf numFmtId="0" fontId="26" fillId="9" borderId="10" xfId="0" applyFont="1" applyFill="1" applyBorder="1" applyAlignment="1">
      <alignment horizontal="right" vertical="top" wrapText="1"/>
    </xf>
    <xf numFmtId="3" fontId="27" fillId="12" borderId="6" xfId="0" applyNumberFormat="1" applyFont="1" applyFill="1" applyBorder="1" applyAlignment="1">
      <alignment horizontal="right" wrapText="1"/>
    </xf>
    <xf numFmtId="3" fontId="27" fillId="10" borderId="6" xfId="0" applyNumberFormat="1" applyFont="1" applyFill="1" applyBorder="1" applyAlignment="1">
      <alignment horizontal="right" wrapText="1"/>
    </xf>
    <xf numFmtId="3" fontId="27" fillId="3" borderId="6" xfId="0" applyNumberFormat="1" applyFont="1" applyFill="1" applyBorder="1" applyAlignment="1">
      <alignment horizontal="right" wrapText="1"/>
    </xf>
    <xf numFmtId="9" fontId="27" fillId="2" borderId="4" xfId="1" applyFont="1" applyFill="1" applyBorder="1" applyAlignment="1">
      <alignment horizontal="right" wrapText="1"/>
    </xf>
    <xf numFmtId="9" fontId="27" fillId="12" borderId="1" xfId="1" applyFont="1" applyFill="1" applyBorder="1" applyAlignment="1">
      <alignment horizontal="right" wrapText="1"/>
    </xf>
    <xf numFmtId="9" fontId="27" fillId="10" borderId="1" xfId="1" applyFont="1" applyFill="1" applyBorder="1" applyAlignment="1">
      <alignment horizontal="right" wrapText="1"/>
    </xf>
    <xf numFmtId="0" fontId="24" fillId="0" borderId="0" xfId="0" applyFont="1" applyFill="1" applyBorder="1" applyAlignment="1"/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2" borderId="3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164" fontId="29" fillId="0" borderId="0" xfId="6" applyFont="1" applyFill="1" applyBorder="1" applyAlignment="1">
      <alignment vertical="center" wrapText="1"/>
    </xf>
    <xf numFmtId="164" fontId="28" fillId="0" borderId="0" xfId="6" applyFont="1" applyBorder="1" applyAlignment="1">
      <alignment vertical="center"/>
    </xf>
    <xf numFmtId="0" fontId="0" fillId="0" borderId="0" xfId="0" applyBorder="1" applyAlignment="1">
      <alignment vertical="center"/>
    </xf>
    <xf numFmtId="164" fontId="28" fillId="0" borderId="0" xfId="6" applyFont="1" applyFill="1" applyBorder="1" applyAlignment="1">
      <alignment horizontal="left" vertical="center" wrapText="1"/>
    </xf>
    <xf numFmtId="164" fontId="17" fillId="11" borderId="6" xfId="6" applyFont="1" applyFill="1" applyBorder="1" applyAlignment="1">
      <alignment vertical="top" wrapText="1"/>
    </xf>
    <xf numFmtId="3" fontId="17" fillId="12" borderId="6" xfId="0" applyNumberFormat="1" applyFont="1" applyFill="1" applyBorder="1" applyAlignment="1">
      <alignment vertical="top" wrapText="1"/>
    </xf>
    <xf numFmtId="3" fontId="17" fillId="10" borderId="6" xfId="0" applyNumberFormat="1" applyFont="1" applyFill="1" applyBorder="1" applyAlignment="1">
      <alignment vertical="top" wrapText="1"/>
    </xf>
    <xf numFmtId="0" fontId="0" fillId="0" borderId="0" xfId="0" applyFill="1"/>
    <xf numFmtId="9" fontId="27" fillId="3" borderId="1" xfId="1" applyFont="1" applyFill="1" applyBorder="1" applyAlignment="1">
      <alignment horizontal="right" wrapText="1"/>
    </xf>
    <xf numFmtId="3" fontId="17" fillId="11" borderId="6" xfId="0" applyNumberFormat="1" applyFont="1" applyFill="1" applyBorder="1" applyAlignment="1">
      <alignment vertical="top" wrapText="1"/>
    </xf>
    <xf numFmtId="3" fontId="0" fillId="0" borderId="0" xfId="0" applyNumberFormat="1"/>
    <xf numFmtId="1" fontId="17" fillId="12" borderId="6" xfId="0" applyNumberFormat="1" applyFont="1" applyFill="1" applyBorder="1" applyAlignment="1">
      <alignment vertical="top" wrapText="1"/>
    </xf>
    <xf numFmtId="9" fontId="5" fillId="14" borderId="10" xfId="1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9" fontId="0" fillId="0" borderId="30" xfId="1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vertical="center"/>
    </xf>
    <xf numFmtId="164" fontId="0" fillId="0" borderId="30" xfId="6" applyFont="1" applyBorder="1" applyAlignment="1">
      <alignment vertical="center"/>
    </xf>
    <xf numFmtId="9" fontId="0" fillId="0" borderId="44" xfId="1" applyFont="1" applyBorder="1" applyAlignment="1">
      <alignment horizontal="center" vertical="center"/>
    </xf>
    <xf numFmtId="164" fontId="0" fillId="0" borderId="44" xfId="6" applyFont="1" applyBorder="1" applyAlignment="1">
      <alignment vertical="center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164" fontId="0" fillId="0" borderId="0" xfId="0" applyNumberFormat="1"/>
    <xf numFmtId="0" fontId="31" fillId="0" borderId="30" xfId="0" applyFont="1" applyBorder="1" applyAlignment="1">
      <alignment horizontal="center" vertical="center" wrapText="1"/>
    </xf>
    <xf numFmtId="9" fontId="31" fillId="0" borderId="30" xfId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7" fillId="0" borderId="3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28" fillId="19" borderId="47" xfId="0" applyNumberFormat="1" applyFont="1" applyFill="1" applyBorder="1" applyAlignment="1">
      <alignment horizontal="center" vertical="center" wrapText="1"/>
    </xf>
    <xf numFmtId="9" fontId="2" fillId="19" borderId="30" xfId="1" applyFont="1" applyFill="1" applyBorder="1" applyAlignment="1">
      <alignment horizontal="center"/>
    </xf>
    <xf numFmtId="164" fontId="0" fillId="0" borderId="0" xfId="6" applyFont="1" applyAlignment="1">
      <alignment vertical="center"/>
    </xf>
    <xf numFmtId="164" fontId="0" fillId="11" borderId="26" xfId="6" applyFont="1" applyFill="1" applyBorder="1" applyAlignment="1">
      <alignment vertical="center" wrapText="1"/>
    </xf>
    <xf numFmtId="3" fontId="2" fillId="0" borderId="0" xfId="0" applyNumberFormat="1" applyFont="1"/>
    <xf numFmtId="9" fontId="0" fillId="0" borderId="36" xfId="1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wrapText="1"/>
    </xf>
    <xf numFmtId="0" fontId="32" fillId="18" borderId="49" xfId="0" applyFont="1" applyFill="1" applyBorder="1" applyAlignment="1">
      <alignment horizontal="left" vertical="center"/>
    </xf>
    <xf numFmtId="166" fontId="32" fillId="18" borderId="50" xfId="5" applyNumberFormat="1" applyFont="1" applyFill="1" applyBorder="1" applyAlignment="1">
      <alignment horizontal="center" vertical="center"/>
    </xf>
    <xf numFmtId="0" fontId="32" fillId="18" borderId="51" xfId="0" applyFont="1" applyFill="1" applyBorder="1" applyAlignment="1">
      <alignment horizontal="left" vertical="center"/>
    </xf>
    <xf numFmtId="166" fontId="32" fillId="18" borderId="52" xfId="5" applyNumberFormat="1" applyFont="1" applyFill="1" applyBorder="1" applyAlignment="1">
      <alignment horizontal="center" vertical="center"/>
    </xf>
    <xf numFmtId="0" fontId="32" fillId="18" borderId="53" xfId="0" applyFont="1" applyFill="1" applyBorder="1" applyAlignment="1">
      <alignment horizontal="left" vertical="center"/>
    </xf>
    <xf numFmtId="166" fontId="32" fillId="18" borderId="54" xfId="5" applyNumberFormat="1" applyFont="1" applyFill="1" applyBorder="1" applyAlignment="1">
      <alignment horizontal="center" vertical="center"/>
    </xf>
    <xf numFmtId="164" fontId="31" fillId="0" borderId="40" xfId="6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top" wrapText="1"/>
    </xf>
    <xf numFmtId="0" fontId="0" fillId="2" borderId="0" xfId="0" applyFill="1"/>
    <xf numFmtId="164" fontId="17" fillId="11" borderId="7" xfId="6" applyFont="1" applyFill="1" applyBorder="1" applyAlignment="1">
      <alignment vertical="top" wrapText="1"/>
    </xf>
    <xf numFmtId="3" fontId="0" fillId="11" borderId="4" xfId="0" applyNumberFormat="1" applyFont="1" applyFill="1" applyBorder="1" applyAlignment="1">
      <alignment vertical="center" wrapText="1"/>
    </xf>
    <xf numFmtId="9" fontId="17" fillId="11" borderId="6" xfId="1" applyFont="1" applyFill="1" applyBorder="1" applyAlignment="1">
      <alignment vertical="center" wrapText="1"/>
    </xf>
    <xf numFmtId="9" fontId="17" fillId="3" borderId="22" xfId="1" applyFont="1" applyFill="1" applyBorder="1" applyAlignment="1">
      <alignment vertical="center" wrapText="1"/>
    </xf>
    <xf numFmtId="9" fontId="17" fillId="12" borderId="1" xfId="0" applyNumberFormat="1" applyFont="1" applyFill="1" applyBorder="1" applyAlignment="1">
      <alignment vertical="center" wrapText="1"/>
    </xf>
    <xf numFmtId="9" fontId="17" fillId="7" borderId="26" xfId="1" applyFont="1" applyFill="1" applyBorder="1" applyAlignment="1">
      <alignment vertical="center" wrapText="1"/>
    </xf>
    <xf numFmtId="9" fontId="17" fillId="7" borderId="27" xfId="1" applyFont="1" applyFill="1" applyBorder="1" applyAlignment="1">
      <alignment vertical="center" wrapText="1"/>
    </xf>
    <xf numFmtId="9" fontId="17" fillId="7" borderId="7" xfId="1" applyFont="1" applyFill="1" applyBorder="1" applyAlignment="1">
      <alignment vertical="center" wrapText="1"/>
    </xf>
    <xf numFmtId="9" fontId="17" fillId="7" borderId="4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5" fontId="29" fillId="0" borderId="0" xfId="6" applyNumberFormat="1" applyFont="1" applyFill="1" applyBorder="1" applyAlignment="1">
      <alignment vertical="center" wrapText="1"/>
    </xf>
    <xf numFmtId="165" fontId="28" fillId="0" borderId="0" xfId="6" applyNumberFormat="1" applyFont="1" applyBorder="1" applyAlignment="1">
      <alignment vertical="center"/>
    </xf>
    <xf numFmtId="0" fontId="12" fillId="5" borderId="0" xfId="0" applyFont="1" applyFill="1" applyBorder="1" applyAlignment="1">
      <alignment horizontal="center"/>
    </xf>
    <xf numFmtId="0" fontId="0" fillId="0" borderId="5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3" fontId="0" fillId="11" borderId="9" xfId="0" applyNumberFormat="1" applyFont="1" applyFill="1" applyBorder="1" applyAlignment="1">
      <alignment vertical="center" wrapText="1"/>
    </xf>
    <xf numFmtId="3" fontId="0" fillId="11" borderId="3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3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9" fontId="0" fillId="2" borderId="60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0" xfId="0" applyFill="1" applyBorder="1" applyAlignment="1">
      <alignment vertical="center"/>
    </xf>
    <xf numFmtId="0" fontId="0" fillId="5" borderId="59" xfId="0" applyFill="1" applyBorder="1" applyAlignment="1">
      <alignment vertical="center"/>
    </xf>
    <xf numFmtId="0" fontId="0" fillId="5" borderId="61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3" fontId="0" fillId="2" borderId="10" xfId="0" applyNumberFormat="1" applyFill="1" applyBorder="1" applyAlignment="1">
      <alignment horizontal="center" vertical="center"/>
    </xf>
    <xf numFmtId="9" fontId="0" fillId="2" borderId="62" xfId="1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3" fontId="0" fillId="2" borderId="60" xfId="0" applyNumberForma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9" fontId="0" fillId="2" borderId="64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5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0" fillId="2" borderId="63" xfId="0" applyFill="1" applyBorder="1"/>
    <xf numFmtId="0" fontId="0" fillId="2" borderId="0" xfId="0" applyFill="1" applyBorder="1"/>
    <xf numFmtId="0" fontId="0" fillId="2" borderId="67" xfId="0" applyFill="1" applyBorder="1"/>
    <xf numFmtId="3" fontId="0" fillId="2" borderId="69" xfId="0" applyNumberFormat="1" applyFill="1" applyBorder="1" applyAlignment="1">
      <alignment horizontal="center" vertical="center"/>
    </xf>
    <xf numFmtId="3" fontId="0" fillId="5" borderId="37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7" fillId="0" borderId="0" xfId="0" applyFont="1"/>
    <xf numFmtId="0" fontId="2" fillId="0" borderId="1" xfId="0" applyFont="1" applyBorder="1" applyAlignment="1">
      <alignment horizontal="center" vertical="center"/>
    </xf>
    <xf numFmtId="0" fontId="28" fillId="19" borderId="47" xfId="0" applyFont="1" applyFill="1" applyBorder="1" applyAlignment="1">
      <alignment horizontal="center" vertical="center" wrapText="1"/>
    </xf>
    <xf numFmtId="3" fontId="39" fillId="19" borderId="47" xfId="0" applyNumberFormat="1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left" vertical="center"/>
    </xf>
    <xf numFmtId="3" fontId="28" fillId="12" borderId="30" xfId="0" applyNumberFormat="1" applyFont="1" applyFill="1" applyBorder="1" applyAlignment="1">
      <alignment horizontal="center" vertical="center"/>
    </xf>
    <xf numFmtId="166" fontId="28" fillId="12" borderId="30" xfId="5" applyNumberFormat="1" applyFont="1" applyFill="1" applyBorder="1" applyAlignment="1">
      <alignment horizontal="center" vertical="center"/>
    </xf>
    <xf numFmtId="9" fontId="28" fillId="12" borderId="30" xfId="1" applyFont="1" applyFill="1" applyBorder="1" applyAlignment="1">
      <alignment horizontal="center" vertical="center"/>
    </xf>
    <xf numFmtId="9" fontId="1" fillId="12" borderId="30" xfId="1" applyFont="1" applyFill="1" applyBorder="1" applyAlignment="1">
      <alignment horizontal="center"/>
    </xf>
    <xf numFmtId="3" fontId="37" fillId="12" borderId="59" xfId="0" applyNumberFormat="1" applyFont="1" applyFill="1" applyBorder="1" applyAlignment="1">
      <alignment horizontal="center" vertical="center"/>
    </xf>
    <xf numFmtId="3" fontId="0" fillId="12" borderId="59" xfId="0" applyNumberForma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3" fontId="1" fillId="0" borderId="30" xfId="0" applyNumberFormat="1" applyFont="1" applyFill="1" applyBorder="1" applyAlignment="1">
      <alignment horizontal="center" vertical="center"/>
    </xf>
    <xf numFmtId="166" fontId="28" fillId="0" borderId="30" xfId="5" applyNumberFormat="1" applyFont="1" applyBorder="1" applyAlignment="1">
      <alignment horizontal="center" vertical="center"/>
    </xf>
    <xf numFmtId="9" fontId="28" fillId="18" borderId="30" xfId="1" applyFont="1" applyFill="1" applyBorder="1" applyAlignment="1">
      <alignment horizontal="center" vertical="center"/>
    </xf>
    <xf numFmtId="9" fontId="1" fillId="0" borderId="30" xfId="1" applyFont="1" applyBorder="1" applyAlignment="1">
      <alignment horizontal="center"/>
    </xf>
    <xf numFmtId="3" fontId="37" fillId="2" borderId="59" xfId="0" applyNumberFormat="1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left" vertical="center"/>
    </xf>
    <xf numFmtId="3" fontId="40" fillId="0" borderId="30" xfId="0" applyNumberFormat="1" applyFont="1" applyFill="1" applyBorder="1" applyAlignment="1">
      <alignment horizontal="center" vertical="center"/>
    </xf>
    <xf numFmtId="3" fontId="41" fillId="0" borderId="30" xfId="0" applyNumberFormat="1" applyFont="1" applyFill="1" applyBorder="1" applyAlignment="1">
      <alignment horizontal="center" vertical="center"/>
    </xf>
    <xf numFmtId="166" fontId="42" fillId="0" borderId="30" xfId="5" applyNumberFormat="1" applyFont="1" applyBorder="1" applyAlignment="1">
      <alignment horizontal="center" vertical="center"/>
    </xf>
    <xf numFmtId="9" fontId="0" fillId="0" borderId="30" xfId="1" applyFont="1" applyBorder="1" applyAlignment="1">
      <alignment horizontal="center"/>
    </xf>
    <xf numFmtId="0" fontId="43" fillId="19" borderId="30" xfId="0" applyFont="1" applyFill="1" applyBorder="1" applyAlignment="1">
      <alignment horizontal="left" vertical="center"/>
    </xf>
    <xf numFmtId="3" fontId="43" fillId="19" borderId="30" xfId="0" applyNumberFormat="1" applyFont="1" applyFill="1" applyBorder="1" applyAlignment="1">
      <alignment horizontal="center" vertical="center"/>
    </xf>
    <xf numFmtId="3" fontId="44" fillId="19" borderId="30" xfId="0" applyNumberFormat="1" applyFont="1" applyFill="1" applyBorder="1" applyAlignment="1">
      <alignment horizontal="center" vertical="center"/>
    </xf>
    <xf numFmtId="3" fontId="45" fillId="19" borderId="30" xfId="0" applyNumberFormat="1" applyFont="1" applyFill="1" applyBorder="1" applyAlignment="1">
      <alignment horizontal="center" vertical="center"/>
    </xf>
    <xf numFmtId="9" fontId="28" fillId="19" borderId="30" xfId="1" applyFont="1" applyFill="1" applyBorder="1" applyAlignment="1">
      <alignment horizontal="center" vertical="center"/>
    </xf>
    <xf numFmtId="9" fontId="2" fillId="19" borderId="30" xfId="1" applyFont="1" applyFill="1" applyBorder="1" applyAlignment="1">
      <alignment horizontal="center"/>
    </xf>
    <xf numFmtId="3" fontId="37" fillId="19" borderId="59" xfId="0" applyNumberFormat="1" applyFont="1" applyFill="1" applyBorder="1" applyAlignment="1">
      <alignment horizontal="center" vertical="center"/>
    </xf>
    <xf numFmtId="3" fontId="0" fillId="19" borderId="59" xfId="0" applyNumberFormat="1" applyFill="1" applyBorder="1" applyAlignment="1">
      <alignment horizontal="center" vertical="center"/>
    </xf>
    <xf numFmtId="3" fontId="28" fillId="12" borderId="47" xfId="0" applyNumberFormat="1" applyFont="1" applyFill="1" applyBorder="1" applyAlignment="1">
      <alignment horizontal="center" vertical="center" wrapText="1"/>
    </xf>
    <xf numFmtId="3" fontId="28" fillId="12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9" fillId="8" borderId="5" xfId="2" applyFont="1" applyFill="1" applyBorder="1" applyAlignment="1">
      <alignment horizontal="right" vertical="center"/>
    </xf>
    <xf numFmtId="3" fontId="23" fillId="3" borderId="17" xfId="0" applyNumberFormat="1" applyFont="1" applyFill="1" applyBorder="1" applyAlignment="1">
      <alignment horizontal="right"/>
    </xf>
    <xf numFmtId="9" fontId="23" fillId="3" borderId="17" xfId="0" applyNumberFormat="1" applyFont="1" applyFill="1" applyBorder="1" applyAlignment="1">
      <alignment horizontal="right"/>
    </xf>
    <xf numFmtId="166" fontId="9" fillId="12" borderId="14" xfId="3" applyNumberFormat="1" applyFont="1" applyFill="1" applyBorder="1" applyAlignment="1">
      <alignment vertical="center" wrapText="1"/>
    </xf>
    <xf numFmtId="3" fontId="0" fillId="12" borderId="9" xfId="0" applyNumberFormat="1" applyFill="1" applyBorder="1" applyAlignment="1">
      <alignment vertical="center"/>
    </xf>
    <xf numFmtId="9" fontId="0" fillId="12" borderId="9" xfId="0" applyNumberFormat="1" applyFill="1" applyBorder="1" applyAlignment="1">
      <alignment vertical="center"/>
    </xf>
    <xf numFmtId="9" fontId="0" fillId="12" borderId="16" xfId="0" applyNumberFormat="1" applyFill="1" applyBorder="1" applyAlignment="1">
      <alignment vertical="center"/>
    </xf>
    <xf numFmtId="3" fontId="0" fillId="10" borderId="9" xfId="0" applyNumberFormat="1" applyFill="1" applyBorder="1" applyAlignment="1">
      <alignment vertical="center"/>
    </xf>
    <xf numFmtId="9" fontId="0" fillId="10" borderId="9" xfId="0" applyNumberFormat="1" applyFill="1" applyBorder="1" applyAlignment="1">
      <alignment vertical="center"/>
    </xf>
    <xf numFmtId="0" fontId="1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9" fontId="17" fillId="0" borderId="0" xfId="1" applyFont="1" applyFill="1" applyBorder="1" applyAlignment="1">
      <alignment vertical="top" wrapText="1"/>
    </xf>
    <xf numFmtId="164" fontId="17" fillId="3" borderId="6" xfId="6" applyFont="1" applyFill="1" applyBorder="1" applyAlignment="1">
      <alignment vertical="top" wrapText="1"/>
    </xf>
    <xf numFmtId="166" fontId="9" fillId="10" borderId="14" xfId="3" applyNumberFormat="1" applyFont="1" applyFill="1" applyBorder="1" applyAlignment="1">
      <alignment vertical="center" wrapText="1"/>
    </xf>
    <xf numFmtId="9" fontId="0" fillId="0" borderId="0" xfId="0" applyNumberFormat="1"/>
    <xf numFmtId="0" fontId="0" fillId="20" borderId="0" xfId="0" applyFill="1" applyAlignment="1">
      <alignment vertical="center"/>
    </xf>
    <xf numFmtId="0" fontId="0" fillId="20" borderId="1" xfId="0" applyFill="1" applyBorder="1" applyAlignment="1">
      <alignment vertical="center"/>
    </xf>
    <xf numFmtId="0" fontId="0" fillId="20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" fontId="0" fillId="22" borderId="1" xfId="0" applyNumberFormat="1" applyFill="1" applyBorder="1" applyAlignment="1" applyProtection="1">
      <alignment vertical="center"/>
      <protection locked="0"/>
    </xf>
    <xf numFmtId="0" fontId="46" fillId="20" borderId="1" xfId="0" applyFont="1" applyFill="1" applyBorder="1" applyAlignment="1">
      <alignment vertical="center" wrapText="1"/>
    </xf>
    <xf numFmtId="1" fontId="46" fillId="21" borderId="1" xfId="0" applyNumberFormat="1" applyFont="1" applyFill="1" applyBorder="1" applyAlignment="1" applyProtection="1">
      <alignment vertical="center"/>
      <protection locked="0"/>
    </xf>
    <xf numFmtId="0" fontId="12" fillId="5" borderId="30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left" vertical="center" wrapText="1"/>
    </xf>
    <xf numFmtId="0" fontId="17" fillId="2" borderId="72" xfId="0" applyFont="1" applyFill="1" applyBorder="1" applyAlignment="1">
      <alignment vertical="top" wrapText="1"/>
    </xf>
    <xf numFmtId="0" fontId="12" fillId="5" borderId="31" xfId="0" applyFont="1" applyFill="1" applyBorder="1" applyAlignment="1">
      <alignment horizontal="center"/>
    </xf>
    <xf numFmtId="9" fontId="28" fillId="12" borderId="30" xfId="1" applyFont="1" applyFill="1" applyBorder="1" applyAlignment="1">
      <alignment horizontal="center"/>
    </xf>
    <xf numFmtId="9" fontId="28" fillId="0" borderId="30" xfId="1" applyFont="1" applyBorder="1" applyAlignment="1">
      <alignment horizontal="center"/>
    </xf>
    <xf numFmtId="0" fontId="47" fillId="0" borderId="30" xfId="0" applyFont="1" applyFill="1" applyBorder="1" applyAlignment="1">
      <alignment horizontal="left" vertical="center"/>
    </xf>
    <xf numFmtId="3" fontId="48" fillId="12" borderId="1" xfId="0" applyNumberFormat="1" applyFont="1" applyFill="1" applyBorder="1" applyAlignment="1">
      <alignment vertical="top" wrapText="1"/>
    </xf>
    <xf numFmtId="164" fontId="48" fillId="11" borderId="6" xfId="6" applyFont="1" applyFill="1" applyBorder="1" applyAlignment="1">
      <alignment vertical="top" wrapText="1"/>
    </xf>
    <xf numFmtId="0" fontId="49" fillId="0" borderId="30" xfId="0" applyFont="1" applyFill="1" applyBorder="1" applyAlignment="1">
      <alignment horizontal="left" vertical="center"/>
    </xf>
    <xf numFmtId="3" fontId="48" fillId="11" borderId="1" xfId="0" applyNumberFormat="1" applyFont="1" applyFill="1" applyBorder="1" applyAlignment="1">
      <alignment vertical="top" wrapText="1"/>
    </xf>
    <xf numFmtId="3" fontId="48" fillId="12" borderId="1" xfId="0" applyNumberFormat="1" applyFont="1" applyFill="1" applyBorder="1" applyAlignment="1">
      <alignment vertical="center" wrapText="1"/>
    </xf>
    <xf numFmtId="0" fontId="47" fillId="0" borderId="36" xfId="0" applyFont="1" applyFill="1" applyBorder="1" applyAlignment="1">
      <alignment horizontal="left" vertical="center"/>
    </xf>
    <xf numFmtId="0" fontId="0" fillId="23" borderId="1" xfId="0" applyFont="1" applyFill="1" applyBorder="1" applyAlignment="1">
      <alignment vertical="center" wrapText="1"/>
    </xf>
    <xf numFmtId="3" fontId="48" fillId="12" borderId="72" xfId="0" applyNumberFormat="1" applyFont="1" applyFill="1" applyBorder="1" applyAlignment="1">
      <alignment vertical="top" wrapText="1"/>
    </xf>
    <xf numFmtId="0" fontId="25" fillId="14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8" fillId="0" borderId="0" xfId="0" applyFont="1"/>
    <xf numFmtId="0" fontId="5" fillId="14" borderId="1" xfId="0" applyFont="1" applyFill="1" applyBorder="1" applyAlignment="1">
      <alignment horizontal="center" vertical="center"/>
    </xf>
    <xf numFmtId="164" fontId="0" fillId="11" borderId="1" xfId="6" applyFont="1" applyFill="1" applyBorder="1" applyAlignment="1">
      <alignment vertical="center" wrapText="1"/>
    </xf>
    <xf numFmtId="0" fontId="5" fillId="14" borderId="47" xfId="0" applyFont="1" applyFill="1" applyBorder="1" applyAlignment="1">
      <alignment horizontal="center" vertical="center"/>
    </xf>
    <xf numFmtId="164" fontId="48" fillId="11" borderId="1" xfId="6" applyFont="1" applyFill="1" applyBorder="1" applyAlignment="1">
      <alignment vertical="center" wrapText="1"/>
    </xf>
    <xf numFmtId="0" fontId="48" fillId="11" borderId="1" xfId="0" applyFont="1" applyFill="1" applyBorder="1" applyAlignment="1">
      <alignment vertical="center" wrapText="1"/>
    </xf>
    <xf numFmtId="0" fontId="0" fillId="23" borderId="3" xfId="0" applyFont="1" applyFill="1" applyBorder="1" applyAlignment="1">
      <alignment vertical="center" wrapText="1"/>
    </xf>
    <xf numFmtId="0" fontId="47" fillId="0" borderId="44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9" fontId="27" fillId="3" borderId="1" xfId="1" applyFont="1" applyFill="1" applyBorder="1" applyAlignment="1">
      <alignment horizontal="right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13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3" fontId="17" fillId="12" borderId="1" xfId="0" applyNumberFormat="1" applyFont="1" applyFill="1" applyBorder="1" applyAlignment="1">
      <alignment vertical="center" wrapText="1"/>
    </xf>
    <xf numFmtId="0" fontId="17" fillId="11" borderId="6" xfId="0" applyFont="1" applyFill="1" applyBorder="1" applyAlignment="1">
      <alignment vertical="center" wrapText="1"/>
    </xf>
    <xf numFmtId="0" fontId="17" fillId="12" borderId="6" xfId="0" applyFont="1" applyFill="1" applyBorder="1" applyAlignment="1">
      <alignment vertical="center" wrapText="1"/>
    </xf>
    <xf numFmtId="3" fontId="17" fillId="11" borderId="6" xfId="0" applyNumberFormat="1" applyFont="1" applyFill="1" applyBorder="1" applyAlignment="1">
      <alignment vertical="center" wrapText="1"/>
    </xf>
    <xf numFmtId="3" fontId="17" fillId="10" borderId="1" xfId="0" applyNumberFormat="1" applyFont="1" applyFill="1" applyBorder="1" applyAlignment="1">
      <alignment vertical="center" wrapText="1"/>
    </xf>
    <xf numFmtId="0" fontId="17" fillId="10" borderId="6" xfId="0" applyFont="1" applyFill="1" applyBorder="1" applyAlignment="1">
      <alignment vertical="center" wrapText="1"/>
    </xf>
    <xf numFmtId="164" fontId="17" fillId="3" borderId="6" xfId="6" applyFont="1" applyFill="1" applyBorder="1" applyAlignment="1">
      <alignment vertical="center" wrapText="1"/>
    </xf>
    <xf numFmtId="164" fontId="17" fillId="10" borderId="6" xfId="6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4" fontId="17" fillId="11" borderId="6" xfId="6" applyFont="1" applyFill="1" applyBorder="1" applyAlignment="1">
      <alignment vertical="center" wrapText="1"/>
    </xf>
    <xf numFmtId="3" fontId="17" fillId="12" borderId="6" xfId="0" applyNumberFormat="1" applyFont="1" applyFill="1" applyBorder="1" applyAlignment="1">
      <alignment vertical="center" wrapText="1"/>
    </xf>
    <xf numFmtId="0" fontId="26" fillId="15" borderId="10" xfId="0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48" fillId="0" borderId="6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top" wrapText="1"/>
    </xf>
    <xf numFmtId="0" fontId="17" fillId="2" borderId="7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6" fillId="14" borderId="10" xfId="0" applyFont="1" applyFill="1" applyBorder="1" applyAlignment="1">
      <alignment horizontal="right" vertical="center"/>
    </xf>
    <xf numFmtId="0" fontId="26" fillId="16" borderId="10" xfId="0" applyFont="1" applyFill="1" applyBorder="1" applyAlignment="1">
      <alignment horizontal="right" vertical="center" wrapText="1"/>
    </xf>
    <xf numFmtId="0" fontId="26" fillId="9" borderId="10" xfId="0" applyFont="1" applyFill="1" applyBorder="1" applyAlignment="1">
      <alignment horizontal="right" vertical="center" wrapText="1"/>
    </xf>
    <xf numFmtId="3" fontId="27" fillId="12" borderId="6" xfId="0" applyNumberFormat="1" applyFont="1" applyFill="1" applyBorder="1" applyAlignment="1">
      <alignment horizontal="right" vertical="center" wrapText="1"/>
    </xf>
    <xf numFmtId="3" fontId="27" fillId="10" borderId="6" xfId="0" applyNumberFormat="1" applyFont="1" applyFill="1" applyBorder="1" applyAlignment="1">
      <alignment horizontal="right" vertical="center" wrapText="1"/>
    </xf>
    <xf numFmtId="3" fontId="27" fillId="3" borderId="6" xfId="0" applyNumberFormat="1" applyFont="1" applyFill="1" applyBorder="1" applyAlignment="1">
      <alignment horizontal="right" vertical="center" wrapText="1"/>
    </xf>
    <xf numFmtId="9" fontId="27" fillId="2" borderId="1" xfId="1" applyFont="1" applyFill="1" applyBorder="1" applyAlignment="1">
      <alignment horizontal="right" vertical="center" wrapText="1"/>
    </xf>
    <xf numFmtId="9" fontId="27" fillId="12" borderId="1" xfId="1" applyFont="1" applyFill="1" applyBorder="1" applyAlignment="1">
      <alignment horizontal="right" vertical="center" wrapText="1"/>
    </xf>
    <xf numFmtId="9" fontId="27" fillId="10" borderId="1" xfId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vertical="top" wrapText="1"/>
    </xf>
    <xf numFmtId="0" fontId="48" fillId="2" borderId="6" xfId="0" applyFont="1" applyFill="1" applyBorder="1" applyAlignment="1">
      <alignment vertical="top" wrapText="1"/>
    </xf>
    <xf numFmtId="3" fontId="17" fillId="0" borderId="6" xfId="0" applyNumberFormat="1" applyFont="1" applyFill="1" applyBorder="1" applyAlignment="1">
      <alignment vertical="center" wrapText="1"/>
    </xf>
    <xf numFmtId="9" fontId="50" fillId="0" borderId="0" xfId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vertical="top" wrapText="1"/>
    </xf>
    <xf numFmtId="3" fontId="17" fillId="23" borderId="1" xfId="0" applyNumberFormat="1" applyFont="1" applyFill="1" applyBorder="1" applyAlignment="1">
      <alignment vertical="center" wrapText="1"/>
    </xf>
    <xf numFmtId="0" fontId="17" fillId="23" borderId="6" xfId="0" applyFont="1" applyFill="1" applyBorder="1" applyAlignment="1">
      <alignment vertical="center" wrapText="1"/>
    </xf>
    <xf numFmtId="164" fontId="17" fillId="23" borderId="6" xfId="6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7" fillId="10" borderId="6" xfId="0" applyNumberFormat="1" applyFont="1" applyFill="1" applyBorder="1" applyAlignment="1">
      <alignment vertical="center" wrapText="1"/>
    </xf>
    <xf numFmtId="9" fontId="17" fillId="0" borderId="0" xfId="1" applyFont="1" applyFill="1" applyBorder="1" applyAlignment="1">
      <alignment vertical="center" wrapText="1"/>
    </xf>
    <xf numFmtId="0" fontId="17" fillId="0" borderId="5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27" fillId="3" borderId="57" xfId="0" applyNumberFormat="1" applyFont="1" applyFill="1" applyBorder="1" applyAlignment="1">
      <alignment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2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9" fontId="17" fillId="23" borderId="1" xfId="1" applyFont="1" applyFill="1" applyBorder="1" applyAlignment="1">
      <alignment vertical="center" wrapText="1"/>
    </xf>
    <xf numFmtId="9" fontId="17" fillId="23" borderId="23" xfId="0" applyNumberFormat="1" applyFont="1" applyFill="1" applyBorder="1" applyAlignment="1">
      <alignment vertical="center" wrapText="1"/>
    </xf>
    <xf numFmtId="9" fontId="17" fillId="3" borderId="6" xfId="1" applyNumberFormat="1" applyFont="1" applyFill="1" applyBorder="1" applyAlignment="1">
      <alignment vertical="center" wrapText="1"/>
    </xf>
    <xf numFmtId="0" fontId="48" fillId="0" borderId="0" xfId="0" applyFont="1" applyBorder="1"/>
    <xf numFmtId="0" fontId="52" fillId="15" borderId="10" xfId="0" applyFont="1" applyFill="1" applyBorder="1" applyAlignment="1">
      <alignment horizontal="right" vertical="center"/>
    </xf>
    <xf numFmtId="0" fontId="52" fillId="14" borderId="10" xfId="0" applyFont="1" applyFill="1" applyBorder="1" applyAlignment="1">
      <alignment horizontal="right" vertical="top"/>
    </xf>
    <xf numFmtId="0" fontId="52" fillId="16" borderId="10" xfId="0" applyFont="1" applyFill="1" applyBorder="1" applyAlignment="1">
      <alignment horizontal="right" vertical="top" wrapText="1"/>
    </xf>
    <xf numFmtId="0" fontId="52" fillId="9" borderId="10" xfId="0" applyFont="1" applyFill="1" applyBorder="1" applyAlignment="1">
      <alignment horizontal="right" vertical="top" wrapText="1"/>
    </xf>
    <xf numFmtId="0" fontId="53" fillId="0" borderId="0" xfId="0" applyFont="1" applyFill="1" applyBorder="1" applyAlignment="1">
      <alignment horizontal="left" wrapText="1"/>
    </xf>
    <xf numFmtId="0" fontId="48" fillId="0" borderId="0" xfId="0" applyFont="1" applyBorder="1" applyAlignment="1">
      <alignment wrapText="1"/>
    </xf>
    <xf numFmtId="0" fontId="54" fillId="0" borderId="0" xfId="0" applyFont="1" applyBorder="1" applyAlignment="1"/>
    <xf numFmtId="0" fontId="48" fillId="0" borderId="5" xfId="0" applyFont="1" applyBorder="1" applyAlignment="1">
      <alignment horizontal="center" wrapText="1"/>
    </xf>
    <xf numFmtId="0" fontId="48" fillId="0" borderId="0" xfId="0" applyFont="1" applyAlignment="1">
      <alignment wrapText="1"/>
    </xf>
    <xf numFmtId="3" fontId="55" fillId="2" borderId="6" xfId="0" applyNumberFormat="1" applyFont="1" applyFill="1" applyBorder="1" applyAlignment="1">
      <alignment horizontal="right" vertical="center" wrapText="1"/>
    </xf>
    <xf numFmtId="3" fontId="55" fillId="12" borderId="6" xfId="0" applyNumberFormat="1" applyFont="1" applyFill="1" applyBorder="1" applyAlignment="1">
      <alignment horizontal="right" vertical="center" wrapText="1"/>
    </xf>
    <xf numFmtId="3" fontId="55" fillId="10" borderId="6" xfId="0" applyNumberFormat="1" applyFont="1" applyFill="1" applyBorder="1" applyAlignment="1">
      <alignment horizontal="right" vertical="center" wrapText="1"/>
    </xf>
    <xf numFmtId="3" fontId="55" fillId="3" borderId="6" xfId="0" applyNumberFormat="1" applyFont="1" applyFill="1" applyBorder="1" applyAlignment="1">
      <alignment horizontal="right" vertical="center" wrapText="1"/>
    </xf>
    <xf numFmtId="9" fontId="55" fillId="2" borderId="1" xfId="1" applyFont="1" applyFill="1" applyBorder="1" applyAlignment="1">
      <alignment horizontal="right" vertical="center" wrapText="1"/>
    </xf>
    <xf numFmtId="9" fontId="55" fillId="12" borderId="1" xfId="1" applyFont="1" applyFill="1" applyBorder="1" applyAlignment="1">
      <alignment horizontal="right" vertical="center" wrapText="1"/>
    </xf>
    <xf numFmtId="9" fontId="55" fillId="10" borderId="1" xfId="1" applyFont="1" applyFill="1" applyBorder="1" applyAlignment="1">
      <alignment horizontal="right" vertical="center" wrapText="1"/>
    </xf>
    <xf numFmtId="9" fontId="55" fillId="3" borderId="1" xfId="1" applyFont="1" applyFill="1" applyBorder="1" applyAlignment="1">
      <alignment horizontal="right" wrapText="1"/>
    </xf>
    <xf numFmtId="0" fontId="48" fillId="0" borderId="2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wrapText="1"/>
    </xf>
    <xf numFmtId="0" fontId="52" fillId="15" borderId="12" xfId="0" applyFont="1" applyFill="1" applyBorder="1" applyAlignment="1">
      <alignment horizontal="right" vertical="top"/>
    </xf>
    <xf numFmtId="3" fontId="55" fillId="2" borderId="7" xfId="0" applyNumberFormat="1" applyFont="1" applyFill="1" applyBorder="1" applyAlignment="1">
      <alignment horizontal="right" wrapText="1"/>
    </xf>
    <xf numFmtId="3" fontId="55" fillId="12" borderId="6" xfId="0" applyNumberFormat="1" applyFont="1" applyFill="1" applyBorder="1" applyAlignment="1">
      <alignment horizontal="right" wrapText="1"/>
    </xf>
    <xf numFmtId="3" fontId="55" fillId="10" borderId="6" xfId="0" applyNumberFormat="1" applyFont="1" applyFill="1" applyBorder="1" applyAlignment="1">
      <alignment horizontal="right" wrapText="1"/>
    </xf>
    <xf numFmtId="3" fontId="55" fillId="3" borderId="6" xfId="0" applyNumberFormat="1" applyFont="1" applyFill="1" applyBorder="1" applyAlignment="1">
      <alignment horizontal="right" wrapText="1"/>
    </xf>
    <xf numFmtId="9" fontId="55" fillId="2" borderId="4" xfId="1" applyFont="1" applyFill="1" applyBorder="1" applyAlignment="1">
      <alignment horizontal="right" wrapText="1"/>
    </xf>
    <xf numFmtId="9" fontId="55" fillId="12" borderId="1" xfId="1" applyFont="1" applyFill="1" applyBorder="1" applyAlignment="1">
      <alignment horizontal="right" wrapText="1"/>
    </xf>
    <xf numFmtId="9" fontId="55" fillId="10" borderId="1" xfId="1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3" fontId="55" fillId="3" borderId="6" xfId="0" applyNumberFormat="1" applyFont="1" applyFill="1" applyBorder="1" applyAlignment="1">
      <alignment horizontal="right" vertical="center" wrapText="1"/>
    </xf>
    <xf numFmtId="3" fontId="55" fillId="3" borderId="6" xfId="0" applyNumberFormat="1" applyFont="1" applyFill="1" applyBorder="1" applyAlignment="1">
      <alignment horizontal="right" wrapText="1"/>
    </xf>
    <xf numFmtId="9" fontId="55" fillId="3" borderId="1" xfId="1" applyFont="1" applyFill="1" applyBorder="1" applyAlignment="1">
      <alignment horizontal="right" wrapText="1"/>
    </xf>
    <xf numFmtId="9" fontId="27" fillId="3" borderId="1" xfId="1" applyFont="1" applyFill="1" applyBorder="1" applyAlignment="1">
      <alignment horizontal="right" wrapText="1"/>
    </xf>
    <xf numFmtId="0" fontId="26" fillId="9" borderId="10" xfId="0" applyFont="1" applyFill="1" applyBorder="1" applyAlignment="1">
      <alignment horizontal="right" vertical="center" wrapText="1"/>
    </xf>
    <xf numFmtId="3" fontId="27" fillId="3" borderId="6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164" fontId="0" fillId="0" borderId="0" xfId="6" applyFont="1"/>
    <xf numFmtId="9" fontId="0" fillId="0" borderId="0" xfId="1" applyFont="1"/>
    <xf numFmtId="0" fontId="6" fillId="0" borderId="5" xfId="0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vertical="center" wrapText="1"/>
    </xf>
    <xf numFmtId="3" fontId="53" fillId="0" borderId="0" xfId="0" applyNumberFormat="1" applyFont="1" applyFill="1" applyBorder="1" applyAlignment="1">
      <alignment horizontal="left" wrapText="1"/>
    </xf>
    <xf numFmtId="167" fontId="0" fillId="0" borderId="0" xfId="0" applyNumberFormat="1"/>
    <xf numFmtId="0" fontId="14" fillId="5" borderId="2" xfId="2" applyFont="1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17" fillId="10" borderId="0" xfId="0" applyFont="1" applyFill="1" applyAlignment="1">
      <alignment horizontal="center"/>
    </xf>
    <xf numFmtId="0" fontId="16" fillId="5" borderId="8" xfId="2" applyFont="1" applyFill="1" applyBorder="1" applyAlignment="1">
      <alignment vertical="center"/>
    </xf>
    <xf numFmtId="0" fontId="16" fillId="5" borderId="5" xfId="2" applyFont="1" applyFill="1" applyBorder="1" applyAlignment="1">
      <alignment vertical="center"/>
    </xf>
    <xf numFmtId="166" fontId="16" fillId="5" borderId="8" xfId="3" applyNumberFormat="1" applyFont="1" applyFill="1" applyBorder="1" applyAlignment="1">
      <alignment vertical="center"/>
    </xf>
    <xf numFmtId="166" fontId="16" fillId="5" borderId="5" xfId="3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17" fillId="12" borderId="0" xfId="0" applyFont="1" applyFill="1" applyBorder="1" applyAlignment="1">
      <alignment horizontal="center"/>
    </xf>
    <xf numFmtId="0" fontId="17" fillId="12" borderId="14" xfId="0" applyFont="1" applyFill="1" applyBorder="1" applyAlignment="1">
      <alignment horizontal="center"/>
    </xf>
    <xf numFmtId="0" fontId="12" fillId="17" borderId="24" xfId="0" applyFont="1" applyFill="1" applyBorder="1" applyAlignment="1">
      <alignment horizontal="center" vertical="center"/>
    </xf>
    <xf numFmtId="0" fontId="12" fillId="17" borderId="9" xfId="0" applyFont="1" applyFill="1" applyBorder="1" applyAlignment="1">
      <alignment horizontal="center" vertical="center"/>
    </xf>
    <xf numFmtId="0" fontId="12" fillId="17" borderId="16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25" fillId="14" borderId="3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16" borderId="9" xfId="0" applyFont="1" applyFill="1" applyBorder="1" applyAlignment="1">
      <alignment horizontal="center" vertical="center"/>
    </xf>
    <xf numFmtId="0" fontId="25" fillId="16" borderId="4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11" fillId="8" borderId="0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2" fillId="5" borderId="3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9" fontId="55" fillId="3" borderId="1" xfId="1" applyFont="1" applyFill="1" applyBorder="1" applyAlignment="1">
      <alignment horizontal="right" wrapText="1"/>
    </xf>
    <xf numFmtId="9" fontId="55" fillId="3" borderId="3" xfId="1" applyFont="1" applyFill="1" applyBorder="1" applyAlignment="1">
      <alignment horizontal="right" wrapText="1"/>
    </xf>
    <xf numFmtId="0" fontId="52" fillId="9" borderId="10" xfId="0" applyFont="1" applyFill="1" applyBorder="1" applyAlignment="1">
      <alignment horizontal="center" vertical="top" wrapText="1"/>
    </xf>
    <xf numFmtId="0" fontId="52" fillId="9" borderId="13" xfId="0" applyFont="1" applyFill="1" applyBorder="1" applyAlignment="1">
      <alignment horizontal="center" vertical="top" wrapText="1"/>
    </xf>
    <xf numFmtId="3" fontId="55" fillId="3" borderId="6" xfId="0" applyNumberFormat="1" applyFont="1" applyFill="1" applyBorder="1" applyAlignment="1">
      <alignment horizontal="right" vertical="center" wrapText="1"/>
    </xf>
    <xf numFmtId="9" fontId="55" fillId="3" borderId="1" xfId="1" applyFont="1" applyFill="1" applyBorder="1" applyAlignment="1">
      <alignment horizontal="right" vertical="center" wrapText="1"/>
    </xf>
    <xf numFmtId="3" fontId="55" fillId="3" borderId="6" xfId="0" applyNumberFormat="1" applyFont="1" applyFill="1" applyBorder="1" applyAlignment="1">
      <alignment horizontal="right" wrapText="1"/>
    </xf>
    <xf numFmtId="3" fontId="55" fillId="3" borderId="8" xfId="0" applyNumberFormat="1" applyFont="1" applyFill="1" applyBorder="1" applyAlignment="1">
      <alignment horizontal="right" wrapText="1"/>
    </xf>
    <xf numFmtId="0" fontId="26" fillId="9" borderId="10" xfId="0" applyFont="1" applyFill="1" applyBorder="1" applyAlignment="1">
      <alignment horizontal="right" vertical="center" wrapText="1"/>
    </xf>
    <xf numFmtId="0" fontId="26" fillId="9" borderId="13" xfId="0" applyFont="1" applyFill="1" applyBorder="1" applyAlignment="1">
      <alignment horizontal="right" vertical="center" wrapText="1"/>
    </xf>
    <xf numFmtId="3" fontId="27" fillId="3" borderId="6" xfId="0" applyNumberFormat="1" applyFont="1" applyFill="1" applyBorder="1" applyAlignment="1">
      <alignment horizontal="right" wrapText="1"/>
    </xf>
    <xf numFmtId="3" fontId="27" fillId="3" borderId="8" xfId="0" applyNumberFormat="1" applyFont="1" applyFill="1" applyBorder="1" applyAlignment="1">
      <alignment horizontal="right" wrapText="1"/>
    </xf>
    <xf numFmtId="9" fontId="27" fillId="3" borderId="1" xfId="1" applyFont="1" applyFill="1" applyBorder="1" applyAlignment="1">
      <alignment horizontal="right" wrapText="1"/>
    </xf>
    <xf numFmtId="9" fontId="27" fillId="3" borderId="3" xfId="1" applyFont="1" applyFill="1" applyBorder="1" applyAlignment="1">
      <alignment horizontal="right" wrapText="1"/>
    </xf>
    <xf numFmtId="0" fontId="26" fillId="9" borderId="10" xfId="0" applyFont="1" applyFill="1" applyBorder="1" applyAlignment="1">
      <alignment horizontal="center" vertical="top" wrapText="1"/>
    </xf>
    <xf numFmtId="0" fontId="26" fillId="9" borderId="13" xfId="0" applyFont="1" applyFill="1" applyBorder="1" applyAlignment="1">
      <alignment horizontal="center" vertical="top" wrapText="1"/>
    </xf>
    <xf numFmtId="3" fontId="27" fillId="3" borderId="6" xfId="0" applyNumberFormat="1" applyFont="1" applyFill="1" applyBorder="1" applyAlignment="1">
      <alignment horizontal="center" wrapText="1"/>
    </xf>
    <xf numFmtId="3" fontId="27" fillId="3" borderId="8" xfId="0" applyNumberFormat="1" applyFont="1" applyFill="1" applyBorder="1" applyAlignment="1">
      <alignment horizontal="center" wrapText="1"/>
    </xf>
    <xf numFmtId="3" fontId="27" fillId="3" borderId="1" xfId="0" applyNumberFormat="1" applyFont="1" applyFill="1" applyBorder="1" applyAlignment="1">
      <alignment horizontal="center" wrapText="1"/>
    </xf>
    <xf numFmtId="3" fontId="27" fillId="3" borderId="3" xfId="0" applyNumberFormat="1" applyFont="1" applyFill="1" applyBorder="1" applyAlignment="1">
      <alignment horizontal="center" wrapText="1"/>
    </xf>
    <xf numFmtId="0" fontId="17" fillId="0" borderId="73" xfId="0" applyFont="1" applyFill="1" applyBorder="1" applyAlignment="1">
      <alignment horizontal="left" vertical="center" wrapText="1"/>
    </xf>
    <xf numFmtId="0" fontId="25" fillId="14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28" fillId="5" borderId="68" xfId="0" applyFont="1" applyFill="1" applyBorder="1" applyAlignment="1">
      <alignment horizontal="center" vertical="center"/>
    </xf>
    <xf numFmtId="0" fontId="28" fillId="5" borderId="4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8" fillId="5" borderId="7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66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0" fontId="28" fillId="5" borderId="57" xfId="0" applyFont="1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</cellXfs>
  <cellStyles count="25">
    <cellStyle name="Comma" xfId="5" builtinId="3"/>
    <cellStyle name="Comma [0]" xfId="6" builtinId="6"/>
    <cellStyle name="Comma 2" xfId="3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CEE1F2"/>
      <color rgb="FFF8CBBE"/>
      <color rgb="FFFCE4C2"/>
      <color rgb="FFFCE4EB"/>
      <color rgb="FFFFFFDC"/>
      <color rgb="FFFFFFEC"/>
      <color rgb="FFFFFFC8"/>
      <color rgb="FFFFFFD1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Energy Sector Budget</a:t>
            </a:r>
          </a:p>
          <a:p>
            <a:pPr>
              <a:defRPr/>
            </a:pPr>
            <a:r>
              <a:rPr lang="en-US"/>
              <a:t>2018 versus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Sheet2!$D$5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Sheet2!$B$6:$C$9</c:f>
              <c:strCache>
                <c:ptCount val="4"/>
                <c:pt idx="0">
                  <c:v>OUTCOME 1</c:v>
                </c:pt>
                <c:pt idx="1">
                  <c:v>OUTCOME 2</c:v>
                </c:pt>
                <c:pt idx="2">
                  <c:v>OUTCOME 3</c:v>
                </c:pt>
                <c:pt idx="3">
                  <c:v>OUTCOME 4</c:v>
                </c:pt>
              </c:strCache>
            </c:strRef>
          </c:cat>
          <c:val>
            <c:numRef>
              <c:f>Sheet2!$D$6:$D$9</c:f>
              <c:numCache>
                <c:formatCode>#,##0.0</c:formatCode>
                <c:ptCount val="4"/>
                <c:pt idx="0">
                  <c:v>39.112499999999997</c:v>
                </c:pt>
                <c:pt idx="1">
                  <c:v>7.5262500000000001</c:v>
                </c:pt>
                <c:pt idx="2">
                  <c:v>51.6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Sheet2!$E$5</c:f>
              <c:strCache>
                <c:ptCount val="1"/>
                <c:pt idx="0">
                  <c:v>2018-2020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Sheet2!$B$6:$C$9</c:f>
              <c:strCache>
                <c:ptCount val="4"/>
                <c:pt idx="0">
                  <c:v>OUTCOME 1</c:v>
                </c:pt>
                <c:pt idx="1">
                  <c:v>OUTCOME 2</c:v>
                </c:pt>
                <c:pt idx="2">
                  <c:v>OUTCOME 3</c:v>
                </c:pt>
                <c:pt idx="3">
                  <c:v>OUTCOME 4</c:v>
                </c:pt>
              </c:strCache>
            </c:strRef>
          </c:cat>
          <c:val>
            <c:numRef>
              <c:f>Sheet2!$E$6:$E$9</c:f>
              <c:numCache>
                <c:formatCode>#,##0.0</c:formatCode>
                <c:ptCount val="4"/>
                <c:pt idx="0">
                  <c:v>260.75</c:v>
                </c:pt>
                <c:pt idx="1">
                  <c:v>50.174999999999997</c:v>
                </c:pt>
                <c:pt idx="2">
                  <c:v>129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341672"/>
        <c:axId val="175270864"/>
      </c:barChart>
      <c:catAx>
        <c:axId val="183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70864"/>
        <c:crosses val="autoZero"/>
        <c:auto val="1"/>
        <c:lblAlgn val="ctr"/>
        <c:lblOffset val="100"/>
        <c:noMultiLvlLbl val="0"/>
      </c:catAx>
      <c:valAx>
        <c:axId val="1752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3</xdr:row>
      <xdr:rowOff>139700</xdr:rowOff>
    </xdr:from>
    <xdr:to>
      <xdr:col>14</xdr:col>
      <xdr:colOff>698500</xdr:colOff>
      <xdr:row>23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yhoayek/Desktop/LCRP%202018/LCRP_2018_ENERGY_%20LOGFRAME_version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zyhoayek/Desktop/LCRP%202017%20-%202020/Kamal/Copy%20of%20LCRP-Mod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mal Origin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mal Origin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6" sqref="A6"/>
    </sheetView>
  </sheetViews>
  <sheetFormatPr defaultColWidth="8.85546875" defaultRowHeight="15"/>
  <cols>
    <col min="1" max="1" width="111.28515625" customWidth="1"/>
  </cols>
  <sheetData>
    <row r="1" spans="1:1" ht="28.5">
      <c r="A1" s="15" t="s">
        <v>44</v>
      </c>
    </row>
    <row r="2" spans="1:1">
      <c r="A2" s="1"/>
    </row>
    <row r="3" spans="1:1">
      <c r="A3" s="17" t="s">
        <v>45</v>
      </c>
    </row>
    <row r="4" spans="1:1">
      <c r="A4" s="17" t="s">
        <v>46</v>
      </c>
    </row>
    <row r="5" spans="1:1">
      <c r="A5" s="17" t="s">
        <v>47</v>
      </c>
    </row>
    <row r="6" spans="1:1" ht="30">
      <c r="A6" s="17" t="s">
        <v>48</v>
      </c>
    </row>
    <row r="7" spans="1:1">
      <c r="A7" s="17" t="s">
        <v>53</v>
      </c>
    </row>
    <row r="8" spans="1:1">
      <c r="A8" s="17" t="s">
        <v>52</v>
      </c>
    </row>
    <row r="9" spans="1:1">
      <c r="A9" s="17"/>
    </row>
    <row r="14" spans="1:1" ht="15" customHeight="1"/>
    <row r="17" ht="15" customHeight="1"/>
    <row r="18" ht="15" customHeight="1"/>
    <row r="19" ht="15" customHeight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D1" workbookViewId="0">
      <selection activeCell="D1" sqref="D1:M1048576"/>
    </sheetView>
  </sheetViews>
  <sheetFormatPr defaultColWidth="11.42578125" defaultRowHeight="15"/>
  <cols>
    <col min="3" max="3" width="104.85546875" bestFit="1" customWidth="1"/>
    <col min="5" max="12" width="10.85546875" customWidth="1"/>
  </cols>
  <sheetData>
    <row r="1" spans="1:20">
      <c r="A1" s="275"/>
      <c r="B1" s="275"/>
      <c r="C1" s="275"/>
      <c r="D1" s="275"/>
      <c r="E1" s="519" t="s">
        <v>303</v>
      </c>
      <c r="F1" s="519"/>
      <c r="G1" s="519"/>
      <c r="H1" s="519"/>
      <c r="I1" s="519"/>
      <c r="J1" s="519"/>
      <c r="K1" s="519"/>
      <c r="L1" s="519"/>
      <c r="M1" s="519" t="s">
        <v>302</v>
      </c>
      <c r="N1" s="519"/>
      <c r="O1" s="519"/>
      <c r="P1" s="519"/>
      <c r="Q1" s="519"/>
      <c r="R1" s="519"/>
      <c r="S1" s="519"/>
      <c r="T1" s="519"/>
    </row>
    <row r="2" spans="1:20" ht="34.5">
      <c r="A2" s="276" t="s">
        <v>256</v>
      </c>
      <c r="B2" s="276" t="s">
        <v>257</v>
      </c>
      <c r="C2" s="276" t="s">
        <v>258</v>
      </c>
      <c r="D2" s="276" t="s">
        <v>259</v>
      </c>
      <c r="E2" s="277" t="s">
        <v>260</v>
      </c>
      <c r="F2" s="277" t="s">
        <v>10</v>
      </c>
      <c r="G2" s="277" t="s">
        <v>261</v>
      </c>
      <c r="H2" s="277" t="s">
        <v>13</v>
      </c>
      <c r="I2" s="277" t="s">
        <v>262</v>
      </c>
      <c r="J2" s="277" t="s">
        <v>263</v>
      </c>
      <c r="K2" s="277" t="s">
        <v>15</v>
      </c>
      <c r="L2" s="277" t="s">
        <v>16</v>
      </c>
      <c r="M2" s="280" t="s">
        <v>260</v>
      </c>
      <c r="N2" s="280" t="s">
        <v>10</v>
      </c>
      <c r="O2" s="280" t="s">
        <v>261</v>
      </c>
      <c r="P2" s="280" t="s">
        <v>13</v>
      </c>
      <c r="Q2" s="280" t="s">
        <v>262</v>
      </c>
      <c r="R2" s="280" t="s">
        <v>263</v>
      </c>
      <c r="S2" s="280" t="s">
        <v>15</v>
      </c>
      <c r="T2" s="280" t="s">
        <v>16</v>
      </c>
    </row>
    <row r="3" spans="1:20" ht="24.95" customHeight="1">
      <c r="A3" s="278" t="s">
        <v>264</v>
      </c>
      <c r="B3" s="278" t="s">
        <v>265</v>
      </c>
      <c r="C3" s="278" t="s">
        <v>266</v>
      </c>
      <c r="D3" s="278" t="s">
        <v>267</v>
      </c>
      <c r="E3" s="279">
        <v>2184</v>
      </c>
      <c r="F3" s="279">
        <f>10921</f>
        <v>10921</v>
      </c>
      <c r="G3" s="279">
        <v>13105</v>
      </c>
      <c r="H3" s="279">
        <v>25118</v>
      </c>
      <c r="I3" s="279">
        <v>28394</v>
      </c>
      <c r="J3" s="279">
        <v>4358</v>
      </c>
      <c r="K3" s="279">
        <v>16381</v>
      </c>
      <c r="L3" s="279">
        <v>7645</v>
      </c>
      <c r="M3" s="281">
        <f>E3/3</f>
        <v>728</v>
      </c>
      <c r="N3" s="281">
        <f t="shared" ref="N3:T3" si="0">F3/3</f>
        <v>3640.3333333333335</v>
      </c>
      <c r="O3" s="281">
        <f t="shared" si="0"/>
        <v>4368.333333333333</v>
      </c>
      <c r="P3" s="281">
        <f t="shared" si="0"/>
        <v>8372.6666666666661</v>
      </c>
      <c r="Q3" s="281">
        <f t="shared" si="0"/>
        <v>9464.6666666666661</v>
      </c>
      <c r="R3" s="281">
        <f t="shared" si="0"/>
        <v>1452.6666666666667</v>
      </c>
      <c r="S3" s="281">
        <f t="shared" si="0"/>
        <v>5460.333333333333</v>
      </c>
      <c r="T3" s="281">
        <f t="shared" si="0"/>
        <v>2548.3333333333335</v>
      </c>
    </row>
    <row r="4" spans="1:20" ht="24.95" customHeight="1">
      <c r="A4" s="278" t="s">
        <v>264</v>
      </c>
      <c r="B4" s="278" t="s">
        <v>265</v>
      </c>
      <c r="C4" s="278" t="s">
        <v>268</v>
      </c>
      <c r="D4" s="278" t="s">
        <v>267</v>
      </c>
      <c r="E4" s="279"/>
      <c r="F4" s="279"/>
      <c r="G4" s="279"/>
      <c r="H4" s="279"/>
      <c r="I4" s="279"/>
      <c r="J4" s="279"/>
      <c r="K4" s="279"/>
      <c r="L4" s="279"/>
      <c r="M4" s="281"/>
      <c r="N4" s="281"/>
      <c r="O4" s="281"/>
      <c r="P4" s="281"/>
      <c r="Q4" s="281"/>
      <c r="R4" s="281"/>
      <c r="S4" s="281"/>
      <c r="T4" s="281"/>
    </row>
    <row r="5" spans="1:20" ht="24.95" customHeight="1">
      <c r="A5" s="278" t="s">
        <v>264</v>
      </c>
      <c r="B5" s="278" t="s">
        <v>265</v>
      </c>
      <c r="C5" s="278" t="s">
        <v>269</v>
      </c>
      <c r="D5" s="278" t="s">
        <v>267</v>
      </c>
      <c r="E5" s="279"/>
      <c r="F5" s="279"/>
      <c r="G5" s="279"/>
      <c r="H5" s="279"/>
      <c r="I5" s="279"/>
      <c r="J5" s="279"/>
      <c r="K5" s="279"/>
      <c r="L5" s="279"/>
      <c r="M5" s="281"/>
      <c r="N5" s="281"/>
      <c r="O5" s="281"/>
      <c r="P5" s="281"/>
      <c r="Q5" s="281"/>
      <c r="R5" s="281"/>
      <c r="S5" s="281"/>
      <c r="T5" s="281"/>
    </row>
    <row r="6" spans="1:20" ht="24.95" customHeight="1">
      <c r="A6" s="278" t="s">
        <v>264</v>
      </c>
      <c r="B6" s="278" t="s">
        <v>265</v>
      </c>
      <c r="C6" s="278" t="s">
        <v>270</v>
      </c>
      <c r="D6" s="278" t="s">
        <v>267</v>
      </c>
      <c r="E6" s="279">
        <v>8737</v>
      </c>
      <c r="F6" s="279">
        <v>5766</v>
      </c>
      <c r="G6" s="279">
        <v>5941</v>
      </c>
      <c r="H6" s="279">
        <v>6028</v>
      </c>
      <c r="I6" s="279">
        <v>32675</v>
      </c>
      <c r="J6" s="279">
        <v>5941</v>
      </c>
      <c r="K6" s="279">
        <v>12057</v>
      </c>
      <c r="L6" s="279">
        <v>10222</v>
      </c>
      <c r="M6" s="281">
        <f t="shared" ref="M6:T6" si="1">E6/3</f>
        <v>2912.3333333333335</v>
      </c>
      <c r="N6" s="281">
        <f t="shared" si="1"/>
        <v>1922</v>
      </c>
      <c r="O6" s="281">
        <f t="shared" si="1"/>
        <v>1980.3333333333333</v>
      </c>
      <c r="P6" s="281">
        <f t="shared" si="1"/>
        <v>2009.3333333333333</v>
      </c>
      <c r="Q6" s="281">
        <f t="shared" si="1"/>
        <v>10891.666666666666</v>
      </c>
      <c r="R6" s="281">
        <f t="shared" si="1"/>
        <v>1980.3333333333333</v>
      </c>
      <c r="S6" s="281">
        <f t="shared" si="1"/>
        <v>4019</v>
      </c>
      <c r="T6" s="281">
        <f t="shared" si="1"/>
        <v>3407.3333333333335</v>
      </c>
    </row>
    <row r="7" spans="1:20" ht="24.95" customHeight="1">
      <c r="A7" s="278" t="s">
        <v>264</v>
      </c>
      <c r="B7" s="278" t="s">
        <v>265</v>
      </c>
      <c r="C7" s="278" t="s">
        <v>271</v>
      </c>
      <c r="D7" s="278" t="s">
        <v>272</v>
      </c>
      <c r="E7" s="279">
        <v>1</v>
      </c>
      <c r="F7" s="279">
        <v>6</v>
      </c>
      <c r="G7" s="279">
        <v>5</v>
      </c>
      <c r="H7" s="279">
        <v>8</v>
      </c>
      <c r="I7" s="279">
        <v>6</v>
      </c>
      <c r="J7" s="279">
        <v>2</v>
      </c>
      <c r="K7" s="279">
        <v>7</v>
      </c>
      <c r="L7" s="279">
        <v>3</v>
      </c>
      <c r="M7" s="281">
        <v>1</v>
      </c>
      <c r="N7" s="281">
        <v>6</v>
      </c>
      <c r="O7" s="281">
        <v>5</v>
      </c>
      <c r="P7" s="281">
        <v>8</v>
      </c>
      <c r="Q7" s="281">
        <v>6</v>
      </c>
      <c r="R7" s="281">
        <v>2</v>
      </c>
      <c r="S7" s="281">
        <v>7</v>
      </c>
      <c r="T7" s="281">
        <v>3</v>
      </c>
    </row>
    <row r="8" spans="1:20" ht="24.95" customHeight="1">
      <c r="A8" s="278" t="s">
        <v>264</v>
      </c>
      <c r="B8" s="278" t="s">
        <v>265</v>
      </c>
      <c r="C8" s="278" t="s">
        <v>273</v>
      </c>
      <c r="D8" s="278" t="s">
        <v>274</v>
      </c>
      <c r="E8" s="279">
        <v>0</v>
      </c>
      <c r="F8" s="279">
        <v>1</v>
      </c>
      <c r="G8" s="279">
        <v>1</v>
      </c>
      <c r="H8" s="279">
        <v>1</v>
      </c>
      <c r="I8" s="279">
        <v>0</v>
      </c>
      <c r="J8" s="279">
        <v>1</v>
      </c>
      <c r="K8" s="279">
        <v>1</v>
      </c>
      <c r="L8" s="279">
        <v>1</v>
      </c>
      <c r="M8" s="281">
        <v>0</v>
      </c>
      <c r="N8" s="281">
        <v>1</v>
      </c>
      <c r="O8" s="281">
        <v>1</v>
      </c>
      <c r="P8" s="281">
        <v>1</v>
      </c>
      <c r="Q8" s="281">
        <v>0</v>
      </c>
      <c r="R8" s="281">
        <v>1</v>
      </c>
      <c r="S8" s="281">
        <v>1</v>
      </c>
      <c r="T8" s="281">
        <v>1</v>
      </c>
    </row>
    <row r="9" spans="1:20" ht="24.95" customHeight="1">
      <c r="A9" s="278" t="s">
        <v>264</v>
      </c>
      <c r="B9" s="278" t="s">
        <v>265</v>
      </c>
      <c r="C9" s="278" t="s">
        <v>275</v>
      </c>
      <c r="D9" s="278" t="s">
        <v>79</v>
      </c>
      <c r="E9" s="279">
        <v>0</v>
      </c>
      <c r="F9" s="279">
        <v>1</v>
      </c>
      <c r="G9" s="279">
        <v>1</v>
      </c>
      <c r="H9" s="279">
        <v>1</v>
      </c>
      <c r="I9" s="279">
        <v>0</v>
      </c>
      <c r="J9" s="279">
        <v>0</v>
      </c>
      <c r="K9" s="279">
        <v>1</v>
      </c>
      <c r="L9" s="279">
        <v>0</v>
      </c>
      <c r="M9" s="281">
        <v>0</v>
      </c>
      <c r="N9" s="281">
        <v>1</v>
      </c>
      <c r="O9" s="281">
        <v>1</v>
      </c>
      <c r="P9" s="281">
        <v>1</v>
      </c>
      <c r="Q9" s="281">
        <v>0</v>
      </c>
      <c r="R9" s="281">
        <v>0</v>
      </c>
      <c r="S9" s="281">
        <v>1</v>
      </c>
      <c r="T9" s="281">
        <v>0</v>
      </c>
    </row>
    <row r="10" spans="1:20" ht="24.95" customHeight="1">
      <c r="A10" s="278" t="s">
        <v>264</v>
      </c>
      <c r="B10" s="278" t="s">
        <v>265</v>
      </c>
      <c r="C10" s="278" t="s">
        <v>276</v>
      </c>
      <c r="D10" s="278" t="s">
        <v>277</v>
      </c>
      <c r="E10" s="279">
        <v>2</v>
      </c>
      <c r="F10" s="279"/>
      <c r="G10" s="279"/>
      <c r="H10" s="279"/>
      <c r="I10" s="279"/>
      <c r="J10" s="279"/>
      <c r="K10" s="279"/>
      <c r="L10" s="279"/>
      <c r="M10" s="281">
        <v>2</v>
      </c>
      <c r="N10" s="281"/>
      <c r="O10" s="281"/>
      <c r="P10" s="281"/>
      <c r="Q10" s="281"/>
      <c r="R10" s="281"/>
      <c r="S10" s="281"/>
      <c r="T10" s="281"/>
    </row>
    <row r="11" spans="1:20" ht="24.95" customHeight="1">
      <c r="A11" s="278" t="s">
        <v>264</v>
      </c>
      <c r="B11" s="278" t="s">
        <v>278</v>
      </c>
      <c r="C11" s="278" t="s">
        <v>279</v>
      </c>
      <c r="D11" s="278" t="s">
        <v>280</v>
      </c>
      <c r="E11" s="279">
        <v>601</v>
      </c>
      <c r="F11" s="279">
        <v>3005</v>
      </c>
      <c r="G11" s="279">
        <v>3605</v>
      </c>
      <c r="H11" s="279">
        <v>6910</v>
      </c>
      <c r="I11" s="279">
        <v>7812</v>
      </c>
      <c r="J11" s="279">
        <v>1202</v>
      </c>
      <c r="K11" s="279">
        <v>4507</v>
      </c>
      <c r="L11" s="279">
        <v>2103</v>
      </c>
      <c r="M11" s="281">
        <f t="shared" ref="M11:T11" si="2">E11/3</f>
        <v>200.33333333333334</v>
      </c>
      <c r="N11" s="281">
        <f t="shared" si="2"/>
        <v>1001.6666666666666</v>
      </c>
      <c r="O11" s="281">
        <f t="shared" si="2"/>
        <v>1201.6666666666667</v>
      </c>
      <c r="P11" s="281">
        <f t="shared" si="2"/>
        <v>2303.3333333333335</v>
      </c>
      <c r="Q11" s="281">
        <f t="shared" si="2"/>
        <v>2604</v>
      </c>
      <c r="R11" s="281">
        <f t="shared" si="2"/>
        <v>400.66666666666669</v>
      </c>
      <c r="S11" s="281">
        <f t="shared" si="2"/>
        <v>1502.3333333333333</v>
      </c>
      <c r="T11" s="281">
        <f t="shared" si="2"/>
        <v>701</v>
      </c>
    </row>
    <row r="12" spans="1:20" ht="24.95" customHeight="1">
      <c r="A12" s="278" t="s">
        <v>264</v>
      </c>
      <c r="B12" s="278" t="s">
        <v>278</v>
      </c>
      <c r="C12" s="278" t="s">
        <v>281</v>
      </c>
      <c r="D12" s="278" t="s">
        <v>280</v>
      </c>
      <c r="E12" s="279"/>
      <c r="F12" s="279"/>
      <c r="G12" s="279"/>
      <c r="H12" s="279"/>
      <c r="I12" s="279"/>
      <c r="J12" s="279"/>
      <c r="K12" s="279"/>
      <c r="L12" s="279"/>
      <c r="M12" s="281"/>
      <c r="N12" s="281"/>
      <c r="O12" s="281"/>
      <c r="P12" s="281"/>
      <c r="Q12" s="281"/>
      <c r="R12" s="281"/>
      <c r="S12" s="281"/>
      <c r="T12" s="281"/>
    </row>
    <row r="13" spans="1:20" ht="24.95" customHeight="1">
      <c r="A13" s="278" t="s">
        <v>264</v>
      </c>
      <c r="B13" s="278" t="s">
        <v>278</v>
      </c>
      <c r="C13" s="278" t="s">
        <v>282</v>
      </c>
      <c r="D13" s="278" t="s">
        <v>280</v>
      </c>
      <c r="E13" s="279"/>
      <c r="F13" s="279"/>
      <c r="G13" s="279"/>
      <c r="H13" s="279"/>
      <c r="I13" s="279"/>
      <c r="J13" s="279"/>
      <c r="K13" s="279"/>
      <c r="L13" s="279"/>
      <c r="M13" s="281"/>
      <c r="N13" s="281"/>
      <c r="O13" s="281"/>
      <c r="P13" s="281"/>
      <c r="Q13" s="281"/>
      <c r="R13" s="281"/>
      <c r="S13" s="281"/>
      <c r="T13" s="281"/>
    </row>
    <row r="14" spans="1:20" ht="24.95" customHeight="1">
      <c r="A14" s="278" t="s">
        <v>264</v>
      </c>
      <c r="B14" s="278" t="s">
        <v>278</v>
      </c>
      <c r="C14" s="278" t="s">
        <v>283</v>
      </c>
      <c r="D14" s="278" t="s">
        <v>280</v>
      </c>
      <c r="E14" s="279">
        <v>3005</v>
      </c>
      <c r="F14" s="279">
        <v>1983</v>
      </c>
      <c r="G14" s="279">
        <v>2043</v>
      </c>
      <c r="H14" s="279">
        <v>2073</v>
      </c>
      <c r="I14" s="279">
        <v>11237</v>
      </c>
      <c r="J14" s="279">
        <v>2043</v>
      </c>
      <c r="K14" s="279">
        <v>4146</v>
      </c>
      <c r="L14" s="279">
        <v>3515</v>
      </c>
      <c r="M14" s="281">
        <f t="shared" ref="M14:T14" si="3">E14/3</f>
        <v>1001.6666666666666</v>
      </c>
      <c r="N14" s="281">
        <f t="shared" si="3"/>
        <v>661</v>
      </c>
      <c r="O14" s="281">
        <f t="shared" si="3"/>
        <v>681</v>
      </c>
      <c r="P14" s="281">
        <f t="shared" si="3"/>
        <v>691</v>
      </c>
      <c r="Q14" s="281">
        <f t="shared" si="3"/>
        <v>3745.6666666666665</v>
      </c>
      <c r="R14" s="281">
        <f t="shared" si="3"/>
        <v>681</v>
      </c>
      <c r="S14" s="281">
        <f t="shared" si="3"/>
        <v>1382</v>
      </c>
      <c r="T14" s="281">
        <f t="shared" si="3"/>
        <v>1171.6666666666667</v>
      </c>
    </row>
    <row r="15" spans="1:20" ht="24.95" customHeight="1">
      <c r="A15" s="278" t="s">
        <v>264</v>
      </c>
      <c r="B15" s="278" t="s">
        <v>278</v>
      </c>
      <c r="C15" s="278" t="s">
        <v>284</v>
      </c>
      <c r="D15" s="278" t="s">
        <v>285</v>
      </c>
      <c r="E15" s="279">
        <v>6</v>
      </c>
      <c r="F15" s="279">
        <v>10</v>
      </c>
      <c r="G15" s="279">
        <v>10</v>
      </c>
      <c r="H15" s="279">
        <v>11</v>
      </c>
      <c r="I15" s="279">
        <v>29</v>
      </c>
      <c r="J15" s="279">
        <v>16</v>
      </c>
      <c r="K15" s="279">
        <v>17</v>
      </c>
      <c r="L15" s="279">
        <v>14</v>
      </c>
      <c r="M15" s="281">
        <f t="shared" ref="M15:M16" si="4">E15/3</f>
        <v>2</v>
      </c>
      <c r="N15" s="281">
        <f t="shared" ref="N15" si="5">F15/3</f>
        <v>3.3333333333333335</v>
      </c>
      <c r="O15" s="281">
        <f t="shared" ref="O15" si="6">G15/3</f>
        <v>3.3333333333333335</v>
      </c>
      <c r="P15" s="281">
        <f t="shared" ref="P15" si="7">H15/3</f>
        <v>3.6666666666666665</v>
      </c>
      <c r="Q15" s="281">
        <f t="shared" ref="Q15" si="8">I15/3</f>
        <v>9.6666666666666661</v>
      </c>
      <c r="R15" s="281">
        <f t="shared" ref="R15" si="9">J15/3</f>
        <v>5.333333333333333</v>
      </c>
      <c r="S15" s="281">
        <f t="shared" ref="S15" si="10">K15/3</f>
        <v>5.666666666666667</v>
      </c>
      <c r="T15" s="281">
        <f t="shared" ref="T15" si="11">L15/3</f>
        <v>4.666666666666667</v>
      </c>
    </row>
    <row r="16" spans="1:20" ht="24.95" customHeight="1">
      <c r="A16" s="278" t="s">
        <v>264</v>
      </c>
      <c r="B16" s="278" t="s">
        <v>278</v>
      </c>
      <c r="C16" s="278" t="s">
        <v>286</v>
      </c>
      <c r="D16" s="278" t="s">
        <v>274</v>
      </c>
      <c r="E16" s="279">
        <v>5</v>
      </c>
      <c r="F16" s="279">
        <v>3</v>
      </c>
      <c r="G16" s="279">
        <v>3</v>
      </c>
      <c r="H16" s="279">
        <v>4</v>
      </c>
      <c r="I16" s="279">
        <v>19</v>
      </c>
      <c r="J16" s="279">
        <v>3</v>
      </c>
      <c r="K16" s="279">
        <v>7</v>
      </c>
      <c r="L16" s="279">
        <v>6</v>
      </c>
      <c r="M16" s="281">
        <f t="shared" si="4"/>
        <v>1.6666666666666667</v>
      </c>
      <c r="N16" s="281">
        <f t="shared" ref="N16" si="12">F16/3</f>
        <v>1</v>
      </c>
      <c r="O16" s="281">
        <f t="shared" ref="O16" si="13">G16/3</f>
        <v>1</v>
      </c>
      <c r="P16" s="281">
        <f t="shared" ref="P16" si="14">H16/3</f>
        <v>1.3333333333333333</v>
      </c>
      <c r="Q16" s="281">
        <f t="shared" ref="Q16" si="15">I16/3</f>
        <v>6.333333333333333</v>
      </c>
      <c r="R16" s="281">
        <f t="shared" ref="R16" si="16">J16/3</f>
        <v>1</v>
      </c>
      <c r="S16" s="281">
        <f t="shared" ref="S16" si="17">K16/3</f>
        <v>2.3333333333333335</v>
      </c>
      <c r="T16" s="281">
        <f t="shared" ref="T16" si="18">L16/3</f>
        <v>2</v>
      </c>
    </row>
    <row r="17" spans="1:20" ht="24.95" customHeight="1">
      <c r="A17" s="278" t="s">
        <v>264</v>
      </c>
      <c r="B17" s="278" t="s">
        <v>278</v>
      </c>
      <c r="C17" s="278" t="s">
        <v>287</v>
      </c>
      <c r="D17" s="278" t="s">
        <v>288</v>
      </c>
      <c r="E17" s="279">
        <v>6</v>
      </c>
      <c r="F17" s="279">
        <v>10</v>
      </c>
      <c r="G17" s="279">
        <v>10</v>
      </c>
      <c r="H17" s="279">
        <v>11</v>
      </c>
      <c r="I17" s="279">
        <v>29</v>
      </c>
      <c r="J17" s="279">
        <v>16</v>
      </c>
      <c r="K17" s="279">
        <v>17</v>
      </c>
      <c r="L17" s="279">
        <v>14</v>
      </c>
      <c r="M17" s="281">
        <v>6</v>
      </c>
      <c r="N17" s="281">
        <v>10</v>
      </c>
      <c r="O17" s="281">
        <v>10</v>
      </c>
      <c r="P17" s="281">
        <v>11</v>
      </c>
      <c r="Q17" s="281">
        <v>29</v>
      </c>
      <c r="R17" s="281">
        <v>16</v>
      </c>
      <c r="S17" s="281">
        <v>17</v>
      </c>
      <c r="T17" s="281">
        <v>14</v>
      </c>
    </row>
    <row r="18" spans="1:20" ht="24.95" customHeight="1">
      <c r="A18" s="278" t="s">
        <v>264</v>
      </c>
      <c r="B18" s="278" t="s">
        <v>278</v>
      </c>
      <c r="C18" s="278" t="s">
        <v>301</v>
      </c>
      <c r="D18" s="278" t="s">
        <v>277</v>
      </c>
      <c r="E18" s="279">
        <v>2</v>
      </c>
      <c r="F18" s="279"/>
      <c r="G18" s="279"/>
      <c r="H18" s="279"/>
      <c r="I18" s="279"/>
      <c r="J18" s="279"/>
      <c r="K18" s="279"/>
      <c r="L18" s="279"/>
      <c r="M18" s="281">
        <v>2</v>
      </c>
      <c r="N18" s="281"/>
      <c r="O18" s="281"/>
      <c r="P18" s="281"/>
      <c r="Q18" s="281"/>
      <c r="R18" s="281"/>
      <c r="S18" s="281"/>
      <c r="T18" s="281"/>
    </row>
    <row r="19" spans="1:20" ht="24.95" customHeight="1">
      <c r="A19" s="278" t="s">
        <v>264</v>
      </c>
      <c r="B19" s="278" t="s">
        <v>289</v>
      </c>
      <c r="C19" s="278" t="s">
        <v>290</v>
      </c>
      <c r="D19" s="278" t="s">
        <v>267</v>
      </c>
      <c r="E19" s="279">
        <v>660</v>
      </c>
      <c r="F19" s="279">
        <v>3300</v>
      </c>
      <c r="G19" s="279">
        <v>3960</v>
      </c>
      <c r="H19" s="279">
        <v>7590</v>
      </c>
      <c r="I19" s="279">
        <v>8580</v>
      </c>
      <c r="J19" s="279">
        <v>1320</v>
      </c>
      <c r="K19" s="279">
        <v>4950</v>
      </c>
      <c r="L19" s="279">
        <v>2310</v>
      </c>
      <c r="M19" s="281">
        <f t="shared" ref="M19:T19" si="19">E19/3</f>
        <v>220</v>
      </c>
      <c r="N19" s="281">
        <f t="shared" si="19"/>
        <v>1100</v>
      </c>
      <c r="O19" s="281">
        <f t="shared" si="19"/>
        <v>1320</v>
      </c>
      <c r="P19" s="281">
        <f t="shared" si="19"/>
        <v>2530</v>
      </c>
      <c r="Q19" s="281">
        <f t="shared" si="19"/>
        <v>2860</v>
      </c>
      <c r="R19" s="281">
        <f t="shared" si="19"/>
        <v>440</v>
      </c>
      <c r="S19" s="281">
        <f t="shared" si="19"/>
        <v>1650</v>
      </c>
      <c r="T19" s="281">
        <f t="shared" si="19"/>
        <v>770</v>
      </c>
    </row>
    <row r="20" spans="1:20" ht="24.95" customHeight="1">
      <c r="A20" s="278" t="s">
        <v>264</v>
      </c>
      <c r="B20" s="278" t="s">
        <v>289</v>
      </c>
      <c r="C20" s="278" t="s">
        <v>291</v>
      </c>
      <c r="D20" s="278" t="s">
        <v>267</v>
      </c>
      <c r="E20" s="279"/>
      <c r="F20" s="279"/>
      <c r="G20" s="279"/>
      <c r="H20" s="279"/>
      <c r="I20" s="279"/>
      <c r="J20" s="279"/>
      <c r="K20" s="279"/>
      <c r="L20" s="279"/>
      <c r="M20" s="281"/>
      <c r="N20" s="281"/>
      <c r="O20" s="281"/>
      <c r="P20" s="281"/>
      <c r="Q20" s="281"/>
      <c r="R20" s="281"/>
      <c r="S20" s="281"/>
      <c r="T20" s="281"/>
    </row>
    <row r="21" spans="1:20" ht="24.95" customHeight="1">
      <c r="A21" s="278" t="s">
        <v>264</v>
      </c>
      <c r="B21" s="278" t="s">
        <v>289</v>
      </c>
      <c r="C21" s="278" t="s">
        <v>292</v>
      </c>
      <c r="D21" s="278" t="s">
        <v>267</v>
      </c>
      <c r="E21" s="279"/>
      <c r="F21" s="279"/>
      <c r="G21" s="279"/>
      <c r="H21" s="279"/>
      <c r="I21" s="279"/>
      <c r="J21" s="279"/>
      <c r="K21" s="279"/>
      <c r="L21" s="279"/>
      <c r="M21" s="281"/>
      <c r="N21" s="281"/>
      <c r="O21" s="281"/>
      <c r="P21" s="281"/>
      <c r="Q21" s="281"/>
      <c r="R21" s="281"/>
      <c r="S21" s="281"/>
      <c r="T21" s="281"/>
    </row>
    <row r="22" spans="1:20" ht="24.95" customHeight="1">
      <c r="A22" s="278" t="s">
        <v>264</v>
      </c>
      <c r="B22" s="278" t="s">
        <v>289</v>
      </c>
      <c r="C22" s="278" t="s">
        <v>293</v>
      </c>
      <c r="D22" s="278" t="s">
        <v>267</v>
      </c>
      <c r="E22" s="279">
        <v>6160</v>
      </c>
      <c r="F22" s="279">
        <v>4066</v>
      </c>
      <c r="G22" s="279">
        <v>4189</v>
      </c>
      <c r="H22" s="279">
        <v>4250</v>
      </c>
      <c r="I22" s="279">
        <v>23038</v>
      </c>
      <c r="J22" s="279">
        <v>4189</v>
      </c>
      <c r="K22" s="279">
        <v>8501</v>
      </c>
      <c r="L22" s="279">
        <v>7207</v>
      </c>
      <c r="M22" s="281">
        <f t="shared" ref="M22:T22" si="20">E22/3</f>
        <v>2053.3333333333335</v>
      </c>
      <c r="N22" s="281">
        <f t="shared" si="20"/>
        <v>1355.3333333333333</v>
      </c>
      <c r="O22" s="281">
        <f t="shared" si="20"/>
        <v>1396.3333333333333</v>
      </c>
      <c r="P22" s="281">
        <f t="shared" si="20"/>
        <v>1416.6666666666667</v>
      </c>
      <c r="Q22" s="281">
        <f t="shared" si="20"/>
        <v>7679.333333333333</v>
      </c>
      <c r="R22" s="281">
        <f t="shared" si="20"/>
        <v>1396.3333333333333</v>
      </c>
      <c r="S22" s="281">
        <f t="shared" si="20"/>
        <v>2833.6666666666665</v>
      </c>
      <c r="T22" s="281">
        <f t="shared" si="20"/>
        <v>2402.3333333333335</v>
      </c>
    </row>
    <row r="23" spans="1:20" ht="24.95" customHeight="1">
      <c r="A23" s="278" t="s">
        <v>264</v>
      </c>
      <c r="B23" s="278" t="s">
        <v>289</v>
      </c>
      <c r="C23" s="278" t="s">
        <v>294</v>
      </c>
      <c r="D23" s="278" t="s">
        <v>277</v>
      </c>
      <c r="E23" s="279">
        <v>2</v>
      </c>
      <c r="F23" s="279"/>
      <c r="G23" s="279"/>
      <c r="H23" s="279"/>
      <c r="I23" s="279"/>
      <c r="J23" s="279"/>
      <c r="K23" s="279"/>
      <c r="L23" s="279"/>
      <c r="M23" s="281">
        <v>2</v>
      </c>
      <c r="N23" s="281"/>
      <c r="O23" s="281"/>
      <c r="P23" s="281"/>
      <c r="Q23" s="281"/>
      <c r="R23" s="281"/>
      <c r="S23" s="281"/>
      <c r="T23" s="281"/>
    </row>
    <row r="24" spans="1:20" ht="24.95" customHeight="1">
      <c r="A24" s="278" t="s">
        <v>264</v>
      </c>
      <c r="B24" s="278" t="s">
        <v>295</v>
      </c>
      <c r="C24" s="278" t="s">
        <v>296</v>
      </c>
      <c r="D24" s="278" t="s">
        <v>267</v>
      </c>
      <c r="E24" s="279">
        <v>1497</v>
      </c>
      <c r="F24" s="279">
        <v>7483</v>
      </c>
      <c r="G24" s="279">
        <v>8979</v>
      </c>
      <c r="H24" s="279">
        <v>17210</v>
      </c>
      <c r="I24" s="279">
        <v>19455</v>
      </c>
      <c r="J24" s="279">
        <v>2993</v>
      </c>
      <c r="K24" s="279">
        <v>11224</v>
      </c>
      <c r="L24" s="279">
        <v>5238</v>
      </c>
      <c r="M24" s="281">
        <f t="shared" ref="M24:T24" si="21">E24/3</f>
        <v>499</v>
      </c>
      <c r="N24" s="281">
        <f t="shared" si="21"/>
        <v>2494.3333333333335</v>
      </c>
      <c r="O24" s="281">
        <f t="shared" si="21"/>
        <v>2993</v>
      </c>
      <c r="P24" s="281">
        <f t="shared" si="21"/>
        <v>5736.666666666667</v>
      </c>
      <c r="Q24" s="281">
        <f t="shared" si="21"/>
        <v>6485</v>
      </c>
      <c r="R24" s="281">
        <f t="shared" si="21"/>
        <v>997.66666666666663</v>
      </c>
      <c r="S24" s="281">
        <f t="shared" si="21"/>
        <v>3741.3333333333335</v>
      </c>
      <c r="T24" s="281">
        <f t="shared" si="21"/>
        <v>1746</v>
      </c>
    </row>
    <row r="25" spans="1:20" ht="24.95" customHeight="1">
      <c r="A25" s="278" t="s">
        <v>264</v>
      </c>
      <c r="B25" s="278" t="s">
        <v>295</v>
      </c>
      <c r="C25" s="278" t="s">
        <v>297</v>
      </c>
      <c r="D25" s="278" t="s">
        <v>267</v>
      </c>
      <c r="E25" s="279"/>
      <c r="F25" s="279"/>
      <c r="G25" s="279"/>
      <c r="H25" s="279"/>
      <c r="I25" s="279"/>
      <c r="J25" s="279"/>
      <c r="K25" s="279"/>
      <c r="L25" s="279"/>
      <c r="M25" s="281"/>
      <c r="N25" s="281"/>
      <c r="O25" s="281"/>
      <c r="P25" s="281"/>
      <c r="Q25" s="281"/>
      <c r="R25" s="281"/>
      <c r="S25" s="281"/>
      <c r="T25" s="281"/>
    </row>
    <row r="26" spans="1:20" ht="24.95" customHeight="1">
      <c r="A26" s="278" t="s">
        <v>264</v>
      </c>
      <c r="B26" s="278" t="s">
        <v>295</v>
      </c>
      <c r="C26" s="278" t="s">
        <v>298</v>
      </c>
      <c r="D26" s="278" t="s">
        <v>267</v>
      </c>
      <c r="E26" s="279"/>
      <c r="F26" s="279"/>
      <c r="G26" s="279"/>
      <c r="H26" s="279"/>
      <c r="I26" s="279"/>
      <c r="J26" s="279"/>
      <c r="K26" s="279"/>
      <c r="L26" s="279"/>
      <c r="M26" s="281"/>
      <c r="N26" s="281"/>
      <c r="O26" s="281"/>
      <c r="P26" s="281"/>
      <c r="Q26" s="281"/>
      <c r="R26" s="281"/>
      <c r="S26" s="281"/>
      <c r="T26" s="281"/>
    </row>
    <row r="27" spans="1:20" ht="24.95" customHeight="1">
      <c r="A27" s="278" t="s">
        <v>264</v>
      </c>
      <c r="B27" s="278" t="s">
        <v>295</v>
      </c>
      <c r="C27" s="278" t="s">
        <v>299</v>
      </c>
      <c r="D27" s="278" t="s">
        <v>267</v>
      </c>
      <c r="E27" s="279">
        <v>20231</v>
      </c>
      <c r="F27" s="279">
        <v>13353</v>
      </c>
      <c r="G27" s="279">
        <v>13757</v>
      </c>
      <c r="H27" s="279">
        <v>13960</v>
      </c>
      <c r="I27" s="279">
        <v>75665</v>
      </c>
      <c r="J27" s="279">
        <v>13757</v>
      </c>
      <c r="K27" s="279">
        <v>27919</v>
      </c>
      <c r="L27" s="279">
        <v>23671</v>
      </c>
      <c r="M27" s="281">
        <f t="shared" ref="M27:T27" si="22">E27/3</f>
        <v>6743.666666666667</v>
      </c>
      <c r="N27" s="281">
        <f t="shared" si="22"/>
        <v>4451</v>
      </c>
      <c r="O27" s="281">
        <f t="shared" si="22"/>
        <v>4585.666666666667</v>
      </c>
      <c r="P27" s="281">
        <f t="shared" si="22"/>
        <v>4653.333333333333</v>
      </c>
      <c r="Q27" s="281">
        <f t="shared" si="22"/>
        <v>25221.666666666668</v>
      </c>
      <c r="R27" s="281">
        <f t="shared" si="22"/>
        <v>4585.666666666667</v>
      </c>
      <c r="S27" s="281">
        <f t="shared" si="22"/>
        <v>9306.3333333333339</v>
      </c>
      <c r="T27" s="281">
        <f t="shared" si="22"/>
        <v>7890.333333333333</v>
      </c>
    </row>
    <row r="28" spans="1:20" ht="24.95" customHeight="1">
      <c r="A28" s="278" t="s">
        <v>264</v>
      </c>
      <c r="B28" s="278" t="s">
        <v>295</v>
      </c>
      <c r="C28" s="278" t="s">
        <v>300</v>
      </c>
      <c r="D28" s="278" t="s">
        <v>277</v>
      </c>
      <c r="E28" s="279">
        <v>2</v>
      </c>
      <c r="F28" s="279"/>
      <c r="G28" s="279"/>
      <c r="H28" s="279"/>
      <c r="I28" s="279"/>
      <c r="J28" s="279"/>
      <c r="K28" s="279"/>
      <c r="L28" s="279"/>
      <c r="M28" s="281">
        <v>2</v>
      </c>
      <c r="N28" s="281"/>
      <c r="O28" s="281"/>
      <c r="P28" s="281"/>
      <c r="Q28" s="281"/>
      <c r="R28" s="281"/>
      <c r="S28" s="281"/>
      <c r="T28" s="281"/>
    </row>
  </sheetData>
  <mergeCells count="2">
    <mergeCell ref="E1:L1"/>
    <mergeCell ref="M1:T1"/>
  </mergeCells>
  <phoneticPr fontId="35" type="noConversion"/>
  <pageMargins left="0.7" right="0.7" top="0.75" bottom="0.75" header="0.3" footer="0.3"/>
  <pageSetup paperSize="9" scale="3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opLeftCell="A12" workbookViewId="0">
      <selection activeCell="A24" sqref="A24:C27"/>
    </sheetView>
  </sheetViews>
  <sheetFormatPr defaultColWidth="8.85546875" defaultRowHeight="15"/>
  <cols>
    <col min="1" max="1" width="33.140625" style="49" customWidth="1"/>
    <col min="2" max="2" width="25.140625" customWidth="1"/>
    <col min="3" max="3" width="25" customWidth="1"/>
    <col min="4" max="4" width="24.28515625" customWidth="1"/>
    <col min="5" max="5" width="16" customWidth="1"/>
    <col min="6" max="8" width="17.85546875" customWidth="1"/>
    <col min="9" max="9" width="7.42578125" bestFit="1" customWidth="1"/>
  </cols>
  <sheetData>
    <row r="1" spans="1:5" ht="21">
      <c r="A1" s="18" t="s">
        <v>54</v>
      </c>
      <c r="B1" s="21" t="s">
        <v>246</v>
      </c>
      <c r="C1" s="2"/>
    </row>
    <row r="2" spans="1:5" ht="21">
      <c r="A2" s="18"/>
      <c r="B2" s="21"/>
      <c r="C2" s="14"/>
    </row>
    <row r="3" spans="1:5">
      <c r="A3" s="19" t="s">
        <v>49</v>
      </c>
      <c r="B3" s="259" t="s">
        <v>247</v>
      </c>
      <c r="C3" s="14"/>
    </row>
    <row r="4" spans="1:5">
      <c r="A4" s="20" t="s">
        <v>50</v>
      </c>
      <c r="B4" s="22"/>
      <c r="C4" s="14"/>
    </row>
    <row r="5" spans="1:5" ht="25.5">
      <c r="A5" s="20" t="s">
        <v>51</v>
      </c>
      <c r="B5" s="23" t="s">
        <v>248</v>
      </c>
      <c r="C5" s="14"/>
    </row>
    <row r="6" spans="1:5" ht="21">
      <c r="A6" s="16"/>
      <c r="B6" s="13"/>
      <c r="C6" s="14"/>
    </row>
    <row r="7" spans="1:5" ht="21">
      <c r="A7" s="421" t="s">
        <v>8</v>
      </c>
      <c r="B7" s="422"/>
      <c r="C7" s="51">
        <v>2018</v>
      </c>
      <c r="D7" s="54">
        <v>2019</v>
      </c>
      <c r="E7" s="57">
        <v>2020</v>
      </c>
    </row>
    <row r="8" spans="1:5" ht="25.5">
      <c r="A8" s="24"/>
      <c r="B8" s="25" t="s">
        <v>249</v>
      </c>
      <c r="C8" s="52">
        <f>'Impact 1 (2018-2020)'!C135</f>
        <v>99238750</v>
      </c>
      <c r="D8" s="55">
        <f>'Impact 1 (2018-2020)'!D135</f>
        <v>171843125</v>
      </c>
      <c r="E8" s="260">
        <f>'Impact 1 (2018-2020)'!E135</f>
        <v>171843125</v>
      </c>
    </row>
    <row r="9" spans="1:5" ht="18.75">
      <c r="A9" s="24"/>
      <c r="B9" s="21" t="s">
        <v>24</v>
      </c>
      <c r="C9" s="53">
        <f>D30</f>
        <v>0.33640449119157356</v>
      </c>
      <c r="D9" s="56">
        <f>G30</f>
        <v>0.33640449119157356</v>
      </c>
      <c r="E9" s="261" t="s">
        <v>39</v>
      </c>
    </row>
    <row r="10" spans="1:5" ht="18.75">
      <c r="A10" s="24"/>
      <c r="B10" s="21" t="s">
        <v>25</v>
      </c>
      <c r="C10" s="53">
        <f>E30</f>
        <v>0.66359550880842644</v>
      </c>
      <c r="D10" s="56">
        <f>H30</f>
        <v>0.66359550880842644</v>
      </c>
      <c r="E10" s="261" t="s">
        <v>39</v>
      </c>
    </row>
    <row r="11" spans="1:5" ht="18.75">
      <c r="A11" s="13"/>
      <c r="B11" s="8"/>
      <c r="C11" s="8"/>
    </row>
    <row r="12" spans="1:5" ht="39" customHeight="1">
      <c r="A12" s="423" t="s">
        <v>31</v>
      </c>
      <c r="B12" s="424"/>
      <c r="C12" s="59" t="s">
        <v>373</v>
      </c>
      <c r="D12" s="62" t="s">
        <v>374</v>
      </c>
      <c r="E12" s="65">
        <v>2020</v>
      </c>
    </row>
    <row r="13" spans="1:5" ht="15.75">
      <c r="A13" s="48" t="s">
        <v>27</v>
      </c>
      <c r="B13" s="27">
        <v>0</v>
      </c>
      <c r="C13" s="60">
        <f>SUM(C14:C15)</f>
        <v>1119171.7</v>
      </c>
      <c r="D13" s="63">
        <f>SUM(D14:D15)</f>
        <v>2396528.15</v>
      </c>
      <c r="E13" s="66" t="s">
        <v>35</v>
      </c>
    </row>
    <row r="14" spans="1:5">
      <c r="A14" s="21" t="s">
        <v>250</v>
      </c>
      <c r="B14" s="26">
        <v>1500000</v>
      </c>
      <c r="C14" s="61">
        <f>'Impact 1 (2018-2020)'!H143</f>
        <v>492464.47499999998</v>
      </c>
      <c r="D14" s="64">
        <f>'Impact 1 (2018-2020)'!M143</f>
        <v>1170674.7625</v>
      </c>
      <c r="E14" s="261" t="s">
        <v>39</v>
      </c>
    </row>
    <row r="15" spans="1:5">
      <c r="A15" s="21" t="s">
        <v>30</v>
      </c>
      <c r="B15" s="26">
        <v>1500000</v>
      </c>
      <c r="C15" s="61">
        <f>'Impact 1 (2018-2020)'!K143</f>
        <v>626707.22499999998</v>
      </c>
      <c r="D15" s="64">
        <f>'Impact 1 (2018-2020)'!P143</f>
        <v>1225853.3875</v>
      </c>
      <c r="E15" s="261" t="s">
        <v>39</v>
      </c>
    </row>
    <row r="16" spans="1:5">
      <c r="A16" s="21" t="s">
        <v>29</v>
      </c>
      <c r="B16" s="26">
        <v>31502</v>
      </c>
      <c r="C16" s="61">
        <v>0</v>
      </c>
      <c r="D16" s="64">
        <v>0</v>
      </c>
      <c r="E16" s="261" t="s">
        <v>39</v>
      </c>
    </row>
    <row r="17" spans="1:8">
      <c r="A17" s="21" t="s">
        <v>28</v>
      </c>
      <c r="B17" s="26">
        <v>277985</v>
      </c>
      <c r="C17" s="61">
        <v>0</v>
      </c>
      <c r="D17" s="64">
        <v>0</v>
      </c>
      <c r="E17" s="261" t="s">
        <v>39</v>
      </c>
    </row>
    <row r="18" spans="1:8" ht="99" customHeight="1">
      <c r="A18" s="21" t="s">
        <v>42</v>
      </c>
      <c r="B18" s="25" t="s">
        <v>253</v>
      </c>
      <c r="C18" s="262" t="s">
        <v>251</v>
      </c>
      <c r="D18" s="273" t="s">
        <v>255</v>
      </c>
      <c r="E18" s="58" t="s">
        <v>35</v>
      </c>
    </row>
    <row r="19" spans="1:8" ht="15.75">
      <c r="A19" s="5"/>
      <c r="B19" s="4"/>
    </row>
    <row r="20" spans="1:8" ht="15.75">
      <c r="A20" s="5"/>
      <c r="B20" s="4"/>
    </row>
    <row r="21" spans="1:8" ht="15.6" customHeight="1">
      <c r="A21" s="425" t="s">
        <v>33</v>
      </c>
      <c r="B21" s="427" t="s">
        <v>34</v>
      </c>
      <c r="C21" s="429">
        <v>2018</v>
      </c>
      <c r="D21" s="429"/>
      <c r="E21" s="430"/>
      <c r="F21" s="420">
        <v>2019</v>
      </c>
      <c r="G21" s="420"/>
      <c r="H21" s="420"/>
    </row>
    <row r="22" spans="1:8">
      <c r="A22" s="426"/>
      <c r="B22" s="428"/>
      <c r="C22" s="28" t="s">
        <v>8</v>
      </c>
      <c r="D22" s="28" t="s">
        <v>24</v>
      </c>
      <c r="E22" s="50" t="s">
        <v>25</v>
      </c>
      <c r="F22" s="28" t="s">
        <v>43</v>
      </c>
      <c r="G22" s="28" t="s">
        <v>24</v>
      </c>
      <c r="H22" s="28" t="s">
        <v>25</v>
      </c>
    </row>
    <row r="23" spans="1:8" ht="36" customHeight="1">
      <c r="A23" s="418" t="str">
        <f>'Impact 1 (2018-2020)'!A1:W1</f>
        <v>IMPACT 1:   By the year 2020, all vulnerable populations in Lebanon will have an improved, equitable and gender appropriate access to Electricity in terms of quality, quantity and sustainability.</v>
      </c>
      <c r="B23" s="418"/>
      <c r="C23" s="418"/>
      <c r="D23" s="418"/>
      <c r="E23" s="418"/>
      <c r="F23" s="418"/>
      <c r="G23" s="418"/>
      <c r="H23" s="418"/>
    </row>
    <row r="24" spans="1:8" s="181" customFormat="1" ht="30" customHeight="1">
      <c r="A24" s="419" t="s">
        <v>378</v>
      </c>
      <c r="B24" s="419"/>
      <c r="C24" s="263">
        <f>'Impact 1 (2018-2020)'!C13</f>
        <v>39112500</v>
      </c>
      <c r="D24" s="264">
        <f>'Impact 1 (2018-2020)'!C14</f>
        <v>0.55555555555555558</v>
      </c>
      <c r="E24" s="265">
        <f>1-D24</f>
        <v>0.44444444444444442</v>
      </c>
      <c r="F24" s="266">
        <f>'Impact 1 (2018-2020)'!D13</f>
        <v>110818750</v>
      </c>
      <c r="G24" s="267">
        <f>'Impact 1 (2018-2020)'!D14</f>
        <v>0.55555555555555558</v>
      </c>
      <c r="H24" s="267">
        <f>1-G24</f>
        <v>0.44444444444444442</v>
      </c>
    </row>
    <row r="25" spans="1:8" s="181" customFormat="1" ht="30" customHeight="1">
      <c r="A25" s="419" t="s">
        <v>377</v>
      </c>
      <c r="B25" s="419"/>
      <c r="C25" s="263">
        <f>'Impact 1 (2018-2020)'!C38</f>
        <v>7526250</v>
      </c>
      <c r="D25" s="264">
        <f>'Impact 1 (2018-2020)'!C39</f>
        <v>0.5</v>
      </c>
      <c r="E25" s="265">
        <f t="shared" ref="E25:E27" si="0">1-D25</f>
        <v>0.5</v>
      </c>
      <c r="F25" s="266">
        <f>'Impact 1 (2018-2020)'!D38</f>
        <v>21324375</v>
      </c>
      <c r="G25" s="267">
        <f>'Impact 1 (2018-2020)'!D39</f>
        <v>0.5</v>
      </c>
      <c r="H25" s="267">
        <f t="shared" ref="H25:H27" si="1">1-G25</f>
        <v>0.5</v>
      </c>
    </row>
    <row r="26" spans="1:8" s="181" customFormat="1" ht="30" customHeight="1">
      <c r="A26" s="419" t="s">
        <v>376</v>
      </c>
      <c r="B26" s="419"/>
      <c r="C26" s="263">
        <f>'Impact 1 (2018-2020)'!C69</f>
        <v>51600000</v>
      </c>
      <c r="D26" s="264">
        <f>'Impact 1 (2018-2020)'!C70</f>
        <v>0.29006240921073873</v>
      </c>
      <c r="E26" s="265">
        <f t="shared" si="0"/>
        <v>0.70993759078926133</v>
      </c>
      <c r="F26" s="266">
        <f>'Impact 1 (2018-2020)'!D69</f>
        <v>38700000</v>
      </c>
      <c r="G26" s="267">
        <f>'Impact 1 (2018-2020)'!D70</f>
        <v>0.29006240921073873</v>
      </c>
      <c r="H26" s="267">
        <f t="shared" si="1"/>
        <v>0.70993759078926133</v>
      </c>
    </row>
    <row r="27" spans="1:8" s="181" customFormat="1" ht="30" customHeight="1">
      <c r="A27" s="419" t="s">
        <v>375</v>
      </c>
      <c r="B27" s="419"/>
      <c r="C27" s="263">
        <f>'Impact 1 (2018-2020)'!C117</f>
        <v>1000000</v>
      </c>
      <c r="D27" s="264">
        <f>'Impact 1 (2018-2020)'!C118</f>
        <v>0</v>
      </c>
      <c r="E27" s="265">
        <f t="shared" si="0"/>
        <v>1</v>
      </c>
      <c r="F27" s="266">
        <f>'Impact 1 (2018-2020)'!D117</f>
        <v>1000000</v>
      </c>
      <c r="G27" s="267">
        <f>'Impact 1 (2018-2020)'!D118</f>
        <v>0</v>
      </c>
      <c r="H27" s="267">
        <f t="shared" si="1"/>
        <v>1</v>
      </c>
    </row>
    <row r="29" spans="1:8">
      <c r="D29" s="270">
        <f>(C24*D24+C25*D25+C26*D26+C27*D27)/C8</f>
        <v>0.4076987263739294</v>
      </c>
      <c r="E29" s="270">
        <f>1-D29</f>
        <v>0.59230127362607066</v>
      </c>
      <c r="F29" s="270"/>
      <c r="G29" s="270">
        <f>(F24*G24+F25*G25+F26*G26+F27*G27)/D8</f>
        <v>0.48563813628667318</v>
      </c>
      <c r="H29" s="270">
        <f>1-G29</f>
        <v>0.51436186371332682</v>
      </c>
    </row>
    <row r="30" spans="1:8">
      <c r="D30" s="274">
        <f>AVERAGE(D24:D27)</f>
        <v>0.33640449119157356</v>
      </c>
      <c r="E30" s="274">
        <f>AVERAGE(E24:E27)</f>
        <v>0.66359550880842644</v>
      </c>
      <c r="G30" s="274">
        <f>AVERAGE(G24:G27)</f>
        <v>0.33640449119157356</v>
      </c>
      <c r="H30" s="274">
        <f>AVERAGE(H24:H27)</f>
        <v>0.66359550880842644</v>
      </c>
    </row>
  </sheetData>
  <mergeCells count="11">
    <mergeCell ref="F21:H21"/>
    <mergeCell ref="A7:B7"/>
    <mergeCell ref="A12:B12"/>
    <mergeCell ref="A21:A22"/>
    <mergeCell ref="B21:B22"/>
    <mergeCell ref="C21:E21"/>
    <mergeCell ref="A23:H23"/>
    <mergeCell ref="A24:B24"/>
    <mergeCell ref="A25:B25"/>
    <mergeCell ref="A26:B26"/>
    <mergeCell ref="A27:B2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9"/>
  <sheetViews>
    <sheetView workbookViewId="0">
      <selection activeCell="C13" sqref="C13"/>
    </sheetView>
  </sheetViews>
  <sheetFormatPr defaultColWidth="11.42578125" defaultRowHeight="15"/>
  <sheetData>
    <row r="5" spans="2:5">
      <c r="D5">
        <v>2018</v>
      </c>
      <c r="E5" t="s">
        <v>401</v>
      </c>
    </row>
    <row r="6" spans="2:5">
      <c r="B6" t="s">
        <v>397</v>
      </c>
      <c r="D6" s="417">
        <f>39112500/10^6</f>
        <v>39.112499999999997</v>
      </c>
      <c r="E6" s="417">
        <f>'Impact 1 (2018-2020)'!F13/10^6</f>
        <v>260.75</v>
      </c>
    </row>
    <row r="7" spans="2:5">
      <c r="B7" t="s">
        <v>400</v>
      </c>
      <c r="D7" s="417">
        <f>7526250/10^6</f>
        <v>7.5262500000000001</v>
      </c>
      <c r="E7" s="417">
        <f>'Impact 1 (2018-2020)'!F38/10^6</f>
        <v>50.174999999999997</v>
      </c>
    </row>
    <row r="8" spans="2:5">
      <c r="B8" t="s">
        <v>398</v>
      </c>
      <c r="D8" s="417">
        <f>51600000/10^6</f>
        <v>51.6</v>
      </c>
      <c r="E8" s="417">
        <f>'Impact 1 (2018-2020)'!F69/10^6</f>
        <v>129</v>
      </c>
    </row>
    <row r="9" spans="2:5">
      <c r="B9" t="s">
        <v>399</v>
      </c>
      <c r="D9" s="417">
        <f>1000000/10^6</f>
        <v>1</v>
      </c>
      <c r="E9" s="417">
        <f>'Impact 1 (2018-2020)'!F117/10^6</f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153"/>
  <sheetViews>
    <sheetView showGridLines="0" tabSelected="1" topLeftCell="A89" zoomScale="90" zoomScaleNormal="90" zoomScalePageLayoutView="90" workbookViewId="0">
      <selection activeCell="F117" sqref="F117"/>
    </sheetView>
  </sheetViews>
  <sheetFormatPr defaultColWidth="9.140625" defaultRowHeight="15" outlineLevelRow="1"/>
  <cols>
    <col min="1" max="1" width="14.42578125" customWidth="1"/>
    <col min="2" max="2" width="47.7109375" customWidth="1"/>
    <col min="3" max="3" width="55.42578125" customWidth="1"/>
    <col min="4" max="4" width="36.28515625" customWidth="1"/>
    <col min="5" max="5" width="20.42578125" customWidth="1"/>
    <col min="6" max="6" width="17.7109375" customWidth="1"/>
    <col min="7" max="7" width="14.42578125" customWidth="1"/>
    <col min="8" max="9" width="10.28515625" customWidth="1"/>
    <col min="10" max="10" width="10.28515625" bestFit="1" customWidth="1"/>
    <col min="11" max="23" width="10.28515625" customWidth="1"/>
    <col min="24" max="45" width="8" customWidth="1"/>
    <col min="67" max="67" width="24.42578125" bestFit="1" customWidth="1"/>
    <col min="68" max="68" width="40.7109375" bestFit="1" customWidth="1"/>
    <col min="69" max="69" width="5" bestFit="1" customWidth="1"/>
    <col min="70" max="70" width="8.42578125" bestFit="1" customWidth="1"/>
    <col min="71" max="71" width="19.140625" bestFit="1" customWidth="1"/>
    <col min="72" max="75" width="14.85546875" customWidth="1"/>
    <col min="77" max="77" width="12.28515625" customWidth="1"/>
    <col min="78" max="78" width="27.28515625" customWidth="1"/>
    <col min="79" max="79" width="18.28515625" customWidth="1"/>
    <col min="80" max="80" width="12.28515625" customWidth="1"/>
  </cols>
  <sheetData>
    <row r="1" spans="1:80" ht="60" customHeight="1">
      <c r="A1" s="472" t="s">
        <v>324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49"/>
      <c r="BJ1" s="49"/>
      <c r="BK1" s="49"/>
      <c r="BL1" s="49"/>
    </row>
    <row r="2" spans="1:80" ht="18.75" customHeight="1">
      <c r="A2" s="49"/>
      <c r="B2" s="78"/>
      <c r="C2" s="78"/>
      <c r="D2" s="78"/>
      <c r="E2" s="78"/>
      <c r="F2" s="78"/>
      <c r="G2" s="78"/>
      <c r="H2" s="474" t="s">
        <v>156</v>
      </c>
      <c r="I2" s="474"/>
      <c r="J2" s="474"/>
      <c r="K2" s="474"/>
      <c r="L2" s="474"/>
      <c r="M2" s="474" t="s">
        <v>157</v>
      </c>
      <c r="N2" s="474"/>
      <c r="O2" s="474"/>
      <c r="P2" s="474"/>
      <c r="Q2" s="474"/>
      <c r="R2" s="413"/>
      <c r="S2" s="413"/>
      <c r="T2" s="474"/>
      <c r="U2" s="474"/>
      <c r="V2" s="474"/>
      <c r="W2" s="474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80" s="181" customFormat="1" ht="33" customHeight="1" thickBot="1">
      <c r="A3" s="79" t="s">
        <v>5</v>
      </c>
      <c r="B3" s="33" t="s">
        <v>370</v>
      </c>
      <c r="C3" s="33" t="s">
        <v>4</v>
      </c>
      <c r="D3" s="450" t="s">
        <v>32</v>
      </c>
      <c r="E3" s="451"/>
      <c r="F3" s="34" t="s">
        <v>9</v>
      </c>
      <c r="G3" s="310" t="s">
        <v>0</v>
      </c>
      <c r="H3" s="365" t="s">
        <v>1</v>
      </c>
      <c r="I3" s="366" t="s">
        <v>37</v>
      </c>
      <c r="J3" s="367" t="s">
        <v>38</v>
      </c>
      <c r="K3" s="367" t="s">
        <v>395</v>
      </c>
      <c r="L3" s="368" t="s">
        <v>55</v>
      </c>
      <c r="M3" s="369" t="s">
        <v>1</v>
      </c>
      <c r="N3" s="366" t="s">
        <v>37</v>
      </c>
      <c r="O3" s="367" t="s">
        <v>38</v>
      </c>
      <c r="P3" s="370" t="s">
        <v>395</v>
      </c>
      <c r="Q3" s="370" t="s">
        <v>55</v>
      </c>
      <c r="R3" s="313"/>
      <c r="S3" s="313"/>
      <c r="T3" s="313"/>
      <c r="U3" s="313"/>
      <c r="V3" s="313"/>
      <c r="W3" s="313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</row>
    <row r="4" spans="1:80" s="116" customFormat="1" ht="62.1" customHeight="1">
      <c r="A4" s="108" t="s">
        <v>17</v>
      </c>
      <c r="B4" s="106" t="s">
        <v>58</v>
      </c>
      <c r="C4" s="106" t="s">
        <v>371</v>
      </c>
      <c r="D4" s="452" t="s">
        <v>61</v>
      </c>
      <c r="E4" s="453"/>
      <c r="F4" s="106" t="s">
        <v>20</v>
      </c>
      <c r="G4" s="113" t="s">
        <v>330</v>
      </c>
      <c r="H4" s="177">
        <v>0</v>
      </c>
      <c r="I4" s="175">
        <v>0</v>
      </c>
      <c r="J4" s="174">
        <f>(K20+K47*4)*0.6/1500000</f>
        <v>8.3019455999999991E-2</v>
      </c>
      <c r="K4" s="174">
        <f>(P20+P47*4)*0.6/1500000+J4</f>
        <v>0.31824124799999998</v>
      </c>
      <c r="L4" s="174">
        <f>(U20+U47*4)*0.6/1500000+K4</f>
        <v>0.55346304000000002</v>
      </c>
      <c r="M4" s="179">
        <v>0</v>
      </c>
      <c r="N4" s="175">
        <v>0</v>
      </c>
      <c r="O4" s="174">
        <f>(H20+H47*5)*0.6/1500000</f>
        <v>0.10377431999999999</v>
      </c>
      <c r="P4" s="174">
        <f>(M20+M47*5)*0.6/1500000+O4</f>
        <v>0.39780155999999994</v>
      </c>
      <c r="Q4" s="174">
        <f>(R20+R47*5)*0.6/1500000+P4</f>
        <v>0.69182879999999991</v>
      </c>
      <c r="R4" s="313"/>
      <c r="S4" s="313"/>
      <c r="T4" s="313"/>
      <c r="U4" s="313"/>
      <c r="V4" s="313"/>
      <c r="W4" s="313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80" s="116" customFormat="1" ht="53.1" customHeight="1">
      <c r="A5" s="112" t="s">
        <v>18</v>
      </c>
      <c r="B5" s="106" t="s">
        <v>57</v>
      </c>
      <c r="C5" s="106" t="s">
        <v>60</v>
      </c>
      <c r="D5" s="461" t="s">
        <v>61</v>
      </c>
      <c r="E5" s="462"/>
      <c r="F5" s="106" t="s">
        <v>20</v>
      </c>
      <c r="G5" s="113" t="s">
        <v>330</v>
      </c>
      <c r="H5" s="176">
        <v>0</v>
      </c>
      <c r="I5" s="175">
        <v>0</v>
      </c>
      <c r="J5" s="174">
        <f>'Kamal Original'!I71</f>
        <v>0.13437129387739222</v>
      </c>
      <c r="K5" s="174">
        <f>J5+('Kamal Original'!S71+'Kamal Original'!N71+'Kamal Original'!X71)/2</f>
        <v>0.23514976428543638</v>
      </c>
      <c r="L5" s="174">
        <f>K5+('Kamal Original'!S71+'Kamal Original'!N71+'Kamal Original'!X71)/2</f>
        <v>0.33592823469348054</v>
      </c>
      <c r="M5" s="178">
        <v>0</v>
      </c>
      <c r="N5" s="173">
        <v>0</v>
      </c>
      <c r="O5" s="174">
        <f>'Kamal Original'!J71</f>
        <v>5.038870612260779E-2</v>
      </c>
      <c r="P5" s="174">
        <f>O5+('Kamal Original'!O71+'Kamal Original'!T71+'Kamal Original'!Y71)/2</f>
        <v>8.818023571456364E-2</v>
      </c>
      <c r="Q5" s="174">
        <f>P5+('Kamal Original'!O71+'Kamal Original'!T71+'Kamal Original'!Y71)/2</f>
        <v>0.12597176530651949</v>
      </c>
      <c r="R5" s="313"/>
      <c r="S5" s="313"/>
      <c r="T5" s="313"/>
      <c r="U5" s="313"/>
      <c r="V5" s="313"/>
      <c r="W5" s="313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80" s="1" customFormat="1">
      <c r="A6" s="7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80" s="116" customFormat="1" ht="27.75" customHeight="1">
      <c r="A7" s="449" t="s">
        <v>394</v>
      </c>
      <c r="B7" s="449"/>
      <c r="C7" s="449"/>
      <c r="D7" s="449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115"/>
      <c r="BJ7" s="115"/>
      <c r="BK7" s="115"/>
      <c r="BL7" s="115"/>
    </row>
    <row r="8" spans="1:80" s="116" customFormat="1" ht="27.75" customHeight="1">
      <c r="A8" s="436" t="s">
        <v>325</v>
      </c>
      <c r="B8" s="436"/>
      <c r="C8" s="436"/>
      <c r="D8" s="436"/>
      <c r="E8" s="436"/>
      <c r="F8" s="436"/>
      <c r="G8" s="437"/>
      <c r="H8" s="439" t="s">
        <v>331</v>
      </c>
      <c r="I8" s="439"/>
      <c r="J8" s="439"/>
      <c r="K8" s="439"/>
      <c r="L8" s="440"/>
      <c r="M8" s="441" t="s">
        <v>332</v>
      </c>
      <c r="N8" s="442"/>
      <c r="O8" s="442"/>
      <c r="P8" s="442"/>
      <c r="Q8" s="443"/>
      <c r="R8" s="441" t="s">
        <v>396</v>
      </c>
      <c r="S8" s="442"/>
      <c r="T8" s="442"/>
      <c r="U8" s="442"/>
      <c r="V8" s="44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</row>
    <row r="9" spans="1:80" s="181" customFormat="1" ht="29.45" customHeight="1" outlineLevel="1" thickBot="1">
      <c r="A9" s="79" t="s">
        <v>5</v>
      </c>
      <c r="B9" s="33" t="s">
        <v>326</v>
      </c>
      <c r="C9" s="33" t="s">
        <v>4</v>
      </c>
      <c r="D9" s="450" t="s">
        <v>56</v>
      </c>
      <c r="E9" s="451"/>
      <c r="F9" s="34" t="s">
        <v>9</v>
      </c>
      <c r="G9" s="34" t="s">
        <v>0</v>
      </c>
      <c r="H9" s="43" t="s">
        <v>21</v>
      </c>
      <c r="I9" s="314" t="s">
        <v>29</v>
      </c>
      <c r="J9" s="43" t="s">
        <v>28</v>
      </c>
      <c r="K9" s="314" t="s">
        <v>22</v>
      </c>
      <c r="L9" s="43" t="s">
        <v>40</v>
      </c>
      <c r="M9" s="315" t="s">
        <v>21</v>
      </c>
      <c r="N9" s="316" t="s">
        <v>29</v>
      </c>
      <c r="O9" s="315" t="s">
        <v>28</v>
      </c>
      <c r="P9" s="316" t="s">
        <v>22</v>
      </c>
      <c r="Q9" s="315" t="s">
        <v>40</v>
      </c>
      <c r="R9" s="315" t="s">
        <v>21</v>
      </c>
      <c r="S9" s="316" t="s">
        <v>29</v>
      </c>
      <c r="T9" s="315" t="s">
        <v>28</v>
      </c>
      <c r="U9" s="316" t="s">
        <v>22</v>
      </c>
      <c r="V9" s="315" t="s">
        <v>40</v>
      </c>
      <c r="W9" s="122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</row>
    <row r="10" spans="1:80" s="181" customFormat="1" ht="33" customHeight="1" outlineLevel="1">
      <c r="A10" s="112" t="s">
        <v>17</v>
      </c>
      <c r="B10" s="106" t="s">
        <v>327</v>
      </c>
      <c r="C10" s="106"/>
      <c r="D10" s="468" t="s">
        <v>328</v>
      </c>
      <c r="E10" s="468"/>
      <c r="F10" s="106" t="s">
        <v>329</v>
      </c>
      <c r="G10" s="106" t="s">
        <v>330</v>
      </c>
      <c r="H10" s="317"/>
      <c r="I10" s="318"/>
      <c r="J10" s="319"/>
      <c r="K10" s="320"/>
      <c r="L10" s="327">
        <v>116300</v>
      </c>
      <c r="M10" s="321"/>
      <c r="N10" s="114"/>
      <c r="O10" s="322"/>
      <c r="P10" s="323"/>
      <c r="Q10" s="324">
        <f>659000*(0.3+0.25/2)</f>
        <v>280075</v>
      </c>
      <c r="R10" s="321"/>
      <c r="S10" s="114"/>
      <c r="T10" s="322"/>
      <c r="U10" s="323"/>
      <c r="V10" s="324">
        <f>659000*(0.3+0.25/2)</f>
        <v>280075</v>
      </c>
      <c r="W10" s="122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</row>
    <row r="11" spans="1:80" s="12" customFormat="1" ht="27.75" customHeight="1">
      <c r="A11" s="84"/>
      <c r="B11" s="84"/>
      <c r="C11" s="84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80" s="1" customFormat="1" ht="29.25" customHeight="1" outlineLevel="1" thickBot="1">
      <c r="A12" s="49"/>
      <c r="B12" s="328" t="s">
        <v>333</v>
      </c>
      <c r="C12" s="87" t="s">
        <v>335</v>
      </c>
      <c r="D12" s="88">
        <v>2019</v>
      </c>
      <c r="E12" s="89">
        <v>2020</v>
      </c>
      <c r="F12" s="78"/>
      <c r="G12" s="78"/>
      <c r="H12" s="78"/>
      <c r="I12" s="78"/>
      <c r="J12" s="78"/>
      <c r="K12" s="78"/>
      <c r="L12" s="78"/>
      <c r="M12" s="78"/>
      <c r="N12" s="7"/>
      <c r="O12" s="7"/>
      <c r="P12" s="7"/>
      <c r="Q12" s="470"/>
      <c r="R12" s="470"/>
      <c r="S12" s="470"/>
      <c r="T12" s="470"/>
      <c r="U12" s="470"/>
      <c r="V12" s="470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80" s="1" customFormat="1" ht="23.45" customHeight="1" outlineLevel="1">
      <c r="A13" s="7"/>
      <c r="B13" s="329" t="s">
        <v>334</v>
      </c>
      <c r="C13" s="90">
        <f>260750000*0.15</f>
        <v>39112500</v>
      </c>
      <c r="D13" s="91">
        <f>260750000*(0.3+0.25/2)</f>
        <v>110818750</v>
      </c>
      <c r="E13" s="92">
        <f>260750000*(0.3+0.25/2)</f>
        <v>110818750</v>
      </c>
      <c r="F13" s="414">
        <f>SUM(C13:E13)</f>
        <v>260750000</v>
      </c>
      <c r="G13" s="78"/>
      <c r="H13" s="78"/>
      <c r="I13" s="78"/>
      <c r="J13" s="78"/>
      <c r="K13" s="78"/>
      <c r="L13" s="78"/>
      <c r="M13" s="78"/>
      <c r="N13" s="7"/>
      <c r="O13" s="7"/>
      <c r="P13" s="47"/>
      <c r="Q13" s="47"/>
      <c r="R13" s="47"/>
      <c r="S13" s="47"/>
      <c r="T13" s="4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80" s="1" customFormat="1" ht="23.45" customHeight="1" outlineLevel="1" thickBot="1">
      <c r="A14" s="49"/>
      <c r="B14" s="93" t="s">
        <v>24</v>
      </c>
      <c r="C14" s="94">
        <f>H24</f>
        <v>0.55555555555555558</v>
      </c>
      <c r="D14" s="95">
        <v>0.55555555555555558</v>
      </c>
      <c r="E14" s="311" t="s">
        <v>39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"/>
      <c r="R14" s="7"/>
      <c r="S14" s="7"/>
      <c r="T14" s="47"/>
      <c r="U14" s="47"/>
      <c r="V14" s="47"/>
      <c r="W14" s="47"/>
      <c r="X14" s="47"/>
      <c r="Y14" s="47"/>
      <c r="Z14" s="4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80" s="1" customFormat="1" ht="23.45" customHeight="1" outlineLevel="1" thickBot="1">
      <c r="A15" s="49"/>
      <c r="B15" s="93" t="s">
        <v>25</v>
      </c>
      <c r="C15" s="94">
        <f>1-C14</f>
        <v>0.44444444444444442</v>
      </c>
      <c r="D15" s="95">
        <v>0.44444444444444442</v>
      </c>
      <c r="E15" s="311" t="s">
        <v>39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"/>
      <c r="R15" s="7"/>
      <c r="S15" s="7"/>
      <c r="T15" s="47"/>
      <c r="U15" s="47"/>
      <c r="V15" s="47"/>
      <c r="W15" s="47"/>
      <c r="X15" s="47"/>
      <c r="Y15" s="132">
        <v>0.1</v>
      </c>
      <c r="Z15" s="7"/>
      <c r="AA15" s="7"/>
      <c r="AB15" s="132">
        <v>6.6000000000000003E-2</v>
      </c>
      <c r="AC15" s="7"/>
      <c r="AD15" s="132">
        <v>0.15</v>
      </c>
      <c r="AE15" s="7"/>
      <c r="AF15" s="7"/>
      <c r="AG15" s="132">
        <v>0.13800000000000001</v>
      </c>
      <c r="AH15" s="7"/>
      <c r="AI15" s="132">
        <v>0.26</v>
      </c>
      <c r="AJ15" s="7"/>
      <c r="AK15" s="7"/>
      <c r="AL15" s="132">
        <v>0.374</v>
      </c>
      <c r="AM15" s="7"/>
      <c r="AN15" s="132">
        <v>0.02</v>
      </c>
      <c r="AO15" s="7"/>
      <c r="AP15" s="7"/>
      <c r="AQ15" s="132">
        <v>0.1</v>
      </c>
      <c r="AR15" s="7"/>
      <c r="AS15" s="132">
        <v>0.23</v>
      </c>
      <c r="AT15" s="7"/>
      <c r="AU15" s="7"/>
      <c r="AV15" s="132">
        <v>6.9000000000000006E-2</v>
      </c>
      <c r="AW15" s="7"/>
      <c r="AX15" s="132">
        <v>0.12</v>
      </c>
      <c r="AY15" s="7"/>
      <c r="AZ15" s="7"/>
      <c r="BA15" s="132">
        <v>6.8000000000000005E-2</v>
      </c>
      <c r="BB15" s="7"/>
      <c r="BC15" s="132">
        <v>7.0000000000000007E-2</v>
      </c>
      <c r="BD15" s="7"/>
      <c r="BE15" s="7"/>
      <c r="BF15" s="132">
        <v>0.11700000000000001</v>
      </c>
      <c r="BG15" s="7"/>
      <c r="BH15" s="132">
        <v>0.04</v>
      </c>
      <c r="BK15" s="132">
        <v>6.8000000000000005E-2</v>
      </c>
      <c r="BL15" s="7"/>
      <c r="BY15" s="127"/>
      <c r="BZ15" s="161" t="s">
        <v>127</v>
      </c>
      <c r="CA15" s="127"/>
      <c r="CB15" s="127"/>
    </row>
    <row r="16" spans="1:80" s="1" customFormat="1" ht="19.5" customHeight="1" outlineLevel="1" thickBot="1">
      <c r="A16" s="49"/>
      <c r="B16" s="3"/>
      <c r="C16" s="3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"/>
      <c r="R16" s="7"/>
      <c r="S16" s="7"/>
      <c r="T16" s="7"/>
      <c r="U16" s="7"/>
      <c r="V16" s="7"/>
      <c r="W16" s="7"/>
      <c r="X16" s="86" t="s">
        <v>336</v>
      </c>
      <c r="Y16" s="6"/>
      <c r="Z16" s="6"/>
      <c r="AA16" s="6"/>
      <c r="AB16" s="6"/>
      <c r="AC16" s="6"/>
      <c r="AD16" s="6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Y16" s="162" t="s">
        <v>119</v>
      </c>
      <c r="BZ16" s="163">
        <v>143633.89720303469</v>
      </c>
      <c r="CA16" s="160">
        <v>9.5755931468689798E-2</v>
      </c>
      <c r="CB16"/>
    </row>
    <row r="17" spans="1:80" s="1" customFormat="1" ht="29.1" customHeight="1" outlineLevel="1" thickBot="1">
      <c r="A17" s="435" t="s">
        <v>387</v>
      </c>
      <c r="B17" s="435"/>
      <c r="C17" s="435"/>
      <c r="D17" s="435"/>
      <c r="E17" s="435"/>
      <c r="F17" s="435"/>
      <c r="G17" s="435"/>
      <c r="H17" s="78"/>
      <c r="I17" s="78"/>
      <c r="J17" s="78"/>
      <c r="K17" s="78"/>
      <c r="L17" s="78"/>
      <c r="M17" s="78"/>
      <c r="N17" s="78"/>
      <c r="O17" s="78"/>
      <c r="P17" s="78"/>
      <c r="Q17" s="7"/>
      <c r="R17" s="7"/>
      <c r="S17" s="7"/>
      <c r="T17" s="7"/>
      <c r="U17" s="7"/>
      <c r="V17" s="7"/>
      <c r="W17" s="7"/>
      <c r="X17" s="86"/>
      <c r="Y17" s="6"/>
      <c r="Z17" s="6"/>
      <c r="AA17" s="6"/>
      <c r="AB17" s="6"/>
      <c r="AC17" s="6"/>
      <c r="AD17" s="6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O17" s="133"/>
      <c r="BP17" s="134" t="s">
        <v>95</v>
      </c>
      <c r="BQ17"/>
      <c r="BR17"/>
      <c r="BS17" s="308" t="s">
        <v>100</v>
      </c>
      <c r="BT17" s="137" t="s">
        <v>96</v>
      </c>
      <c r="BU17" s="137" t="s">
        <v>98</v>
      </c>
      <c r="BV17"/>
      <c r="BW17"/>
      <c r="BX17"/>
      <c r="BY17" s="164" t="s">
        <v>120</v>
      </c>
      <c r="BZ17" s="165">
        <v>222762.07459412701</v>
      </c>
      <c r="CA17" s="160">
        <v>0.148508049729418</v>
      </c>
      <c r="CB17"/>
    </row>
    <row r="18" spans="1:80" ht="30.75" outlineLevel="1" thickBot="1">
      <c r="A18" s="473" t="s">
        <v>74</v>
      </c>
      <c r="B18" s="473"/>
      <c r="C18" s="473"/>
      <c r="D18" s="473"/>
      <c r="E18" s="473"/>
      <c r="F18" s="473"/>
      <c r="G18" s="473"/>
      <c r="H18" s="438" t="s">
        <v>331</v>
      </c>
      <c r="I18" s="439"/>
      <c r="J18" s="439"/>
      <c r="K18" s="439"/>
      <c r="L18" s="440"/>
      <c r="M18" s="441" t="s">
        <v>332</v>
      </c>
      <c r="N18" s="442"/>
      <c r="O18" s="442"/>
      <c r="P18" s="442"/>
      <c r="Q18" s="443"/>
      <c r="R18" s="441" t="s">
        <v>396</v>
      </c>
      <c r="S18" s="442"/>
      <c r="T18" s="442"/>
      <c r="U18" s="442"/>
      <c r="V18" s="443"/>
      <c r="W18" s="49"/>
      <c r="X18" s="49"/>
      <c r="Y18" s="431" t="s">
        <v>10</v>
      </c>
      <c r="Z18" s="432"/>
      <c r="AA18" s="432"/>
      <c r="AB18" s="432"/>
      <c r="AC18" s="433"/>
      <c r="AD18" s="431" t="s">
        <v>15</v>
      </c>
      <c r="AE18" s="432"/>
      <c r="AF18" s="432"/>
      <c r="AG18" s="432"/>
      <c r="AH18" s="433"/>
      <c r="AI18" s="431" t="s">
        <v>23</v>
      </c>
      <c r="AJ18" s="432"/>
      <c r="AK18" s="432"/>
      <c r="AL18" s="432"/>
      <c r="AM18" s="433"/>
      <c r="AN18" s="431" t="s">
        <v>12</v>
      </c>
      <c r="AO18" s="432"/>
      <c r="AP18" s="432"/>
      <c r="AQ18" s="432"/>
      <c r="AR18" s="433"/>
      <c r="AS18" s="431" t="s">
        <v>13</v>
      </c>
      <c r="AT18" s="432"/>
      <c r="AU18" s="432"/>
      <c r="AV18" s="432"/>
      <c r="AW18" s="433"/>
      <c r="AX18" s="431" t="s">
        <v>11</v>
      </c>
      <c r="AY18" s="432"/>
      <c r="AZ18" s="432"/>
      <c r="BA18" s="432"/>
      <c r="BB18" s="433"/>
      <c r="BC18" s="431" t="s">
        <v>16</v>
      </c>
      <c r="BD18" s="432"/>
      <c r="BE18" s="432"/>
      <c r="BF18" s="432"/>
      <c r="BG18" s="433"/>
      <c r="BH18" s="431" t="s">
        <v>14</v>
      </c>
      <c r="BI18" s="432"/>
      <c r="BJ18" s="432"/>
      <c r="BK18" s="432"/>
      <c r="BL18" s="433"/>
      <c r="BO18" s="309" t="s">
        <v>91</v>
      </c>
      <c r="BP18" s="138">
        <v>218</v>
      </c>
      <c r="BQ18" s="139">
        <f>BP18/$BP$22</f>
        <v>0.25921521997621877</v>
      </c>
      <c r="BS18" s="309"/>
      <c r="BT18" s="136" t="s">
        <v>97</v>
      </c>
      <c r="BU18" s="136" t="s">
        <v>99</v>
      </c>
      <c r="BY18" s="164" t="s">
        <v>121</v>
      </c>
      <c r="BZ18" s="165">
        <v>346682.14139541541</v>
      </c>
      <c r="CA18" s="160">
        <v>0.2311214275969436</v>
      </c>
    </row>
    <row r="19" spans="1:80" ht="29.45" customHeight="1" outlineLevel="1" thickBot="1">
      <c r="A19" s="79" t="s">
        <v>5</v>
      </c>
      <c r="B19" s="33" t="s">
        <v>7</v>
      </c>
      <c r="C19" s="33" t="s">
        <v>4</v>
      </c>
      <c r="D19" s="450" t="s">
        <v>56</v>
      </c>
      <c r="E19" s="451"/>
      <c r="F19" s="34" t="s">
        <v>9</v>
      </c>
      <c r="G19" s="34" t="s">
        <v>0</v>
      </c>
      <c r="H19" s="30" t="s">
        <v>21</v>
      </c>
      <c r="I19" s="29" t="s">
        <v>29</v>
      </c>
      <c r="J19" s="30" t="s">
        <v>28</v>
      </c>
      <c r="K19" s="29" t="s">
        <v>22</v>
      </c>
      <c r="L19" s="30" t="s">
        <v>40</v>
      </c>
      <c r="M19" s="37" t="s">
        <v>21</v>
      </c>
      <c r="N19" s="40" t="s">
        <v>29</v>
      </c>
      <c r="O19" s="37" t="s">
        <v>28</v>
      </c>
      <c r="P19" s="40" t="s">
        <v>22</v>
      </c>
      <c r="Q19" s="37" t="s">
        <v>40</v>
      </c>
      <c r="R19" s="37" t="s">
        <v>21</v>
      </c>
      <c r="S19" s="40" t="s">
        <v>29</v>
      </c>
      <c r="T19" s="37" t="s">
        <v>28</v>
      </c>
      <c r="U19" s="40" t="s">
        <v>22</v>
      </c>
      <c r="V19" s="37" t="s">
        <v>40</v>
      </c>
      <c r="W19" s="49"/>
      <c r="X19" s="49"/>
      <c r="Y19" s="71" t="s">
        <v>21</v>
      </c>
      <c r="Z19" s="43" t="s">
        <v>29</v>
      </c>
      <c r="AA19" s="43" t="s">
        <v>28</v>
      </c>
      <c r="AB19" s="43" t="s">
        <v>22</v>
      </c>
      <c r="AC19" s="67" t="s">
        <v>40</v>
      </c>
      <c r="AD19" s="71" t="s">
        <v>21</v>
      </c>
      <c r="AE19" s="43" t="s">
        <v>29</v>
      </c>
      <c r="AF19" s="43" t="s">
        <v>28</v>
      </c>
      <c r="AG19" s="43" t="s">
        <v>22</v>
      </c>
      <c r="AH19" s="67" t="s">
        <v>40</v>
      </c>
      <c r="AI19" s="71" t="s">
        <v>21</v>
      </c>
      <c r="AJ19" s="43" t="s">
        <v>29</v>
      </c>
      <c r="AK19" s="43" t="s">
        <v>28</v>
      </c>
      <c r="AL19" s="43" t="s">
        <v>22</v>
      </c>
      <c r="AM19" s="67" t="s">
        <v>40</v>
      </c>
      <c r="AN19" s="71" t="s">
        <v>21</v>
      </c>
      <c r="AO19" s="43" t="s">
        <v>29</v>
      </c>
      <c r="AP19" s="43" t="s">
        <v>28</v>
      </c>
      <c r="AQ19" s="43" t="s">
        <v>22</v>
      </c>
      <c r="AR19" s="67" t="s">
        <v>40</v>
      </c>
      <c r="AS19" s="71" t="s">
        <v>21</v>
      </c>
      <c r="AT19" s="43" t="s">
        <v>29</v>
      </c>
      <c r="AU19" s="43" t="s">
        <v>28</v>
      </c>
      <c r="AV19" s="43" t="s">
        <v>22</v>
      </c>
      <c r="AW19" s="67" t="s">
        <v>40</v>
      </c>
      <c r="AX19" s="71" t="s">
        <v>21</v>
      </c>
      <c r="AY19" s="43" t="s">
        <v>29</v>
      </c>
      <c r="AZ19" s="43" t="s">
        <v>28</v>
      </c>
      <c r="BA19" s="43" t="s">
        <v>22</v>
      </c>
      <c r="BB19" s="67"/>
      <c r="BC19" s="71" t="s">
        <v>21</v>
      </c>
      <c r="BD19" s="43" t="s">
        <v>29</v>
      </c>
      <c r="BE19" s="43" t="s">
        <v>28</v>
      </c>
      <c r="BF19" s="43" t="s">
        <v>22</v>
      </c>
      <c r="BG19" s="67"/>
      <c r="BH19" s="71" t="s">
        <v>21</v>
      </c>
      <c r="BI19" s="43" t="s">
        <v>29</v>
      </c>
      <c r="BJ19" s="43" t="s">
        <v>28</v>
      </c>
      <c r="BK19" s="43" t="s">
        <v>22</v>
      </c>
      <c r="BL19" s="67" t="s">
        <v>40</v>
      </c>
      <c r="BO19" s="309" t="s">
        <v>13</v>
      </c>
      <c r="BP19" s="138">
        <v>209</v>
      </c>
      <c r="BQ19" s="139">
        <f>BP19/$BP$22</f>
        <v>0.24851367419738407</v>
      </c>
      <c r="BS19" s="309" t="s">
        <v>91</v>
      </c>
      <c r="BT19" s="136">
        <v>5</v>
      </c>
      <c r="BU19" s="136">
        <v>1</v>
      </c>
      <c r="BV19" s="139">
        <f>(BU19+BT19)/$BV$23</f>
        <v>0.22222222222222221</v>
      </c>
      <c r="BW19" s="142">
        <f>BV19*$BW$23</f>
        <v>1666.6666666666665</v>
      </c>
      <c r="BY19" s="164" t="s">
        <v>122</v>
      </c>
      <c r="BZ19" s="165">
        <v>180766.95697102987</v>
      </c>
      <c r="CA19" s="160">
        <v>0.12051130464735324</v>
      </c>
    </row>
    <row r="20" spans="1:80" ht="33" customHeight="1" outlineLevel="1" thickBot="1">
      <c r="A20" s="112" t="s">
        <v>17</v>
      </c>
      <c r="B20" s="106" t="s">
        <v>337</v>
      </c>
      <c r="C20" s="106"/>
      <c r="D20" s="463" t="s">
        <v>338</v>
      </c>
      <c r="E20" s="464"/>
      <c r="F20" s="106" t="s">
        <v>79</v>
      </c>
      <c r="G20" s="106" t="s">
        <v>80</v>
      </c>
      <c r="H20" s="35">
        <f>291222*0.5*0.15*5</f>
        <v>109208.24999999999</v>
      </c>
      <c r="I20" s="32"/>
      <c r="J20" s="31"/>
      <c r="K20" s="124">
        <f>291222*0.5*0.15*4</f>
        <v>87366.599999999991</v>
      </c>
      <c r="L20" s="31"/>
      <c r="M20" s="38">
        <f>291222*0.5*(0.3+0.25/2)*5</f>
        <v>309423.375</v>
      </c>
      <c r="N20" s="41"/>
      <c r="O20" s="39"/>
      <c r="P20" s="272">
        <f>291222*0.5*(0.3+0.25/2)*4</f>
        <v>247538.69999999998</v>
      </c>
      <c r="Q20" s="39"/>
      <c r="R20" s="38">
        <f>291222*0.5*(0.3+0.25/2)*5</f>
        <v>309423.375</v>
      </c>
      <c r="S20" s="41"/>
      <c r="T20" s="39"/>
      <c r="U20" s="272">
        <f>291222*0.5*(0.3+0.25/2)*4</f>
        <v>247538.69999999998</v>
      </c>
      <c r="V20" s="39"/>
      <c r="W20" s="49"/>
      <c r="X20" s="74" t="s">
        <v>17</v>
      </c>
      <c r="Y20" s="124">
        <f>$H$20*Y15</f>
        <v>10920.824999999999</v>
      </c>
      <c r="Z20" s="44"/>
      <c r="AA20" s="44"/>
      <c r="AB20" s="124">
        <f>$K$20*AB15</f>
        <v>5766.1956</v>
      </c>
      <c r="AC20" s="68"/>
      <c r="AD20" s="124">
        <f>$H$20*AD15</f>
        <v>16381.237499999997</v>
      </c>
      <c r="AE20" s="44"/>
      <c r="AF20" s="44"/>
      <c r="AG20" s="124">
        <f>$K$20*AG15</f>
        <v>12056.5908</v>
      </c>
      <c r="AH20" s="68"/>
      <c r="AI20" s="124">
        <f>$H$20*AI15</f>
        <v>28394.144999999997</v>
      </c>
      <c r="AJ20" s="44"/>
      <c r="AK20" s="44"/>
      <c r="AL20" s="124">
        <f>$K$20*AL15</f>
        <v>32675.108399999997</v>
      </c>
      <c r="AM20" s="68"/>
      <c r="AN20" s="124">
        <f>$H$20*AN15</f>
        <v>2184.165</v>
      </c>
      <c r="AO20" s="44"/>
      <c r="AP20" s="44"/>
      <c r="AQ20" s="124">
        <f>$K$20*AQ15</f>
        <v>8736.66</v>
      </c>
      <c r="AR20" s="68"/>
      <c r="AS20" s="124">
        <f>$H$20*AS15</f>
        <v>25117.897499999999</v>
      </c>
      <c r="AT20" s="44"/>
      <c r="AU20" s="44"/>
      <c r="AV20" s="124">
        <f>$K$20*AV15</f>
        <v>6028.2954</v>
      </c>
      <c r="AW20" s="68"/>
      <c r="AX20" s="124">
        <f>$H$20*AX15</f>
        <v>13104.989999999998</v>
      </c>
      <c r="AY20" s="44"/>
      <c r="AZ20" s="44"/>
      <c r="BA20" s="124">
        <f>$K$20*BA15</f>
        <v>5940.9287999999997</v>
      </c>
      <c r="BB20" s="68"/>
      <c r="BC20" s="124">
        <f>$H$20*BC15</f>
        <v>7644.5774999999994</v>
      </c>
      <c r="BD20" s="44"/>
      <c r="BE20" s="44"/>
      <c r="BF20" s="124">
        <f>$K$20*BF15</f>
        <v>10221.8922</v>
      </c>
      <c r="BG20" s="68"/>
      <c r="BH20" s="124">
        <f>$H$20*BH15</f>
        <v>4368.33</v>
      </c>
      <c r="BI20" s="44"/>
      <c r="BJ20" s="44"/>
      <c r="BK20" s="124">
        <f>$K$20*BK15</f>
        <v>5940.9287999999997</v>
      </c>
      <c r="BL20" s="68"/>
      <c r="BO20" s="309" t="s">
        <v>92</v>
      </c>
      <c r="BP20" s="138">
        <v>277</v>
      </c>
      <c r="BQ20" s="139">
        <f>BP20/$BP$22</f>
        <v>0.32936979785969084</v>
      </c>
      <c r="BS20" s="309" t="s">
        <v>13</v>
      </c>
      <c r="BT20" s="136">
        <v>3</v>
      </c>
      <c r="BU20" s="136">
        <v>6</v>
      </c>
      <c r="BV20" s="139">
        <f>(BU20+BT20)/$BV$23</f>
        <v>0.33333333333333331</v>
      </c>
      <c r="BW20" s="142">
        <f>BV20*$BW$23</f>
        <v>2500</v>
      </c>
      <c r="BY20" s="164" t="s">
        <v>123</v>
      </c>
      <c r="BZ20" s="165">
        <v>37270.939020602542</v>
      </c>
      <c r="CA20" s="160">
        <v>2.4847292680401693E-2</v>
      </c>
    </row>
    <row r="21" spans="1:80" ht="36.75" customHeight="1" outlineLevel="1" thickBot="1">
      <c r="A21" s="330" t="s">
        <v>18</v>
      </c>
      <c r="B21" s="107" t="s">
        <v>75</v>
      </c>
      <c r="C21" s="331"/>
      <c r="D21" s="465" t="s">
        <v>339</v>
      </c>
      <c r="E21" s="465"/>
      <c r="F21" s="330" t="s">
        <v>79</v>
      </c>
      <c r="G21" s="107" t="s">
        <v>81</v>
      </c>
      <c r="H21" s="35"/>
      <c r="I21" s="36"/>
      <c r="J21" s="35"/>
      <c r="K21" s="36"/>
      <c r="L21" s="35">
        <f>251*0.15</f>
        <v>37.65</v>
      </c>
      <c r="M21" s="38"/>
      <c r="N21" s="42"/>
      <c r="O21" s="38"/>
      <c r="P21" s="42"/>
      <c r="Q21" s="38">
        <f>251*(0.3+0.25/2)</f>
        <v>106.675</v>
      </c>
      <c r="R21" s="38"/>
      <c r="S21" s="42"/>
      <c r="T21" s="38"/>
      <c r="U21" s="42"/>
      <c r="V21" s="38">
        <f>251*(0.3+0.25/2)</f>
        <v>106.675</v>
      </c>
      <c r="W21" s="49"/>
      <c r="X21" s="75" t="s">
        <v>18</v>
      </c>
      <c r="Y21" s="124">
        <f>$H$21*Y15</f>
        <v>0</v>
      </c>
      <c r="Z21" s="45"/>
      <c r="AA21" s="45"/>
      <c r="AB21" s="124">
        <f>$K$21*AB15</f>
        <v>0</v>
      </c>
      <c r="AC21" s="69">
        <f>$L$21*Y15</f>
        <v>3.7650000000000001</v>
      </c>
      <c r="AD21" s="124">
        <f>$H$21*AD15</f>
        <v>0</v>
      </c>
      <c r="AE21" s="45"/>
      <c r="AF21" s="45"/>
      <c r="AG21" s="124">
        <f>$K$21*AG15</f>
        <v>0</v>
      </c>
      <c r="AH21" s="69">
        <f>$L$21*AD15</f>
        <v>5.6475</v>
      </c>
      <c r="AI21" s="124">
        <f>$H$21*AI15</f>
        <v>0</v>
      </c>
      <c r="AJ21" s="45"/>
      <c r="AK21" s="45"/>
      <c r="AL21" s="124">
        <f>$K$21*AL15</f>
        <v>0</v>
      </c>
      <c r="AM21" s="69">
        <f>$L$21*AI15</f>
        <v>9.7889999999999997</v>
      </c>
      <c r="AN21" s="124">
        <f>$H$21*AN15</f>
        <v>0</v>
      </c>
      <c r="AO21" s="45"/>
      <c r="AP21" s="45"/>
      <c r="AQ21" s="124">
        <f>$K$21*AQ15</f>
        <v>0</v>
      </c>
      <c r="AR21" s="69">
        <f>$L$21*AN15</f>
        <v>0.753</v>
      </c>
      <c r="AS21" s="124">
        <f>$H$21*AS15</f>
        <v>0</v>
      </c>
      <c r="AT21" s="45"/>
      <c r="AU21" s="45"/>
      <c r="AV21" s="124">
        <f>$K$21*AV15</f>
        <v>0</v>
      </c>
      <c r="AW21" s="69">
        <f>$L$21*AS15</f>
        <v>8.6594999999999995</v>
      </c>
      <c r="AX21" s="124">
        <f>$H$21*AX15</f>
        <v>0</v>
      </c>
      <c r="AY21" s="45"/>
      <c r="AZ21" s="45"/>
      <c r="BA21" s="124">
        <f>$K$21*BA15</f>
        <v>0</v>
      </c>
      <c r="BB21" s="69">
        <f>$L$21*AX15</f>
        <v>4.5179999999999998</v>
      </c>
      <c r="BC21" s="124">
        <f>$H$21*BC15</f>
        <v>0</v>
      </c>
      <c r="BD21" s="45"/>
      <c r="BE21" s="45"/>
      <c r="BF21" s="124">
        <f>$K$21*BF15</f>
        <v>0</v>
      </c>
      <c r="BG21" s="69">
        <f>$L$21*BC15</f>
        <v>2.6355</v>
      </c>
      <c r="BH21" s="124">
        <f>$H$21*BH15</f>
        <v>0</v>
      </c>
      <c r="BI21" s="45"/>
      <c r="BJ21" s="45"/>
      <c r="BK21" s="124">
        <f>$K$21*BK15</f>
        <v>0</v>
      </c>
      <c r="BL21" s="69">
        <f>$L$21*BH15</f>
        <v>1.506</v>
      </c>
      <c r="BO21" s="309" t="s">
        <v>93</v>
      </c>
      <c r="BP21" s="138">
        <v>137</v>
      </c>
      <c r="BQ21" s="139">
        <f>BP21/$BP$22</f>
        <v>0.16290130796670629</v>
      </c>
      <c r="BS21" s="309" t="s">
        <v>92</v>
      </c>
      <c r="BT21" s="136">
        <v>3</v>
      </c>
      <c r="BU21" s="136">
        <v>2</v>
      </c>
      <c r="BV21" s="139">
        <f>(BU21+BT21)/$BV$23</f>
        <v>0.18518518518518517</v>
      </c>
      <c r="BW21" s="142">
        <f>BV21*$BW$23</f>
        <v>1388.8888888888889</v>
      </c>
      <c r="BY21" s="164" t="s">
        <v>124</v>
      </c>
      <c r="BZ21" s="165">
        <v>396518.9600904875</v>
      </c>
      <c r="CA21" s="160">
        <v>0.26434597339365834</v>
      </c>
    </row>
    <row r="22" spans="1:80" ht="36.75" customHeight="1" outlineLevel="1" thickBot="1">
      <c r="A22" s="108" t="s">
        <v>19</v>
      </c>
      <c r="B22" s="192" t="s">
        <v>76</v>
      </c>
      <c r="C22" s="332"/>
      <c r="D22" s="434" t="s">
        <v>340</v>
      </c>
      <c r="E22" s="434"/>
      <c r="F22" s="108" t="s">
        <v>79</v>
      </c>
      <c r="G22" s="192" t="s">
        <v>62</v>
      </c>
      <c r="H22" s="35" t="s">
        <v>87</v>
      </c>
      <c r="I22" s="36"/>
      <c r="J22" s="35"/>
      <c r="K22" s="36"/>
      <c r="L22" s="35">
        <f>34*0.15</f>
        <v>5.0999999999999996</v>
      </c>
      <c r="M22" s="38"/>
      <c r="N22" s="42"/>
      <c r="O22" s="38"/>
      <c r="P22" s="42"/>
      <c r="Q22" s="38">
        <f>34*(0.3+0.25/2)</f>
        <v>14.45</v>
      </c>
      <c r="R22" s="38"/>
      <c r="S22" s="42"/>
      <c r="T22" s="38"/>
      <c r="U22" s="42"/>
      <c r="V22" s="38">
        <f>34*(0.3+0.25/2)</f>
        <v>14.45</v>
      </c>
      <c r="W22" s="49"/>
      <c r="X22" s="74" t="s">
        <v>19</v>
      </c>
      <c r="Y22" s="73"/>
      <c r="Z22" s="46"/>
      <c r="AA22" s="46"/>
      <c r="AB22" s="46"/>
      <c r="AC22" s="70">
        <f>L22*BQ21/2</f>
        <v>0.41539833531510101</v>
      </c>
      <c r="AD22" s="73"/>
      <c r="AE22" s="46"/>
      <c r="AF22" s="46"/>
      <c r="AG22" s="46"/>
      <c r="AH22" s="70">
        <f>AC22</f>
        <v>0.41539833531510101</v>
      </c>
      <c r="AI22" s="73"/>
      <c r="AJ22" s="46"/>
      <c r="AK22" s="46"/>
      <c r="AL22" s="46"/>
      <c r="AM22" s="70">
        <f>L22*BQ18/2</f>
        <v>0.66099881093935786</v>
      </c>
      <c r="AN22" s="73"/>
      <c r="AO22" s="46"/>
      <c r="AP22" s="46"/>
      <c r="AQ22" s="46"/>
      <c r="AR22" s="70">
        <f>AM22</f>
        <v>0.66099881093935786</v>
      </c>
      <c r="AS22" s="73"/>
      <c r="AT22" s="46"/>
      <c r="AU22" s="46"/>
      <c r="AV22" s="46"/>
      <c r="AW22" s="70">
        <f>L22*BQ19/2</f>
        <v>0.63370986920332939</v>
      </c>
      <c r="AX22" s="73"/>
      <c r="AY22" s="46"/>
      <c r="AZ22" s="46"/>
      <c r="BA22" s="46"/>
      <c r="BB22" s="70">
        <f>AW22</f>
        <v>0.63370986920332939</v>
      </c>
      <c r="BC22" s="73"/>
      <c r="BD22" s="46"/>
      <c r="BE22" s="46"/>
      <c r="BF22" s="46"/>
      <c r="BG22" s="70">
        <f>L22*BQ20/2</f>
        <v>0.83989298454221162</v>
      </c>
      <c r="BH22" s="73"/>
      <c r="BI22" s="46"/>
      <c r="BJ22" s="46"/>
      <c r="BK22" s="46"/>
      <c r="BL22" s="70">
        <f>BG22</f>
        <v>0.83989298454221162</v>
      </c>
      <c r="BO22" s="309" t="s">
        <v>94</v>
      </c>
      <c r="BP22" s="136">
        <v>841</v>
      </c>
      <c r="BS22" s="309" t="s">
        <v>93</v>
      </c>
      <c r="BT22" s="136">
        <v>4</v>
      </c>
      <c r="BU22" s="136">
        <v>3</v>
      </c>
      <c r="BV22" s="143">
        <f>(BU22+BT22)/$BV$23</f>
        <v>0.25925925925925924</v>
      </c>
      <c r="BW22" s="144">
        <f>BV22*$BW$23</f>
        <v>1944.4444444444443</v>
      </c>
      <c r="BY22" s="164" t="s">
        <v>125</v>
      </c>
      <c r="BZ22" s="165">
        <v>106508.09423780833</v>
      </c>
      <c r="CA22" s="160">
        <v>7.1005396158538889E-2</v>
      </c>
    </row>
    <row r="23" spans="1:80" ht="36.75" customHeight="1" outlineLevel="1" thickBot="1">
      <c r="A23" s="330" t="s">
        <v>63</v>
      </c>
      <c r="B23" s="107" t="s">
        <v>380</v>
      </c>
      <c r="C23" s="331"/>
      <c r="D23" s="466" t="s">
        <v>338</v>
      </c>
      <c r="E23" s="467"/>
      <c r="F23" s="330" t="s">
        <v>79</v>
      </c>
      <c r="G23" s="107" t="s">
        <v>62</v>
      </c>
      <c r="H23" s="35" t="s">
        <v>87</v>
      </c>
      <c r="I23" s="36"/>
      <c r="J23" s="35"/>
      <c r="K23" s="36"/>
      <c r="L23" s="35">
        <f>27*0.15</f>
        <v>4.05</v>
      </c>
      <c r="M23" s="38"/>
      <c r="N23" s="42"/>
      <c r="O23" s="38"/>
      <c r="P23" s="42"/>
      <c r="Q23" s="38">
        <f>27*(0.3+0.25/2)</f>
        <v>11.475</v>
      </c>
      <c r="R23" s="38"/>
      <c r="S23" s="42"/>
      <c r="T23" s="38"/>
      <c r="U23" s="42"/>
      <c r="V23" s="38">
        <f>27*(0.3+0.25/2)</f>
        <v>11.475</v>
      </c>
      <c r="W23" s="49"/>
      <c r="X23" s="75"/>
      <c r="Y23" s="72"/>
      <c r="Z23" s="45"/>
      <c r="AA23" s="45"/>
      <c r="AB23" s="45"/>
      <c r="AC23" s="69">
        <f>$L$23*BV22/2</f>
        <v>0.52499999999999991</v>
      </c>
      <c r="AD23" s="72"/>
      <c r="AE23" s="45"/>
      <c r="AF23" s="45"/>
      <c r="AG23" s="45"/>
      <c r="AH23" s="69">
        <f>AC23</f>
        <v>0.52499999999999991</v>
      </c>
      <c r="AI23" s="72"/>
      <c r="AJ23" s="45"/>
      <c r="AK23" s="45"/>
      <c r="AL23" s="45"/>
      <c r="AM23" s="69">
        <f>L23*BV19/2</f>
        <v>0.44999999999999996</v>
      </c>
      <c r="AN23" s="72"/>
      <c r="AO23" s="45"/>
      <c r="AP23" s="45"/>
      <c r="AQ23" s="45"/>
      <c r="AR23" s="69">
        <f>AM23</f>
        <v>0.44999999999999996</v>
      </c>
      <c r="AS23" s="72"/>
      <c r="AT23" s="45"/>
      <c r="AU23" s="45"/>
      <c r="AV23" s="45"/>
      <c r="AW23" s="69">
        <f>L23*BV20/2</f>
        <v>0.67499999999999993</v>
      </c>
      <c r="AX23" s="72"/>
      <c r="AY23" s="45"/>
      <c r="AZ23" s="45"/>
      <c r="BA23" s="45"/>
      <c r="BB23" s="69">
        <f>AW23</f>
        <v>0.67499999999999993</v>
      </c>
      <c r="BC23" s="72"/>
      <c r="BD23" s="45"/>
      <c r="BE23" s="45"/>
      <c r="BF23" s="45"/>
      <c r="BG23" s="69">
        <f>L23*BV21/2</f>
        <v>0.37499999999999994</v>
      </c>
      <c r="BH23" s="72"/>
      <c r="BI23" s="45"/>
      <c r="BJ23" s="45"/>
      <c r="BK23" s="45"/>
      <c r="BL23" s="69">
        <f>BG23</f>
        <v>0.37499999999999994</v>
      </c>
      <c r="BS23" s="135" t="s">
        <v>94</v>
      </c>
      <c r="BT23" s="136">
        <v>15</v>
      </c>
      <c r="BU23" s="138">
        <v>12</v>
      </c>
      <c r="BV23" s="145">
        <f>BU23+BT23</f>
        <v>27</v>
      </c>
      <c r="BW23" s="146">
        <f>7.5*1000</f>
        <v>7500</v>
      </c>
      <c r="BX23" t="s">
        <v>101</v>
      </c>
      <c r="BY23" s="166" t="s">
        <v>126</v>
      </c>
      <c r="BZ23" s="167">
        <v>65856.93648749459</v>
      </c>
      <c r="CA23" s="160">
        <v>4.3904624324996394E-2</v>
      </c>
    </row>
    <row r="24" spans="1:80" s="127" customFormat="1" ht="36.75" customHeight="1" outlineLevel="1" thickBot="1">
      <c r="A24" s="103"/>
      <c r="B24" s="109"/>
      <c r="C24" s="103"/>
      <c r="D24" s="104"/>
      <c r="E24" s="104"/>
      <c r="F24" s="103"/>
      <c r="G24" s="103"/>
      <c r="H24" s="271">
        <f>H20/(H20+K20)</f>
        <v>0.55555555555555558</v>
      </c>
      <c r="I24" s="271"/>
      <c r="J24" s="102"/>
      <c r="K24" s="102"/>
      <c r="L24" s="102"/>
      <c r="M24" s="271">
        <f>M20/(M20+P20)</f>
        <v>0.55555555555555558</v>
      </c>
      <c r="N24" s="102"/>
      <c r="O24" s="102"/>
      <c r="P24" s="102"/>
      <c r="Q24" s="102"/>
      <c r="R24" s="77"/>
      <c r="S24" s="77"/>
      <c r="T24" s="77"/>
      <c r="U24" s="77"/>
      <c r="V24" s="77"/>
      <c r="W24" s="77"/>
      <c r="X24" s="98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Y24" s="135"/>
      <c r="BZ24" s="168">
        <f>SUM(BZ16:BZ23)</f>
        <v>1499999.9999999998</v>
      </c>
      <c r="CA24" s="1"/>
      <c r="CB24" s="1"/>
    </row>
    <row r="25" spans="1:80" ht="30.95" customHeight="1" outlineLevel="1" thickBot="1">
      <c r="A25" s="471" t="s">
        <v>70</v>
      </c>
      <c r="B25" s="471"/>
      <c r="C25" s="471"/>
      <c r="D25" s="450" t="s">
        <v>56</v>
      </c>
      <c r="E25" s="451"/>
      <c r="F25" s="283" t="s">
        <v>9</v>
      </c>
      <c r="G25" s="283" t="s">
        <v>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49"/>
      <c r="S25" s="49"/>
      <c r="T25" s="49"/>
      <c r="U25" s="49"/>
      <c r="V25" s="49"/>
      <c r="W25" s="49"/>
      <c r="X25" s="77"/>
      <c r="Y25" s="469"/>
      <c r="Z25" s="469"/>
      <c r="AA25" s="469"/>
      <c r="AB25" s="469"/>
      <c r="AC25" s="469"/>
      <c r="AD25" s="469"/>
      <c r="AE25" s="469"/>
      <c r="AF25" s="469"/>
      <c r="AG25" s="469"/>
      <c r="AH25" s="469"/>
      <c r="AI25" s="469"/>
      <c r="AJ25" s="469"/>
      <c r="AK25" s="469"/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69"/>
      <c r="BA25" s="469"/>
      <c r="BB25" s="469"/>
      <c r="BC25" s="469"/>
      <c r="BD25" s="469"/>
      <c r="BE25" s="469"/>
      <c r="BF25" s="469"/>
      <c r="BG25" s="469"/>
      <c r="BH25" s="469"/>
      <c r="BI25" s="469"/>
      <c r="BJ25" s="469"/>
      <c r="BK25" s="469"/>
      <c r="BL25" s="469"/>
      <c r="BM25" s="77"/>
    </row>
    <row r="26" spans="1:80" ht="45" outlineLevel="1">
      <c r="A26" s="110" t="s">
        <v>64</v>
      </c>
      <c r="B26" s="458" t="s">
        <v>128</v>
      </c>
      <c r="C26" s="458"/>
      <c r="D26" s="463" t="s">
        <v>338</v>
      </c>
      <c r="E26" s="464"/>
      <c r="F26" s="11" t="s">
        <v>304</v>
      </c>
      <c r="G26" s="11" t="s">
        <v>305</v>
      </c>
      <c r="H26" s="103"/>
      <c r="I26" s="103"/>
      <c r="J26" s="103"/>
      <c r="K26" s="49"/>
      <c r="L26" s="49"/>
      <c r="M26" s="49"/>
      <c r="N26" s="49"/>
      <c r="O26" s="49"/>
      <c r="P26" s="49"/>
      <c r="Q26" s="98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77"/>
    </row>
    <row r="27" spans="1:80" ht="30" outlineLevel="1">
      <c r="A27" s="111" t="s">
        <v>2</v>
      </c>
      <c r="B27" s="434" t="s">
        <v>158</v>
      </c>
      <c r="C27" s="434"/>
      <c r="D27" s="465" t="s">
        <v>339</v>
      </c>
      <c r="E27" s="465"/>
      <c r="F27" s="10" t="s">
        <v>306</v>
      </c>
      <c r="G27" s="10" t="s">
        <v>305</v>
      </c>
      <c r="H27" s="102"/>
      <c r="I27" s="102"/>
      <c r="J27" s="102"/>
      <c r="K27" s="49"/>
      <c r="L27" s="49"/>
      <c r="M27" s="49"/>
      <c r="N27" s="49"/>
      <c r="O27" s="49"/>
      <c r="P27" s="49"/>
      <c r="Q27" s="98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77"/>
    </row>
    <row r="28" spans="1:80" ht="30" outlineLevel="1">
      <c r="A28" s="110" t="s">
        <v>3</v>
      </c>
      <c r="B28" s="434" t="s">
        <v>129</v>
      </c>
      <c r="C28" s="434"/>
      <c r="D28" s="434" t="s">
        <v>340</v>
      </c>
      <c r="E28" s="434"/>
      <c r="F28" s="11" t="s">
        <v>307</v>
      </c>
      <c r="G28" s="11" t="s">
        <v>305</v>
      </c>
      <c r="H28" s="102"/>
      <c r="I28" s="102"/>
      <c r="J28" s="102"/>
      <c r="K28" s="49"/>
      <c r="L28" s="49"/>
      <c r="M28" s="49"/>
      <c r="N28" s="49"/>
      <c r="O28" s="49"/>
      <c r="P28" s="49"/>
      <c r="Q28" s="98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77"/>
    </row>
    <row r="29" spans="1:80" ht="30">
      <c r="A29" s="111" t="s">
        <v>65</v>
      </c>
      <c r="B29" s="434" t="s">
        <v>379</v>
      </c>
      <c r="C29" s="434"/>
      <c r="D29" s="466" t="s">
        <v>338</v>
      </c>
      <c r="E29" s="467"/>
      <c r="F29" s="10" t="s">
        <v>308</v>
      </c>
      <c r="G29" s="10" t="s">
        <v>305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</row>
    <row r="30" spans="1:80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</row>
    <row r="31" spans="1:80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</row>
    <row r="32" spans="1:80" s="1" customFormat="1" ht="27.75" customHeight="1">
      <c r="A32" s="449" t="s">
        <v>389</v>
      </c>
      <c r="B32" s="449"/>
      <c r="C32" s="449"/>
      <c r="D32" s="449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49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"/>
      <c r="BJ32" s="7"/>
      <c r="BK32" s="7"/>
      <c r="BL32" s="7"/>
    </row>
    <row r="33" spans="1:72" s="12" customFormat="1" ht="27.75" customHeight="1">
      <c r="A33" s="436" t="s">
        <v>341</v>
      </c>
      <c r="B33" s="436"/>
      <c r="C33" s="436"/>
      <c r="D33" s="436"/>
      <c r="E33" s="436"/>
      <c r="F33" s="436"/>
      <c r="G33" s="437"/>
      <c r="H33" s="438" t="s">
        <v>331</v>
      </c>
      <c r="I33" s="439"/>
      <c r="J33" s="439"/>
      <c r="K33" s="439"/>
      <c r="L33" s="440"/>
      <c r="M33" s="441" t="s">
        <v>332</v>
      </c>
      <c r="N33" s="442"/>
      <c r="O33" s="442"/>
      <c r="P33" s="442"/>
      <c r="Q33" s="443"/>
      <c r="R33" s="441" t="s">
        <v>396</v>
      </c>
      <c r="S33" s="442"/>
      <c r="T33" s="442"/>
      <c r="U33" s="442"/>
      <c r="V33" s="443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2" s="12" customFormat="1" ht="27.75" customHeight="1" thickBot="1">
      <c r="A34" s="79" t="s">
        <v>5</v>
      </c>
      <c r="B34" s="33" t="s">
        <v>326</v>
      </c>
      <c r="C34" s="33" t="s">
        <v>4</v>
      </c>
      <c r="D34" s="446" t="s">
        <v>56</v>
      </c>
      <c r="E34" s="447"/>
      <c r="F34" s="34" t="s">
        <v>9</v>
      </c>
      <c r="G34" s="34" t="s">
        <v>0</v>
      </c>
      <c r="H34" s="43" t="s">
        <v>21</v>
      </c>
      <c r="I34" s="314" t="s">
        <v>29</v>
      </c>
      <c r="J34" s="43" t="s">
        <v>28</v>
      </c>
      <c r="K34" s="314" t="s">
        <v>22</v>
      </c>
      <c r="L34" s="43" t="s">
        <v>40</v>
      </c>
      <c r="M34" s="315" t="s">
        <v>21</v>
      </c>
      <c r="N34" s="316" t="s">
        <v>29</v>
      </c>
      <c r="O34" s="315" t="s">
        <v>28</v>
      </c>
      <c r="P34" s="316" t="s">
        <v>22</v>
      </c>
      <c r="Q34" s="315" t="s">
        <v>40</v>
      </c>
      <c r="R34" s="315" t="s">
        <v>21</v>
      </c>
      <c r="S34" s="316" t="s">
        <v>29</v>
      </c>
      <c r="T34" s="315" t="s">
        <v>28</v>
      </c>
      <c r="U34" s="316" t="s">
        <v>22</v>
      </c>
      <c r="V34" s="315" t="s">
        <v>40</v>
      </c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2" s="12" customFormat="1" ht="27.75" customHeight="1">
      <c r="A35" s="112" t="s">
        <v>17</v>
      </c>
      <c r="B35" s="106" t="s">
        <v>342</v>
      </c>
      <c r="C35" s="106"/>
      <c r="D35" s="468" t="s">
        <v>328</v>
      </c>
      <c r="E35" s="468"/>
      <c r="F35" s="106" t="s">
        <v>329</v>
      </c>
      <c r="G35" s="106" t="s">
        <v>330</v>
      </c>
      <c r="H35" s="317"/>
      <c r="I35" s="318"/>
      <c r="J35" s="319"/>
      <c r="K35" s="320"/>
      <c r="L35" s="327">
        <v>30000</v>
      </c>
      <c r="M35" s="321"/>
      <c r="N35" s="114"/>
      <c r="O35" s="322"/>
      <c r="P35" s="323"/>
      <c r="Q35" s="324">
        <f>170000*(0.3+0.25/2)</f>
        <v>72250</v>
      </c>
      <c r="R35" s="321"/>
      <c r="S35" s="114"/>
      <c r="T35" s="322"/>
      <c r="U35" s="323"/>
      <c r="V35" s="324">
        <f>170000*(0.3+0.25/2)</f>
        <v>72250</v>
      </c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2" s="12" customFormat="1" ht="27.75" customHeight="1">
      <c r="A36" s="84"/>
      <c r="B36" s="84"/>
      <c r="C36" s="84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2" s="1" customFormat="1" ht="29.25" customHeight="1" outlineLevel="1" thickBot="1">
      <c r="A37" s="49"/>
      <c r="B37" s="328" t="s">
        <v>343</v>
      </c>
      <c r="C37" s="87" t="s">
        <v>335</v>
      </c>
      <c r="D37" s="88">
        <v>2019</v>
      </c>
      <c r="E37" s="89">
        <v>2020</v>
      </c>
      <c r="F37" s="78"/>
      <c r="G37" s="78"/>
      <c r="H37" s="78"/>
      <c r="I37" s="78"/>
      <c r="J37" s="78"/>
      <c r="K37" s="78"/>
      <c r="L37" s="78"/>
      <c r="M37" s="78"/>
      <c r="N37" s="7"/>
      <c r="O37" s="7"/>
      <c r="P37" s="7"/>
      <c r="Q37" s="470"/>
      <c r="R37" s="470"/>
      <c r="S37" s="470"/>
      <c r="T37" s="470"/>
      <c r="U37" s="470"/>
      <c r="V37" s="470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2" s="1" customFormat="1" ht="23.45" customHeight="1" outlineLevel="1">
      <c r="A38" s="7"/>
      <c r="B38" s="329" t="s">
        <v>334</v>
      </c>
      <c r="C38" s="90">
        <f>50175000*0.15</f>
        <v>7526250</v>
      </c>
      <c r="D38" s="91">
        <f>50175000*(0.3+0.25/2)</f>
        <v>21324375</v>
      </c>
      <c r="E38" s="92">
        <f>D38</f>
        <v>21324375</v>
      </c>
      <c r="F38" s="414">
        <f>SUM(C38:E38)</f>
        <v>50175000</v>
      </c>
      <c r="G38" s="78"/>
      <c r="H38" s="78"/>
      <c r="I38" s="78"/>
      <c r="J38" s="78"/>
      <c r="K38" s="78"/>
      <c r="L38" s="78"/>
      <c r="M38" s="78"/>
      <c r="N38" s="7"/>
      <c r="O38" s="7"/>
      <c r="P38" s="47"/>
      <c r="Q38" s="47"/>
      <c r="R38" s="47"/>
      <c r="S38" s="47"/>
      <c r="T38" s="4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72" s="1" customFormat="1" ht="23.45" customHeight="1" outlineLevel="1">
      <c r="A39" s="49"/>
      <c r="B39" s="93" t="s">
        <v>24</v>
      </c>
      <c r="C39" s="94">
        <f>H53</f>
        <v>0.5</v>
      </c>
      <c r="D39" s="95">
        <f>M53</f>
        <v>0.5</v>
      </c>
      <c r="E39" s="311" t="s">
        <v>39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"/>
      <c r="R39" s="7"/>
      <c r="S39" s="7"/>
      <c r="T39" s="47"/>
      <c r="U39" s="47"/>
      <c r="V39" s="47"/>
      <c r="W39" s="47"/>
      <c r="X39" s="47"/>
      <c r="Y39" s="47"/>
      <c r="Z39" s="4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72" s="1" customFormat="1" ht="23.45" customHeight="1" outlineLevel="1" thickBot="1">
      <c r="A40" s="49"/>
      <c r="B40" s="93" t="s">
        <v>25</v>
      </c>
      <c r="C40" s="94">
        <f>1-C39</f>
        <v>0.5</v>
      </c>
      <c r="D40" s="95">
        <f>1-D39</f>
        <v>0.5</v>
      </c>
      <c r="E40" s="311" t="s">
        <v>39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"/>
      <c r="R40" s="7"/>
      <c r="S40" s="7"/>
      <c r="T40" s="47"/>
      <c r="U40" s="47"/>
      <c r="V40" s="47"/>
      <c r="W40" s="47"/>
      <c r="X40" s="47"/>
      <c r="Y40" s="132">
        <v>0.1</v>
      </c>
      <c r="Z40" s="7"/>
      <c r="AA40" s="7"/>
      <c r="AB40" s="132">
        <v>6.6000000000000003E-2</v>
      </c>
      <c r="AC40" s="7"/>
      <c r="AD40" s="132">
        <v>0.15</v>
      </c>
      <c r="AE40" s="7"/>
      <c r="AF40" s="7"/>
      <c r="AG40" s="132">
        <v>0.13800000000000001</v>
      </c>
      <c r="AH40" s="7"/>
      <c r="AI40" s="132">
        <v>0.26</v>
      </c>
      <c r="AJ40" s="7"/>
      <c r="AK40" s="7"/>
      <c r="AL40" s="132">
        <v>0.374</v>
      </c>
      <c r="AM40" s="7"/>
      <c r="AN40" s="132">
        <v>0.02</v>
      </c>
      <c r="AO40" s="7"/>
      <c r="AP40" s="7"/>
      <c r="AQ40" s="132">
        <v>0.1</v>
      </c>
      <c r="AR40" s="7"/>
      <c r="AS40" s="132">
        <v>0.23</v>
      </c>
      <c r="AT40" s="7"/>
      <c r="AU40" s="7"/>
      <c r="AV40" s="132">
        <v>6.9000000000000006E-2</v>
      </c>
      <c r="AW40" s="7"/>
      <c r="AX40" s="132">
        <v>0.12</v>
      </c>
      <c r="AY40" s="7"/>
      <c r="AZ40" s="7"/>
      <c r="BA40" s="132">
        <v>6.8000000000000005E-2</v>
      </c>
      <c r="BB40" s="7"/>
      <c r="BC40" s="132">
        <v>7.0000000000000007E-2</v>
      </c>
      <c r="BD40" s="7"/>
      <c r="BE40" s="7"/>
      <c r="BF40" s="132">
        <v>0.11700000000000001</v>
      </c>
      <c r="BG40" s="7"/>
      <c r="BH40" s="132">
        <v>0.04</v>
      </c>
      <c r="BK40" s="132">
        <v>6.8000000000000005E-2</v>
      </c>
      <c r="BL40" s="7"/>
    </row>
    <row r="41" spans="1:72" s="1" customFormat="1" ht="19.5" customHeight="1" outlineLevel="1">
      <c r="A41" s="49"/>
      <c r="B41" s="3"/>
      <c r="C41" s="3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"/>
      <c r="R41" s="7"/>
      <c r="S41" s="7"/>
      <c r="T41" s="7"/>
      <c r="U41" s="7"/>
      <c r="V41" s="7"/>
      <c r="W41" s="7"/>
      <c r="X41" s="86" t="s">
        <v>336</v>
      </c>
      <c r="Y41" s="6"/>
      <c r="Z41" s="6"/>
      <c r="AA41" s="6"/>
      <c r="AB41" s="6"/>
      <c r="AC41" s="6"/>
      <c r="AD41" s="6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1:72" s="1" customFormat="1" ht="30.95" customHeight="1" outlineLevel="1">
      <c r="A42" s="435" t="s">
        <v>390</v>
      </c>
      <c r="B42" s="435"/>
      <c r="C42" s="435"/>
      <c r="D42" s="435"/>
      <c r="E42" s="435"/>
      <c r="F42" s="435"/>
      <c r="G42" s="435"/>
      <c r="H42" s="78"/>
      <c r="I42" s="78"/>
      <c r="J42" s="78"/>
      <c r="K42" s="78"/>
      <c r="L42" s="78"/>
      <c r="M42" s="78"/>
      <c r="N42" s="78"/>
      <c r="O42" s="78"/>
      <c r="P42" s="78"/>
      <c r="Q42" s="7"/>
      <c r="R42" s="7"/>
      <c r="S42" s="7"/>
      <c r="T42" s="7"/>
      <c r="U42" s="7"/>
      <c r="V42" s="7"/>
      <c r="W42" s="7"/>
      <c r="X42" s="86"/>
      <c r="Y42" s="6"/>
      <c r="Z42" s="6"/>
      <c r="AA42" s="6"/>
      <c r="AB42" s="6"/>
      <c r="AC42" s="6"/>
      <c r="AD42" s="6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1:72" ht="33" customHeight="1" outlineLevel="1">
      <c r="A43" s="436" t="s">
        <v>344</v>
      </c>
      <c r="B43" s="436"/>
      <c r="C43" s="436"/>
      <c r="D43" s="436"/>
      <c r="E43" s="436"/>
      <c r="F43" s="436"/>
      <c r="G43" s="437"/>
      <c r="H43" s="438" t="s">
        <v>331</v>
      </c>
      <c r="I43" s="439"/>
      <c r="J43" s="439"/>
      <c r="K43" s="439"/>
      <c r="L43" s="440"/>
      <c r="M43" s="441" t="s">
        <v>332</v>
      </c>
      <c r="N43" s="442"/>
      <c r="O43" s="442"/>
      <c r="P43" s="442"/>
      <c r="Q43" s="443"/>
      <c r="R43" s="441" t="s">
        <v>396</v>
      </c>
      <c r="S43" s="442"/>
      <c r="T43" s="442"/>
      <c r="U43" s="442"/>
      <c r="V43" s="443"/>
      <c r="W43" s="49"/>
      <c r="X43" s="49"/>
      <c r="Y43" s="431" t="s">
        <v>10</v>
      </c>
      <c r="Z43" s="432"/>
      <c r="AA43" s="432"/>
      <c r="AB43" s="432"/>
      <c r="AC43" s="433"/>
      <c r="AD43" s="431" t="s">
        <v>15</v>
      </c>
      <c r="AE43" s="432"/>
      <c r="AF43" s="432"/>
      <c r="AG43" s="432"/>
      <c r="AH43" s="433"/>
      <c r="AI43" s="431" t="s">
        <v>23</v>
      </c>
      <c r="AJ43" s="432"/>
      <c r="AK43" s="432"/>
      <c r="AL43" s="432"/>
      <c r="AM43" s="433"/>
      <c r="AN43" s="431" t="s">
        <v>12</v>
      </c>
      <c r="AO43" s="432"/>
      <c r="AP43" s="432"/>
      <c r="AQ43" s="432"/>
      <c r="AR43" s="433"/>
      <c r="AS43" s="431" t="s">
        <v>13</v>
      </c>
      <c r="AT43" s="432"/>
      <c r="AU43" s="432"/>
      <c r="AV43" s="432"/>
      <c r="AW43" s="433"/>
      <c r="AX43" s="431" t="s">
        <v>11</v>
      </c>
      <c r="AY43" s="432"/>
      <c r="AZ43" s="432"/>
      <c r="BA43" s="432"/>
      <c r="BB43" s="433"/>
      <c r="BC43" s="431" t="s">
        <v>16</v>
      </c>
      <c r="BD43" s="432"/>
      <c r="BE43" s="432"/>
      <c r="BF43" s="432"/>
      <c r="BG43" s="433"/>
      <c r="BH43" s="431" t="s">
        <v>14</v>
      </c>
      <c r="BI43" s="432"/>
      <c r="BJ43" s="432"/>
      <c r="BK43" s="432"/>
      <c r="BL43" s="433"/>
      <c r="BT43" s="150" t="s">
        <v>106</v>
      </c>
    </row>
    <row r="44" spans="1:72" ht="29.45" customHeight="1" outlineLevel="1" thickBot="1">
      <c r="A44" s="79" t="s">
        <v>5</v>
      </c>
      <c r="B44" s="33" t="s">
        <v>7</v>
      </c>
      <c r="C44" s="33" t="s">
        <v>4</v>
      </c>
      <c r="D44" s="450" t="s">
        <v>56</v>
      </c>
      <c r="E44" s="451"/>
      <c r="F44" s="34" t="s">
        <v>9</v>
      </c>
      <c r="G44" s="34" t="s">
        <v>0</v>
      </c>
      <c r="H44" s="30" t="s">
        <v>21</v>
      </c>
      <c r="I44" s="29" t="s">
        <v>29</v>
      </c>
      <c r="J44" s="30" t="s">
        <v>28</v>
      </c>
      <c r="K44" s="29" t="s">
        <v>22</v>
      </c>
      <c r="L44" s="30" t="s">
        <v>40</v>
      </c>
      <c r="M44" s="37" t="s">
        <v>21</v>
      </c>
      <c r="N44" s="40" t="s">
        <v>29</v>
      </c>
      <c r="O44" s="37" t="s">
        <v>28</v>
      </c>
      <c r="P44" s="40" t="s">
        <v>22</v>
      </c>
      <c r="Q44" s="37" t="s">
        <v>40</v>
      </c>
      <c r="R44" s="37" t="s">
        <v>21</v>
      </c>
      <c r="S44" s="40" t="s">
        <v>29</v>
      </c>
      <c r="T44" s="37" t="s">
        <v>28</v>
      </c>
      <c r="U44" s="40" t="s">
        <v>22</v>
      </c>
      <c r="V44" s="37" t="s">
        <v>40</v>
      </c>
      <c r="W44" s="49"/>
      <c r="X44" s="49"/>
      <c r="Y44" s="71" t="s">
        <v>21</v>
      </c>
      <c r="Z44" s="43" t="s">
        <v>29</v>
      </c>
      <c r="AA44" s="43" t="s">
        <v>28</v>
      </c>
      <c r="AB44" s="43" t="s">
        <v>22</v>
      </c>
      <c r="AC44" s="67" t="s">
        <v>40</v>
      </c>
      <c r="AD44" s="71" t="s">
        <v>21</v>
      </c>
      <c r="AE44" s="43" t="s">
        <v>29</v>
      </c>
      <c r="AF44" s="43" t="s">
        <v>28</v>
      </c>
      <c r="AG44" s="43" t="s">
        <v>22</v>
      </c>
      <c r="AH44" s="67" t="s">
        <v>40</v>
      </c>
      <c r="AI44" s="71" t="s">
        <v>21</v>
      </c>
      <c r="AJ44" s="43" t="s">
        <v>29</v>
      </c>
      <c r="AK44" s="43" t="s">
        <v>28</v>
      </c>
      <c r="AL44" s="43" t="s">
        <v>22</v>
      </c>
      <c r="AM44" s="67" t="s">
        <v>40</v>
      </c>
      <c r="AN44" s="71" t="s">
        <v>21</v>
      </c>
      <c r="AO44" s="43" t="s">
        <v>29</v>
      </c>
      <c r="AP44" s="43" t="s">
        <v>28</v>
      </c>
      <c r="AQ44" s="43" t="s">
        <v>22</v>
      </c>
      <c r="AR44" s="67" t="s">
        <v>40</v>
      </c>
      <c r="AS44" s="71" t="s">
        <v>21</v>
      </c>
      <c r="AT44" s="43" t="s">
        <v>29</v>
      </c>
      <c r="AU44" s="43" t="s">
        <v>28</v>
      </c>
      <c r="AV44" s="43" t="s">
        <v>22</v>
      </c>
      <c r="AW44" s="67" t="s">
        <v>40</v>
      </c>
      <c r="AX44" s="71" t="s">
        <v>21</v>
      </c>
      <c r="AY44" s="43" t="s">
        <v>29</v>
      </c>
      <c r="AZ44" s="43" t="s">
        <v>28</v>
      </c>
      <c r="BA44" s="43" t="s">
        <v>22</v>
      </c>
      <c r="BB44" s="67"/>
      <c r="BC44" s="71" t="s">
        <v>21</v>
      </c>
      <c r="BD44" s="43" t="s">
        <v>29</v>
      </c>
      <c r="BE44" s="43" t="s">
        <v>28</v>
      </c>
      <c r="BF44" s="43" t="s">
        <v>22</v>
      </c>
      <c r="BG44" s="67"/>
      <c r="BH44" s="71" t="s">
        <v>21</v>
      </c>
      <c r="BI44" s="43" t="s">
        <v>29</v>
      </c>
      <c r="BJ44" s="43" t="s">
        <v>28</v>
      </c>
      <c r="BK44" s="43" t="s">
        <v>22</v>
      </c>
      <c r="BL44" s="67" t="s">
        <v>40</v>
      </c>
      <c r="BO44" s="150"/>
      <c r="BP44" s="150" t="s">
        <v>105</v>
      </c>
      <c r="BR44" s="150" t="s">
        <v>10</v>
      </c>
      <c r="BS44" s="150">
        <v>43</v>
      </c>
      <c r="BT44" s="149">
        <v>7.5704225352112672E-2</v>
      </c>
    </row>
    <row r="45" spans="1:72" ht="33" hidden="1" customHeight="1" outlineLevel="1" thickBot="1">
      <c r="A45" s="80"/>
      <c r="B45" s="333" t="s">
        <v>88</v>
      </c>
      <c r="C45" s="106"/>
      <c r="D45" s="463" t="s">
        <v>338</v>
      </c>
      <c r="E45" s="464"/>
      <c r="F45" s="9" t="s">
        <v>79</v>
      </c>
      <c r="G45" s="9" t="s">
        <v>80</v>
      </c>
      <c r="H45" s="35">
        <f>0.15*333869/2</f>
        <v>25040.174999999999</v>
      </c>
      <c r="I45" s="32"/>
      <c r="J45" s="31"/>
      <c r="K45" s="129">
        <f>H45</f>
        <v>25040.174999999999</v>
      </c>
      <c r="L45" s="31"/>
      <c r="M45" s="38">
        <f>(0.3+0.25/2)*333869/2</f>
        <v>70947.162499999991</v>
      </c>
      <c r="N45" s="41"/>
      <c r="O45" s="39"/>
      <c r="P45" s="272">
        <f>M45</f>
        <v>70947.162499999991</v>
      </c>
      <c r="Q45" s="39"/>
      <c r="R45" s="38">
        <f>(0.3+0.25/2)*333869/2</f>
        <v>70947.162499999991</v>
      </c>
      <c r="S45" s="41"/>
      <c r="T45" s="39"/>
      <c r="U45" s="272">
        <f>R45</f>
        <v>70947.162499999991</v>
      </c>
      <c r="V45" s="39"/>
      <c r="W45" s="49"/>
      <c r="X45" s="74"/>
      <c r="Y45" s="124">
        <f>$H$45*Y40</f>
        <v>2504.0174999999999</v>
      </c>
      <c r="Z45" s="44"/>
      <c r="AA45" s="44"/>
      <c r="AB45" s="124">
        <f>$K$45*AB40</f>
        <v>1652.65155</v>
      </c>
      <c r="AC45" s="68"/>
      <c r="AD45" s="124">
        <f>$H$45*AD40</f>
        <v>3756.0262499999999</v>
      </c>
      <c r="AE45" s="44"/>
      <c r="AF45" s="44"/>
      <c r="AG45" s="124">
        <f>$K$45*AG40</f>
        <v>3455.5441500000002</v>
      </c>
      <c r="AH45" s="68"/>
      <c r="AI45" s="124">
        <f>$H$45*AI40</f>
        <v>6510.4454999999998</v>
      </c>
      <c r="AJ45" s="44"/>
      <c r="AK45" s="44"/>
      <c r="AL45" s="124">
        <f>$K$45*AL40</f>
        <v>9365.0254499999992</v>
      </c>
      <c r="AM45" s="68"/>
      <c r="AN45" s="124">
        <f>$H$45*AN40</f>
        <v>500.80349999999999</v>
      </c>
      <c r="AO45" s="44"/>
      <c r="AP45" s="44"/>
      <c r="AQ45" s="124">
        <f>$K$45*AQ40</f>
        <v>2504.0174999999999</v>
      </c>
      <c r="AR45" s="68"/>
      <c r="AS45" s="124">
        <f>$H$45*AS40</f>
        <v>5759.2402499999998</v>
      </c>
      <c r="AT45" s="44"/>
      <c r="AU45" s="44"/>
      <c r="AV45" s="124">
        <f>$K$45*AV40</f>
        <v>1727.7720750000001</v>
      </c>
      <c r="AW45" s="68"/>
      <c r="AX45" s="124">
        <f>$H$45*AX40</f>
        <v>3004.8209999999999</v>
      </c>
      <c r="AY45" s="44"/>
      <c r="AZ45" s="44"/>
      <c r="BA45" s="124">
        <f>$K$45*BA40</f>
        <v>1702.7319</v>
      </c>
      <c r="BB45" s="68"/>
      <c r="BC45" s="124">
        <f>$H$45*BC40</f>
        <v>1752.8122500000002</v>
      </c>
      <c r="BD45" s="44"/>
      <c r="BE45" s="44"/>
      <c r="BF45" s="124">
        <f>$K$45*BF40</f>
        <v>2929.7004750000001</v>
      </c>
      <c r="BG45" s="68"/>
      <c r="BH45" s="124">
        <f>$H$45*BH40</f>
        <v>1001.607</v>
      </c>
      <c r="BI45" s="44"/>
      <c r="BJ45" s="44"/>
      <c r="BK45" s="124">
        <f>$K$45*BK40</f>
        <v>1702.7319</v>
      </c>
      <c r="BL45" s="68"/>
      <c r="BM45" s="147">
        <f>BK45+BF45+BA45+AV45+AQ45+AL45+AG45+AB45</f>
        <v>25040.174999999999</v>
      </c>
      <c r="BO45" s="148" t="s">
        <v>10</v>
      </c>
      <c r="BP45" s="149">
        <v>0.12744331508991399</v>
      </c>
      <c r="BR45" s="148" t="s">
        <v>103</v>
      </c>
      <c r="BS45" s="148">
        <v>50</v>
      </c>
      <c r="BT45" s="149">
        <v>8.8028169014084501E-2</v>
      </c>
    </row>
    <row r="46" spans="1:72" ht="33" hidden="1" customHeight="1" outlineLevel="1" thickBot="1">
      <c r="A46" s="80"/>
      <c r="B46" s="333" t="s">
        <v>89</v>
      </c>
      <c r="C46" s="106"/>
      <c r="D46" s="463" t="s">
        <v>338</v>
      </c>
      <c r="E46" s="464"/>
      <c r="F46" s="9" t="s">
        <v>79</v>
      </c>
      <c r="G46" s="9" t="s">
        <v>80</v>
      </c>
      <c r="H46" s="35">
        <f>0.2*333689*0.15/2</f>
        <v>5005.335</v>
      </c>
      <c r="I46" s="32"/>
      <c r="J46" s="31"/>
      <c r="K46" s="129">
        <f>H46</f>
        <v>5005.335</v>
      </c>
      <c r="L46" s="31"/>
      <c r="M46" s="38">
        <f>0.2*333689*(0.3+0.25/2)/2</f>
        <v>14181.782499999999</v>
      </c>
      <c r="N46" s="41"/>
      <c r="O46" s="39"/>
      <c r="P46" s="272">
        <f>M46</f>
        <v>14181.782499999999</v>
      </c>
      <c r="Q46" s="39"/>
      <c r="R46" s="38">
        <f>0.2*333689*(0.3+0.25/2)/2</f>
        <v>14181.782499999999</v>
      </c>
      <c r="S46" s="41"/>
      <c r="T46" s="39"/>
      <c r="U46" s="272">
        <f>R46</f>
        <v>14181.782499999999</v>
      </c>
      <c r="V46" s="39"/>
      <c r="W46" s="49"/>
      <c r="X46" s="74"/>
      <c r="Y46" s="124">
        <f>$H$46*Y40</f>
        <v>500.5335</v>
      </c>
      <c r="Z46" s="45"/>
      <c r="AA46" s="45"/>
      <c r="AB46" s="124">
        <f>$K$46*AB40</f>
        <v>330.35211000000004</v>
      </c>
      <c r="AC46" s="69"/>
      <c r="AD46" s="124">
        <f>$H$46*AD40</f>
        <v>750.80025000000001</v>
      </c>
      <c r="AE46" s="45"/>
      <c r="AF46" s="45"/>
      <c r="AG46" s="124">
        <f>$K$46*AG40</f>
        <v>690.73623000000009</v>
      </c>
      <c r="AH46" s="69"/>
      <c r="AI46" s="124">
        <f>$H$46*AI40</f>
        <v>1301.3871000000001</v>
      </c>
      <c r="AJ46" s="45"/>
      <c r="AK46" s="45"/>
      <c r="AL46" s="124">
        <f>$K$46*AL40</f>
        <v>1871.9952900000001</v>
      </c>
      <c r="AM46" s="69"/>
      <c r="AN46" s="124">
        <f>$H$46*AN40</f>
        <v>100.1067</v>
      </c>
      <c r="AO46" s="45"/>
      <c r="AP46" s="45"/>
      <c r="AQ46" s="124">
        <f>$K$46*AQ40</f>
        <v>500.5335</v>
      </c>
      <c r="AR46" s="69"/>
      <c r="AS46" s="124">
        <f>$H$46*AS40</f>
        <v>1151.22705</v>
      </c>
      <c r="AT46" s="45"/>
      <c r="AU46" s="45"/>
      <c r="AV46" s="124">
        <f>$K$46*AV40</f>
        <v>345.36811500000005</v>
      </c>
      <c r="AW46" s="69"/>
      <c r="AX46" s="124">
        <f>$H$46*AX40</f>
        <v>600.64019999999994</v>
      </c>
      <c r="AY46" s="45"/>
      <c r="AZ46" s="45"/>
      <c r="BA46" s="124">
        <f>$K$46*BA40</f>
        <v>340.36278000000004</v>
      </c>
      <c r="BB46" s="69"/>
      <c r="BC46" s="124">
        <f>$H$46*BC40</f>
        <v>350.37345000000005</v>
      </c>
      <c r="BD46" s="45"/>
      <c r="BE46" s="45"/>
      <c r="BF46" s="124">
        <f>$K$46*BF40</f>
        <v>585.62419499999999</v>
      </c>
      <c r="BG46" s="69"/>
      <c r="BH46" s="124">
        <f>$H$46*BH40</f>
        <v>200.21340000000001</v>
      </c>
      <c r="BI46" s="45"/>
      <c r="BJ46" s="45"/>
      <c r="BK46" s="124">
        <f>$K$46*BK40</f>
        <v>340.36278000000004</v>
      </c>
      <c r="BL46" s="69"/>
      <c r="BM46" s="147">
        <f>BK46+BF46+BA46+AV46+AQ46+AL46+AG46+AB46</f>
        <v>5005.335</v>
      </c>
      <c r="BO46" s="148" t="s">
        <v>103</v>
      </c>
      <c r="BP46" s="149">
        <v>8.3659108678655197E-2</v>
      </c>
      <c r="BR46" s="148" t="s">
        <v>12</v>
      </c>
      <c r="BS46" s="148">
        <v>28</v>
      </c>
      <c r="BT46" s="149">
        <v>4.9295774647887321E-2</v>
      </c>
    </row>
    <row r="47" spans="1:72" ht="33" customHeight="1" outlineLevel="1">
      <c r="A47" s="80" t="s">
        <v>17</v>
      </c>
      <c r="B47" s="106" t="s">
        <v>172</v>
      </c>
      <c r="C47" s="106"/>
      <c r="D47" s="463" t="s">
        <v>338</v>
      </c>
      <c r="E47" s="464"/>
      <c r="F47" s="9" t="s">
        <v>79</v>
      </c>
      <c r="G47" s="9" t="s">
        <v>80</v>
      </c>
      <c r="H47" s="35">
        <f>SUM(H45:H46)</f>
        <v>30045.51</v>
      </c>
      <c r="I47" s="32"/>
      <c r="J47" s="31"/>
      <c r="K47" s="129">
        <f>SUM(K45:K46)</f>
        <v>30045.51</v>
      </c>
      <c r="L47" s="31"/>
      <c r="M47" s="38">
        <f>SUM(M45:M46)</f>
        <v>85128.944999999992</v>
      </c>
      <c r="N47" s="41"/>
      <c r="O47" s="39"/>
      <c r="P47" s="272">
        <f>SUM(P45:P46)</f>
        <v>85128.944999999992</v>
      </c>
      <c r="Q47" s="39"/>
      <c r="R47" s="38">
        <f>SUM(R45:R46)</f>
        <v>85128.944999999992</v>
      </c>
      <c r="S47" s="41"/>
      <c r="T47" s="39"/>
      <c r="U47" s="272">
        <f>SUM(U45:U46)</f>
        <v>85128.944999999992</v>
      </c>
      <c r="V47" s="39"/>
      <c r="W47" s="49"/>
      <c r="X47" s="74" t="s">
        <v>17</v>
      </c>
      <c r="Y47" s="171">
        <f>SUM(Y45:Y46)</f>
        <v>3004.5509999999999</v>
      </c>
      <c r="Z47" s="171">
        <f t="shared" ref="Z47:BL47" si="0">SUM(Z45:Z46)</f>
        <v>0</v>
      </c>
      <c r="AA47" s="171">
        <f t="shared" si="0"/>
        <v>0</v>
      </c>
      <c r="AB47" s="171">
        <f t="shared" si="0"/>
        <v>1983.0036600000001</v>
      </c>
      <c r="AC47" s="171">
        <f t="shared" si="0"/>
        <v>0</v>
      </c>
      <c r="AD47" s="171">
        <f t="shared" si="0"/>
        <v>4506.8265000000001</v>
      </c>
      <c r="AE47" s="171">
        <f t="shared" si="0"/>
        <v>0</v>
      </c>
      <c r="AF47" s="171">
        <f t="shared" si="0"/>
        <v>0</v>
      </c>
      <c r="AG47" s="171">
        <f t="shared" si="0"/>
        <v>4146.2803800000002</v>
      </c>
      <c r="AH47" s="171">
        <f t="shared" si="0"/>
        <v>0</v>
      </c>
      <c r="AI47" s="171">
        <f t="shared" si="0"/>
        <v>7811.8325999999997</v>
      </c>
      <c r="AJ47" s="171">
        <f t="shared" si="0"/>
        <v>0</v>
      </c>
      <c r="AK47" s="171">
        <f t="shared" si="0"/>
        <v>0</v>
      </c>
      <c r="AL47" s="171">
        <f t="shared" si="0"/>
        <v>11237.02074</v>
      </c>
      <c r="AM47" s="171">
        <f t="shared" si="0"/>
        <v>0</v>
      </c>
      <c r="AN47" s="171">
        <f t="shared" si="0"/>
        <v>600.91020000000003</v>
      </c>
      <c r="AO47" s="171">
        <f t="shared" si="0"/>
        <v>0</v>
      </c>
      <c r="AP47" s="171">
        <f t="shared" si="0"/>
        <v>0</v>
      </c>
      <c r="AQ47" s="171">
        <f t="shared" si="0"/>
        <v>3004.5509999999999</v>
      </c>
      <c r="AR47" s="171">
        <f t="shared" si="0"/>
        <v>0</v>
      </c>
      <c r="AS47" s="171">
        <f t="shared" si="0"/>
        <v>6910.4673000000003</v>
      </c>
      <c r="AT47" s="171">
        <f t="shared" si="0"/>
        <v>0</v>
      </c>
      <c r="AU47" s="171">
        <f t="shared" si="0"/>
        <v>0</v>
      </c>
      <c r="AV47" s="171">
        <f t="shared" si="0"/>
        <v>2073.1401900000001</v>
      </c>
      <c r="AW47" s="171">
        <f t="shared" si="0"/>
        <v>0</v>
      </c>
      <c r="AX47" s="171">
        <f t="shared" si="0"/>
        <v>3605.4611999999997</v>
      </c>
      <c r="AY47" s="171">
        <f t="shared" si="0"/>
        <v>0</v>
      </c>
      <c r="AZ47" s="171">
        <f t="shared" si="0"/>
        <v>0</v>
      </c>
      <c r="BA47" s="171">
        <f t="shared" si="0"/>
        <v>2043.0946800000002</v>
      </c>
      <c r="BB47" s="171">
        <f t="shared" si="0"/>
        <v>0</v>
      </c>
      <c r="BC47" s="171">
        <f t="shared" si="0"/>
        <v>2103.1857</v>
      </c>
      <c r="BD47" s="171">
        <f t="shared" si="0"/>
        <v>0</v>
      </c>
      <c r="BE47" s="171">
        <f t="shared" si="0"/>
        <v>0</v>
      </c>
      <c r="BF47" s="171">
        <f t="shared" si="0"/>
        <v>3515.32467</v>
      </c>
      <c r="BG47" s="171">
        <f t="shared" si="0"/>
        <v>0</v>
      </c>
      <c r="BH47" s="171">
        <f t="shared" si="0"/>
        <v>1201.8204000000001</v>
      </c>
      <c r="BI47" s="171">
        <f t="shared" si="0"/>
        <v>0</v>
      </c>
      <c r="BJ47" s="171">
        <f t="shared" si="0"/>
        <v>0</v>
      </c>
      <c r="BK47" s="171">
        <f t="shared" si="0"/>
        <v>2043.0946800000002</v>
      </c>
      <c r="BL47" s="171">
        <f t="shared" si="0"/>
        <v>0</v>
      </c>
      <c r="BM47" s="147"/>
      <c r="BO47" s="148" t="s">
        <v>12</v>
      </c>
      <c r="BP47" s="149">
        <v>4.7693510555121187E-2</v>
      </c>
      <c r="BR47" s="148" t="s">
        <v>13</v>
      </c>
      <c r="BS47" s="148">
        <v>54</v>
      </c>
      <c r="BT47" s="149">
        <v>9.5070422535211266E-2</v>
      </c>
    </row>
    <row r="48" spans="1:72" ht="36.75" hidden="1" customHeight="1" outlineLevel="1">
      <c r="A48" s="81"/>
      <c r="B48" s="334" t="s">
        <v>90</v>
      </c>
      <c r="C48" s="107"/>
      <c r="D48" s="465" t="s">
        <v>339</v>
      </c>
      <c r="E48" s="465"/>
      <c r="F48" s="81" t="s">
        <v>79</v>
      </c>
      <c r="G48" s="10" t="s">
        <v>81</v>
      </c>
      <c r="H48" s="35" t="s">
        <v>87</v>
      </c>
      <c r="I48" s="36"/>
      <c r="J48" s="35"/>
      <c r="K48" s="129"/>
      <c r="L48" s="31">
        <f>160*0.15</f>
        <v>24</v>
      </c>
      <c r="M48" s="38" t="s">
        <v>87</v>
      </c>
      <c r="N48" s="42"/>
      <c r="O48" s="38"/>
      <c r="P48" s="42"/>
      <c r="Q48" s="38">
        <f>160*(0.3+0.25/2)</f>
        <v>68</v>
      </c>
      <c r="R48" s="38" t="s">
        <v>87</v>
      </c>
      <c r="S48" s="42"/>
      <c r="T48" s="38"/>
      <c r="U48" s="42"/>
      <c r="V48" s="38">
        <f>160*(0.3+0.25/2)</f>
        <v>68</v>
      </c>
      <c r="W48" s="49"/>
      <c r="X48" s="75" t="s">
        <v>18</v>
      </c>
      <c r="Y48" s="72"/>
      <c r="Z48" s="45"/>
      <c r="AA48" s="45"/>
      <c r="AB48" s="45"/>
      <c r="AC48" s="69">
        <f>$L$48*BP45</f>
        <v>3.0586395621579356</v>
      </c>
      <c r="AD48" s="72"/>
      <c r="AE48" s="45"/>
      <c r="AF48" s="45"/>
      <c r="AG48" s="45"/>
      <c r="AH48" s="69">
        <f>$L$48*BP51</f>
        <v>4.9726348709929633</v>
      </c>
      <c r="AI48" s="72"/>
      <c r="AJ48" s="45"/>
      <c r="AK48" s="45"/>
      <c r="AL48" s="45"/>
      <c r="AM48" s="69">
        <f>$L$48*BP49</f>
        <v>5.2916340891321347</v>
      </c>
      <c r="AN48" s="72"/>
      <c r="AO48" s="45"/>
      <c r="AP48" s="45"/>
      <c r="AQ48" s="45"/>
      <c r="AR48" s="69">
        <f>$L$48*BP47</f>
        <v>1.1446442533229084</v>
      </c>
      <c r="AS48" s="72"/>
      <c r="AT48" s="45"/>
      <c r="AU48" s="45"/>
      <c r="AV48" s="45"/>
      <c r="AW48" s="69">
        <f>$L$48*BP48</f>
        <v>2.2329945269741986</v>
      </c>
      <c r="AX48" s="72"/>
      <c r="AY48" s="45"/>
      <c r="AZ48" s="45"/>
      <c r="BA48" s="45"/>
      <c r="BB48" s="69">
        <f>$L$48*BP46</f>
        <v>2.0078186082877245</v>
      </c>
      <c r="BC48" s="72"/>
      <c r="BD48" s="45"/>
      <c r="BE48" s="45"/>
      <c r="BF48" s="45"/>
      <c r="BG48" s="69">
        <f>$L$48*BP52</f>
        <v>2.8522283033620015</v>
      </c>
      <c r="BH48" s="72"/>
      <c r="BI48" s="45"/>
      <c r="BJ48" s="45"/>
      <c r="BK48" s="45"/>
      <c r="BL48" s="69">
        <f>$L$48*BP50</f>
        <v>2.4394057857701328</v>
      </c>
      <c r="BN48" s="147">
        <f>BL48+BG48+BB48+AW48+AR48+AM48+AH48+AC48</f>
        <v>24</v>
      </c>
      <c r="BO48" s="148" t="s">
        <v>13</v>
      </c>
      <c r="BP48" s="149">
        <v>9.3041438623924944E-2</v>
      </c>
      <c r="BR48" s="148" t="s">
        <v>23</v>
      </c>
      <c r="BS48" s="148">
        <v>153</v>
      </c>
      <c r="BT48" s="149">
        <v>0.26936619718309857</v>
      </c>
    </row>
    <row r="49" spans="1:72" ht="36.75" hidden="1" customHeight="1" outlineLevel="1">
      <c r="A49" s="82"/>
      <c r="B49" s="335" t="s">
        <v>175</v>
      </c>
      <c r="C49" s="11"/>
      <c r="D49" s="434" t="s">
        <v>340</v>
      </c>
      <c r="E49" s="434"/>
      <c r="F49" s="82" t="s">
        <v>79</v>
      </c>
      <c r="G49" s="11" t="s">
        <v>80</v>
      </c>
      <c r="H49" s="35" t="s">
        <v>87</v>
      </c>
      <c r="I49" s="36"/>
      <c r="J49" s="35"/>
      <c r="K49" s="129"/>
      <c r="L49" s="131">
        <f>597*0.15</f>
        <v>89.55</v>
      </c>
      <c r="M49" s="38" t="s">
        <v>87</v>
      </c>
      <c r="N49" s="42"/>
      <c r="O49" s="38"/>
      <c r="P49" s="42"/>
      <c r="Q49" s="38">
        <f>597*(0.3+0.25/2)</f>
        <v>253.72499999999999</v>
      </c>
      <c r="R49" s="38" t="s">
        <v>87</v>
      </c>
      <c r="S49" s="42"/>
      <c r="T49" s="38"/>
      <c r="U49" s="42"/>
      <c r="V49" s="38">
        <f>597*(0.3+0.25/2)</f>
        <v>253.72499999999999</v>
      </c>
      <c r="W49" s="49"/>
      <c r="X49" s="74" t="s">
        <v>19</v>
      </c>
      <c r="Y49" s="73"/>
      <c r="Z49" s="46"/>
      <c r="AA49" s="46"/>
      <c r="AB49" s="46"/>
      <c r="AC49" s="70">
        <f>L49*BT44</f>
        <v>6.7793133802816898</v>
      </c>
      <c r="AD49" s="73"/>
      <c r="AE49" s="46"/>
      <c r="AF49" s="46"/>
      <c r="AG49" s="46"/>
      <c r="AH49" s="69">
        <f>$L$49*BT50</f>
        <v>12.455017605633802</v>
      </c>
      <c r="AI49" s="73"/>
      <c r="AJ49" s="46"/>
      <c r="AK49" s="46"/>
      <c r="AL49" s="46"/>
      <c r="AM49" s="69">
        <f>$L$49*BT48</f>
        <v>24.121742957746477</v>
      </c>
      <c r="AN49" s="73"/>
      <c r="AO49" s="46"/>
      <c r="AP49" s="46"/>
      <c r="AQ49" s="46"/>
      <c r="AR49" s="69">
        <f>$L$49*BT46</f>
        <v>4.4144366197183098</v>
      </c>
      <c r="AS49" s="73"/>
      <c r="AT49" s="46"/>
      <c r="AU49" s="46"/>
      <c r="AV49" s="46"/>
      <c r="AW49" s="69">
        <f>$L$49*BT47</f>
        <v>8.5135563380281685</v>
      </c>
      <c r="AX49" s="73"/>
      <c r="AY49" s="46"/>
      <c r="AZ49" s="46"/>
      <c r="BA49" s="46"/>
      <c r="BB49" s="69">
        <f>$L$49*BT45</f>
        <v>7.8829225352112671</v>
      </c>
      <c r="BC49" s="73"/>
      <c r="BD49" s="46"/>
      <c r="BE49" s="46"/>
      <c r="BF49" s="46"/>
      <c r="BG49" s="69">
        <f>$L$49*BT51</f>
        <v>11.351408450704225</v>
      </c>
      <c r="BH49" s="73"/>
      <c r="BI49" s="46"/>
      <c r="BJ49" s="46"/>
      <c r="BK49" s="46"/>
      <c r="BL49" s="69">
        <f>$L$49*BT49</f>
        <v>14.031602112676056</v>
      </c>
      <c r="BN49" s="147">
        <f>BL49+BG49+BB49+AW49+AR49+AM49+AH49+AC49</f>
        <v>89.55</v>
      </c>
      <c r="BO49" s="148" t="s">
        <v>23</v>
      </c>
      <c r="BP49" s="149">
        <v>0.22048475371383894</v>
      </c>
      <c r="BR49" s="148" t="s">
        <v>104</v>
      </c>
      <c r="BS49" s="148">
        <v>89</v>
      </c>
      <c r="BT49" s="149">
        <v>0.15669014084507044</v>
      </c>
    </row>
    <row r="50" spans="1:72" ht="36.75" customHeight="1" outlineLevel="1">
      <c r="A50" s="82" t="s">
        <v>18</v>
      </c>
      <c r="B50" s="106" t="s">
        <v>159</v>
      </c>
      <c r="C50" s="11"/>
      <c r="D50" s="434" t="s">
        <v>340</v>
      </c>
      <c r="E50" s="434"/>
      <c r="F50" s="82" t="s">
        <v>79</v>
      </c>
      <c r="G50" s="11" t="s">
        <v>80</v>
      </c>
      <c r="H50" s="35"/>
      <c r="I50" s="36"/>
      <c r="J50" s="35"/>
      <c r="K50" s="129"/>
      <c r="L50" s="131">
        <f>SUM(L48:L49)</f>
        <v>113.55</v>
      </c>
      <c r="M50" s="38"/>
      <c r="N50" s="42"/>
      <c r="O50" s="38"/>
      <c r="P50" s="42"/>
      <c r="Q50" s="38">
        <f>SUM(Q48:Q49)</f>
        <v>321.72500000000002</v>
      </c>
      <c r="R50" s="38"/>
      <c r="S50" s="42"/>
      <c r="T50" s="38"/>
      <c r="U50" s="42"/>
      <c r="V50" s="38">
        <f>SUM(V48:V49)</f>
        <v>321.72500000000002</v>
      </c>
      <c r="W50" s="49"/>
      <c r="X50" s="74"/>
      <c r="Y50" s="73"/>
      <c r="Z50" s="46"/>
      <c r="AA50" s="46"/>
      <c r="AB50" s="172"/>
      <c r="AC50" s="70">
        <f>SUM(AC47:AC49)</f>
        <v>9.8379529424396246</v>
      </c>
      <c r="AD50" s="70"/>
      <c r="AE50" s="70"/>
      <c r="AF50" s="70"/>
      <c r="AG50" s="70"/>
      <c r="AH50" s="70">
        <f t="shared" ref="AH50:BL50" si="1">SUM(AH47:AH49)</f>
        <v>17.427652476626765</v>
      </c>
      <c r="AI50" s="70"/>
      <c r="AJ50" s="70"/>
      <c r="AK50" s="70"/>
      <c r="AL50" s="70"/>
      <c r="AM50" s="70">
        <f t="shared" si="1"/>
        <v>29.413377046878612</v>
      </c>
      <c r="AN50" s="70"/>
      <c r="AO50" s="70"/>
      <c r="AP50" s="70"/>
      <c r="AQ50" s="70"/>
      <c r="AR50" s="70">
        <f t="shared" si="1"/>
        <v>5.5590808730412178</v>
      </c>
      <c r="AS50" s="70"/>
      <c r="AT50" s="70"/>
      <c r="AU50" s="70"/>
      <c r="AV50" s="70"/>
      <c r="AW50" s="70">
        <f t="shared" si="1"/>
        <v>10.746550865002368</v>
      </c>
      <c r="AX50" s="70"/>
      <c r="AY50" s="70"/>
      <c r="AZ50" s="70"/>
      <c r="BA50" s="70">
        <f t="shared" si="1"/>
        <v>2043.0946800000002</v>
      </c>
      <c r="BB50" s="70">
        <f t="shared" si="1"/>
        <v>9.8907411434989925</v>
      </c>
      <c r="BC50" s="70"/>
      <c r="BD50" s="70"/>
      <c r="BE50" s="70"/>
      <c r="BF50" s="70"/>
      <c r="BG50" s="70">
        <f t="shared" si="1"/>
        <v>14.203636754066228</v>
      </c>
      <c r="BH50" s="70"/>
      <c r="BI50" s="70"/>
      <c r="BJ50" s="70"/>
      <c r="BK50" s="70"/>
      <c r="BL50" s="70">
        <f t="shared" si="1"/>
        <v>16.471007898446189</v>
      </c>
      <c r="BN50" s="147"/>
      <c r="BO50" s="148" t="s">
        <v>104</v>
      </c>
      <c r="BP50" s="149">
        <v>0.1016419077404222</v>
      </c>
      <c r="BR50" s="148" t="s">
        <v>15</v>
      </c>
      <c r="BS50" s="148">
        <v>79</v>
      </c>
      <c r="BT50" s="149">
        <v>0.13908450704225353</v>
      </c>
    </row>
    <row r="51" spans="1:72" ht="36.75" customHeight="1" outlineLevel="1">
      <c r="A51" s="82" t="s">
        <v>19</v>
      </c>
      <c r="B51" s="106" t="s">
        <v>176</v>
      </c>
      <c r="C51" s="11"/>
      <c r="D51" s="434" t="s">
        <v>340</v>
      </c>
      <c r="E51" s="434"/>
      <c r="F51" s="82" t="s">
        <v>79</v>
      </c>
      <c r="G51" s="11" t="s">
        <v>80</v>
      </c>
      <c r="H51" s="35"/>
      <c r="I51" s="36"/>
      <c r="J51" s="35"/>
      <c r="K51" s="129"/>
      <c r="L51" s="131">
        <f>0.15*343</f>
        <v>51.449999999999996</v>
      </c>
      <c r="M51" s="38"/>
      <c r="N51" s="42"/>
      <c r="O51" s="38"/>
      <c r="P51" s="42"/>
      <c r="Q51" s="38">
        <f>(0.3+0.25/2)*343</f>
        <v>145.77500000000001</v>
      </c>
      <c r="R51" s="38"/>
      <c r="S51" s="42"/>
      <c r="T51" s="38"/>
      <c r="U51" s="42"/>
      <c r="V51" s="38">
        <f>(0.3+0.25/2)*343</f>
        <v>145.77500000000001</v>
      </c>
      <c r="W51" s="49"/>
      <c r="X51" s="74"/>
      <c r="Y51" s="73"/>
      <c r="Z51" s="46"/>
      <c r="AA51" s="46"/>
      <c r="AB51" s="172"/>
      <c r="AC51" s="70">
        <f>$L$51*AB40</f>
        <v>3.3956999999999997</v>
      </c>
      <c r="AD51" s="188"/>
      <c r="AE51" s="189"/>
      <c r="AF51" s="189"/>
      <c r="AG51" s="188"/>
      <c r="AH51" s="70">
        <f>$L$51*AG40</f>
        <v>7.1001000000000003</v>
      </c>
      <c r="AI51" s="188"/>
      <c r="AJ51" s="189"/>
      <c r="AK51" s="189"/>
      <c r="AL51" s="188"/>
      <c r="AM51" s="70">
        <f>$L$51*AL40</f>
        <v>19.242299999999997</v>
      </c>
      <c r="AN51" s="188"/>
      <c r="AO51" s="189"/>
      <c r="AP51" s="189"/>
      <c r="AQ51" s="188"/>
      <c r="AR51" s="70">
        <f>$L$51*AQ40</f>
        <v>5.1449999999999996</v>
      </c>
      <c r="AS51" s="188"/>
      <c r="AT51" s="189"/>
      <c r="AU51" s="189"/>
      <c r="AV51" s="188"/>
      <c r="AW51" s="70">
        <f>$L$51*AV40</f>
        <v>3.5500500000000001</v>
      </c>
      <c r="AX51" s="188"/>
      <c r="AY51" s="189"/>
      <c r="AZ51" s="189"/>
      <c r="BA51" s="188"/>
      <c r="BB51" s="70">
        <f>$L$51*BA40</f>
        <v>3.4986000000000002</v>
      </c>
      <c r="BC51" s="188"/>
      <c r="BD51" s="189"/>
      <c r="BE51" s="189"/>
      <c r="BF51" s="188"/>
      <c r="BG51" s="70">
        <f>$L$51*BF40</f>
        <v>6.0196499999999995</v>
      </c>
      <c r="BH51" s="188"/>
      <c r="BI51" s="189"/>
      <c r="BJ51" s="189"/>
      <c r="BK51" s="188"/>
      <c r="BL51" s="70">
        <f>$L$51*BK40</f>
        <v>3.4986000000000002</v>
      </c>
      <c r="BN51" s="147"/>
      <c r="BO51" s="148" t="s">
        <v>15</v>
      </c>
      <c r="BP51" s="149">
        <v>0.2071931196247068</v>
      </c>
      <c r="BR51" s="148" t="s">
        <v>16</v>
      </c>
      <c r="BS51" s="148">
        <v>72</v>
      </c>
      <c r="BT51" s="149">
        <v>0.12676056338028169</v>
      </c>
    </row>
    <row r="52" spans="1:72" ht="45.95" customHeight="1" outlineLevel="1">
      <c r="A52" s="81" t="s">
        <v>63</v>
      </c>
      <c r="B52" s="107" t="s">
        <v>85</v>
      </c>
      <c r="C52" s="107"/>
      <c r="D52" s="465" t="s">
        <v>338</v>
      </c>
      <c r="E52" s="465"/>
      <c r="F52" s="81" t="s">
        <v>79</v>
      </c>
      <c r="G52" s="10" t="s">
        <v>62</v>
      </c>
      <c r="H52" s="35">
        <f>333869*0.15/2</f>
        <v>25040.174999999999</v>
      </c>
      <c r="I52" s="36"/>
      <c r="J52" s="35"/>
      <c r="K52" s="36">
        <f>H52</f>
        <v>25040.174999999999</v>
      </c>
      <c r="L52" s="35">
        <f>+(160+597)*0.15</f>
        <v>113.55</v>
      </c>
      <c r="M52" s="38">
        <f>333869*(0.3+0.25/2)/2</f>
        <v>70947.162499999991</v>
      </c>
      <c r="N52" s="42"/>
      <c r="O52" s="38"/>
      <c r="P52" s="42">
        <f>M52</f>
        <v>70947.162499999991</v>
      </c>
      <c r="Q52" s="38">
        <f>+(160+597)*(0.3+0.25/2)</f>
        <v>321.72499999999997</v>
      </c>
      <c r="R52" s="38">
        <f>333869*(0.3+0.25/2)/2</f>
        <v>70947.162499999991</v>
      </c>
      <c r="S52" s="42"/>
      <c r="T52" s="38"/>
      <c r="U52" s="42">
        <f>R52</f>
        <v>70947.162499999991</v>
      </c>
      <c r="V52" s="38">
        <f>+(160+597)*(0.3+0.25/2)</f>
        <v>321.72499999999997</v>
      </c>
      <c r="W52" s="49"/>
      <c r="X52" s="75"/>
      <c r="Y52" s="72">
        <f>$H$52*Y40</f>
        <v>2504.0174999999999</v>
      </c>
      <c r="Z52" s="45"/>
      <c r="AA52" s="45"/>
      <c r="AB52" s="72">
        <f>$K$52*AB40</f>
        <v>1652.65155</v>
      </c>
      <c r="AC52" s="69">
        <f>SUM(AC48+AC49)</f>
        <v>9.8379529424396246</v>
      </c>
      <c r="AD52" s="72">
        <f>$H$52*AD40</f>
        <v>3756.0262499999999</v>
      </c>
      <c r="AE52" s="45"/>
      <c r="AF52" s="45"/>
      <c r="AG52" s="72">
        <f>$K$52*AG40</f>
        <v>3455.5441500000002</v>
      </c>
      <c r="AH52" s="69">
        <f>SUM(AH48+AH49)</f>
        <v>17.427652476626765</v>
      </c>
      <c r="AI52" s="72">
        <f>$H$52*AI40</f>
        <v>6510.4454999999998</v>
      </c>
      <c r="AJ52" s="45"/>
      <c r="AK52" s="45"/>
      <c r="AL52" s="72">
        <f>$K$52*AL40</f>
        <v>9365.0254499999992</v>
      </c>
      <c r="AM52" s="69">
        <f>SUM(AM48+AM49)</f>
        <v>29.413377046878612</v>
      </c>
      <c r="AN52" s="72">
        <f>$H$52*AN40</f>
        <v>500.80349999999999</v>
      </c>
      <c r="AO52" s="45"/>
      <c r="AP52" s="45"/>
      <c r="AQ52" s="72">
        <f>$K$52*AQ40</f>
        <v>2504.0174999999999</v>
      </c>
      <c r="AR52" s="69">
        <f>SUM(AR48+AR49)</f>
        <v>5.5590808730412178</v>
      </c>
      <c r="AS52" s="72">
        <f>$H$52*AS40</f>
        <v>5759.2402499999998</v>
      </c>
      <c r="AT52" s="45"/>
      <c r="AU52" s="45"/>
      <c r="AV52" s="72">
        <f>$K$52*AV40</f>
        <v>1727.7720750000001</v>
      </c>
      <c r="AW52" s="69">
        <f>SUM(AW48+AW49)</f>
        <v>10.746550865002368</v>
      </c>
      <c r="AX52" s="72">
        <f>$H$52*AX40</f>
        <v>3004.8209999999999</v>
      </c>
      <c r="AY52" s="45"/>
      <c r="AZ52" s="45"/>
      <c r="BA52" s="72">
        <f>$K$52*BA40</f>
        <v>1702.7319</v>
      </c>
      <c r="BB52" s="69">
        <f>SUM(BB48+BB49)</f>
        <v>9.8907411434989925</v>
      </c>
      <c r="BC52" s="72">
        <f>$H$52*BC40</f>
        <v>1752.8122500000002</v>
      </c>
      <c r="BD52" s="45"/>
      <c r="BE52" s="45"/>
      <c r="BF52" s="72">
        <f>$K$52*BF40</f>
        <v>2929.7004750000001</v>
      </c>
      <c r="BG52" s="69">
        <f>SUM(BG48+BG49)</f>
        <v>14.203636754066228</v>
      </c>
      <c r="BH52" s="72">
        <f>$H$52*BH40</f>
        <v>1001.607</v>
      </c>
      <c r="BI52" s="45"/>
      <c r="BJ52" s="45"/>
      <c r="BK52" s="72">
        <f>$K$52*BK40</f>
        <v>1702.7319</v>
      </c>
      <c r="BL52" s="69">
        <f>SUM(BL48+BL49)</f>
        <v>16.471007898446189</v>
      </c>
      <c r="BO52" s="148" t="s">
        <v>16</v>
      </c>
      <c r="BP52" s="149">
        <v>0.11884284597341674</v>
      </c>
      <c r="BR52" s="148"/>
      <c r="BS52" s="148">
        <v>568</v>
      </c>
      <c r="BT52" s="149">
        <v>1</v>
      </c>
    </row>
    <row r="53" spans="1:72" ht="31.5" customHeight="1" outlineLevel="1">
      <c r="A53" s="49"/>
      <c r="B53" s="78"/>
      <c r="C53" s="78"/>
      <c r="H53" s="271">
        <f>H47/(H47+K47)</f>
        <v>0.5</v>
      </c>
      <c r="I53" s="78"/>
      <c r="J53" s="78"/>
      <c r="K53" s="78"/>
      <c r="L53" s="49"/>
      <c r="M53" s="271">
        <f>M47/(M47+P47)</f>
        <v>0.5</v>
      </c>
      <c r="N53" s="49"/>
      <c r="O53" s="49"/>
      <c r="P53" s="49"/>
      <c r="Q53" s="49"/>
      <c r="R53" s="7"/>
      <c r="S53" s="7"/>
      <c r="T53" s="49"/>
      <c r="U53" s="49"/>
      <c r="V53" s="49"/>
      <c r="W53" s="49"/>
      <c r="X53" s="96"/>
      <c r="Y53" s="97"/>
      <c r="Z53" s="97"/>
      <c r="AA53" s="97"/>
      <c r="AB53" s="97"/>
      <c r="AC53" s="97"/>
      <c r="AD53" s="97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7"/>
      <c r="BL53" s="77"/>
      <c r="BM53" s="77"/>
    </row>
    <row r="54" spans="1:72" ht="30" customHeight="1" outlineLevel="1">
      <c r="A54" s="444" t="s">
        <v>345</v>
      </c>
      <c r="B54" s="444"/>
      <c r="C54" s="444"/>
      <c r="D54" s="446" t="s">
        <v>56</v>
      </c>
      <c r="E54" s="447"/>
      <c r="F54" s="283" t="s">
        <v>9</v>
      </c>
      <c r="G54" s="283" t="s">
        <v>0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49"/>
      <c r="S54" s="49"/>
      <c r="T54" s="49"/>
      <c r="U54" s="49"/>
      <c r="V54" s="49"/>
      <c r="W54" s="49"/>
      <c r="X54" s="77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469"/>
      <c r="AJ54" s="469"/>
      <c r="AK54" s="469"/>
      <c r="AL54" s="469"/>
      <c r="AM54" s="469"/>
      <c r="AN54" s="469"/>
      <c r="AO54" s="469"/>
      <c r="AP54" s="469"/>
      <c r="AQ54" s="469"/>
      <c r="AR54" s="469"/>
      <c r="AS54" s="469"/>
      <c r="AT54" s="469"/>
      <c r="AU54" s="469"/>
      <c r="AV54" s="469"/>
      <c r="AW54" s="469"/>
      <c r="AX54" s="469"/>
      <c r="AY54" s="469"/>
      <c r="AZ54" s="469"/>
      <c r="BA54" s="469"/>
      <c r="BB54" s="469"/>
      <c r="BC54" s="469"/>
      <c r="BD54" s="469"/>
      <c r="BE54" s="469"/>
      <c r="BF54" s="469"/>
      <c r="BG54" s="469"/>
      <c r="BH54" s="469"/>
      <c r="BI54" s="469"/>
      <c r="BJ54" s="469"/>
      <c r="BK54" s="469"/>
      <c r="BL54" s="469"/>
      <c r="BM54" s="77"/>
    </row>
    <row r="55" spans="1:72" ht="26.1" customHeight="1">
      <c r="A55" s="110" t="s">
        <v>64</v>
      </c>
      <c r="B55" s="434" t="s">
        <v>173</v>
      </c>
      <c r="C55" s="434"/>
      <c r="D55" s="434" t="s">
        <v>346</v>
      </c>
      <c r="E55" s="434"/>
      <c r="F55" s="192" t="s">
        <v>310</v>
      </c>
      <c r="G55" s="192" t="s">
        <v>305</v>
      </c>
    </row>
    <row r="56" spans="1:72" ht="26.1" customHeight="1">
      <c r="A56" s="111" t="s">
        <v>2</v>
      </c>
      <c r="B56" s="434" t="s">
        <v>174</v>
      </c>
      <c r="C56" s="434"/>
      <c r="D56" s="434" t="s">
        <v>346</v>
      </c>
      <c r="E56" s="434"/>
      <c r="F56" s="107" t="s">
        <v>311</v>
      </c>
      <c r="G56" s="107" t="s">
        <v>305</v>
      </c>
    </row>
    <row r="57" spans="1:72" ht="26.1" customHeight="1">
      <c r="A57" s="110" t="s">
        <v>3</v>
      </c>
      <c r="B57" s="434" t="s">
        <v>347</v>
      </c>
      <c r="C57" s="434"/>
      <c r="D57" s="434" t="s">
        <v>346</v>
      </c>
      <c r="E57" s="434"/>
      <c r="F57" s="192" t="s">
        <v>312</v>
      </c>
      <c r="G57" s="192" t="s">
        <v>305</v>
      </c>
    </row>
    <row r="58" spans="1:72" ht="26.1" customHeight="1">
      <c r="A58" s="110" t="s">
        <v>65</v>
      </c>
      <c r="B58" s="434" t="s">
        <v>252</v>
      </c>
      <c r="C58" s="434"/>
      <c r="D58" s="434" t="s">
        <v>346</v>
      </c>
      <c r="E58" s="434"/>
      <c r="F58" s="192" t="s">
        <v>313</v>
      </c>
      <c r="G58" s="192" t="s">
        <v>305</v>
      </c>
    </row>
    <row r="59" spans="1:72" ht="26.1" customHeight="1">
      <c r="A59" s="111" t="s">
        <v>66</v>
      </c>
      <c r="B59" s="475" t="s">
        <v>134</v>
      </c>
      <c r="C59" s="476"/>
      <c r="D59" s="434" t="s">
        <v>346</v>
      </c>
      <c r="E59" s="434"/>
      <c r="F59" s="336" t="s">
        <v>314</v>
      </c>
      <c r="G59" s="192" t="s">
        <v>305</v>
      </c>
    </row>
    <row r="60" spans="1:72" ht="26.1" customHeight="1">
      <c r="A60" s="110" t="s">
        <v>67</v>
      </c>
      <c r="B60" s="434" t="s">
        <v>132</v>
      </c>
      <c r="C60" s="434"/>
      <c r="D60" s="434" t="s">
        <v>346</v>
      </c>
      <c r="E60" s="434"/>
      <c r="F60" s="192" t="s">
        <v>315</v>
      </c>
      <c r="G60" s="192" t="s">
        <v>305</v>
      </c>
    </row>
    <row r="61" spans="1:72" ht="26.1" customHeight="1">
      <c r="A61" s="109"/>
      <c r="B61" s="104"/>
      <c r="C61" s="104"/>
    </row>
    <row r="62" spans="1:72" s="1" customFormat="1" ht="45" customHeight="1">
      <c r="A62" s="449" t="s">
        <v>348</v>
      </c>
      <c r="B62" s="449"/>
      <c r="C62" s="449"/>
      <c r="D62" s="449"/>
      <c r="E62" s="449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3"/>
      <c r="Q62" s="313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"/>
      <c r="BJ62" s="7"/>
      <c r="BK62" s="7"/>
      <c r="BL62" s="7"/>
    </row>
    <row r="63" spans="1:72" s="12" customFormat="1" ht="27.75" customHeight="1">
      <c r="A63" s="436" t="s">
        <v>349</v>
      </c>
      <c r="B63" s="436"/>
      <c r="C63" s="436"/>
      <c r="D63" s="436"/>
      <c r="E63" s="436"/>
      <c r="F63" s="436"/>
      <c r="G63" s="437"/>
      <c r="H63" s="438" t="s">
        <v>331</v>
      </c>
      <c r="I63" s="439"/>
      <c r="J63" s="439"/>
      <c r="K63" s="439"/>
      <c r="L63" s="440"/>
      <c r="M63" s="441" t="s">
        <v>332</v>
      </c>
      <c r="N63" s="442"/>
      <c r="O63" s="442"/>
      <c r="P63" s="442"/>
      <c r="Q63" s="443"/>
      <c r="R63" s="441" t="s">
        <v>396</v>
      </c>
      <c r="S63" s="442"/>
      <c r="T63" s="442"/>
      <c r="U63" s="442"/>
      <c r="V63" s="443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</row>
    <row r="64" spans="1:72" s="12" customFormat="1" ht="27.75" customHeight="1" thickBot="1">
      <c r="A64" s="79" t="s">
        <v>5</v>
      </c>
      <c r="B64" s="33" t="s">
        <v>326</v>
      </c>
      <c r="C64" s="33" t="s">
        <v>4</v>
      </c>
      <c r="D64" s="450" t="s">
        <v>56</v>
      </c>
      <c r="E64" s="451"/>
      <c r="F64" s="34" t="s">
        <v>9</v>
      </c>
      <c r="G64" s="34" t="s">
        <v>0</v>
      </c>
      <c r="H64" s="43" t="s">
        <v>21</v>
      </c>
      <c r="I64" s="314" t="s">
        <v>29</v>
      </c>
      <c r="J64" s="43" t="s">
        <v>28</v>
      </c>
      <c r="K64" s="314" t="s">
        <v>22</v>
      </c>
      <c r="L64" s="43" t="s">
        <v>40</v>
      </c>
      <c r="M64" s="315" t="s">
        <v>21</v>
      </c>
      <c r="N64" s="316" t="s">
        <v>29</v>
      </c>
      <c r="O64" s="315" t="s">
        <v>28</v>
      </c>
      <c r="P64" s="316" t="s">
        <v>22</v>
      </c>
      <c r="Q64" s="315" t="s">
        <v>40</v>
      </c>
      <c r="R64" s="315" t="s">
        <v>21</v>
      </c>
      <c r="S64" s="316" t="s">
        <v>29</v>
      </c>
      <c r="T64" s="315" t="s">
        <v>28</v>
      </c>
      <c r="U64" s="316" t="s">
        <v>22</v>
      </c>
      <c r="V64" s="315" t="s">
        <v>40</v>
      </c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</row>
    <row r="65" spans="1:64" s="12" customFormat="1" ht="27.75" customHeight="1">
      <c r="A65" s="112" t="s">
        <v>17</v>
      </c>
      <c r="B65" s="106" t="s">
        <v>169</v>
      </c>
      <c r="C65" s="106"/>
      <c r="D65" s="452" t="s">
        <v>350</v>
      </c>
      <c r="E65" s="453"/>
      <c r="F65" s="106" t="s">
        <v>79</v>
      </c>
      <c r="G65" s="106" t="s">
        <v>80</v>
      </c>
      <c r="H65" s="317">
        <f>H88+H102</f>
        <v>107827.80000000002</v>
      </c>
      <c r="I65" s="318">
        <f t="shared" ref="I65:Q65" si="2">I88+I102</f>
        <v>0</v>
      </c>
      <c r="J65" s="319">
        <f t="shared" si="2"/>
        <v>0</v>
      </c>
      <c r="K65" s="317">
        <f t="shared" si="2"/>
        <v>263912.19999999995</v>
      </c>
      <c r="L65" s="319">
        <f t="shared" si="2"/>
        <v>0</v>
      </c>
      <c r="M65" s="321">
        <f t="shared" si="2"/>
        <v>80870.850000000006</v>
      </c>
      <c r="N65" s="114">
        <f t="shared" si="2"/>
        <v>0</v>
      </c>
      <c r="O65" s="322">
        <f t="shared" si="2"/>
        <v>0</v>
      </c>
      <c r="P65" s="323">
        <f t="shared" si="2"/>
        <v>197934.15</v>
      </c>
      <c r="Q65" s="322">
        <f t="shared" si="2"/>
        <v>0</v>
      </c>
      <c r="R65" s="321">
        <f t="shared" ref="R65:V65" si="3">R88+R102</f>
        <v>80870.850000000006</v>
      </c>
      <c r="S65" s="114">
        <f t="shared" si="3"/>
        <v>0</v>
      </c>
      <c r="T65" s="322">
        <f t="shared" si="3"/>
        <v>0</v>
      </c>
      <c r="U65" s="323">
        <f t="shared" si="3"/>
        <v>197934.15</v>
      </c>
      <c r="V65" s="322">
        <f t="shared" si="3"/>
        <v>0</v>
      </c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64" s="12" customFormat="1" ht="27.75" customHeight="1">
      <c r="A66" s="112" t="s">
        <v>18</v>
      </c>
      <c r="B66" s="106" t="s">
        <v>168</v>
      </c>
      <c r="C66" s="106"/>
      <c r="D66" s="461" t="s">
        <v>350</v>
      </c>
      <c r="E66" s="462"/>
      <c r="F66" s="106" t="s">
        <v>79</v>
      </c>
      <c r="G66" s="106" t="s">
        <v>80</v>
      </c>
      <c r="H66" s="317"/>
      <c r="I66" s="318"/>
      <c r="J66" s="319"/>
      <c r="K66" s="326"/>
      <c r="L66" s="319"/>
      <c r="M66" s="321">
        <f>M105</f>
        <v>0</v>
      </c>
      <c r="N66" s="114"/>
      <c r="O66" s="322"/>
      <c r="P66" s="323">
        <f>P105</f>
        <v>0</v>
      </c>
      <c r="Q66" s="322"/>
      <c r="R66" s="321">
        <f>R105</f>
        <v>0</v>
      </c>
      <c r="S66" s="114"/>
      <c r="T66" s="322"/>
      <c r="U66" s="323">
        <f>U105</f>
        <v>0</v>
      </c>
      <c r="V66" s="322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</row>
    <row r="67" spans="1:64" s="12" customFormat="1" ht="27.75" customHeight="1">
      <c r="A67" s="337"/>
      <c r="B67" s="337"/>
      <c r="C67" s="337"/>
      <c r="D67" s="337"/>
      <c r="E67" s="312"/>
      <c r="F67" s="312"/>
      <c r="G67" s="312"/>
      <c r="H67" s="100">
        <f>AVERAGE(H65:H66)</f>
        <v>107827.80000000002</v>
      </c>
      <c r="I67" s="312"/>
      <c r="J67" s="312"/>
      <c r="K67" s="100">
        <f>AVERAGE(K65:K66)</f>
        <v>263912.19999999995</v>
      </c>
      <c r="L67" s="312"/>
      <c r="M67" s="100">
        <f>AVERAGE(M65:M66)</f>
        <v>40435.425000000003</v>
      </c>
      <c r="N67" s="99"/>
      <c r="O67" s="99"/>
      <c r="P67" s="100">
        <f>AVERAGE(P65:P66)</f>
        <v>98967.074999999997</v>
      </c>
      <c r="Q67" s="313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</row>
    <row r="68" spans="1:64" s="1" customFormat="1" ht="29.25" customHeight="1" outlineLevel="1" thickBot="1">
      <c r="A68" s="49"/>
      <c r="B68" s="328" t="s">
        <v>351</v>
      </c>
      <c r="C68" s="338" t="s">
        <v>335</v>
      </c>
      <c r="D68" s="339">
        <v>2019</v>
      </c>
      <c r="E68" s="340">
        <v>2020</v>
      </c>
      <c r="F68" s="379"/>
      <c r="G68" s="379"/>
      <c r="H68" s="352">
        <f>H67/(K67+H67)</f>
        <v>0.29006240921073873</v>
      </c>
      <c r="I68" s="352"/>
      <c r="J68" s="352"/>
      <c r="K68" s="352"/>
      <c r="L68" s="352"/>
      <c r="M68" s="352">
        <f>M67/(P67+M67)</f>
        <v>0.29006240921073873</v>
      </c>
      <c r="N68" s="7"/>
      <c r="O68" s="7"/>
      <c r="P68" s="7"/>
      <c r="Q68" s="470"/>
      <c r="R68" s="470"/>
      <c r="S68" s="470"/>
      <c r="T68" s="470"/>
      <c r="U68" s="470"/>
      <c r="V68" s="470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</row>
    <row r="69" spans="1:64" s="1" customFormat="1" ht="23.45" customHeight="1" outlineLevel="1">
      <c r="A69" s="7"/>
      <c r="B69" s="329" t="s">
        <v>334</v>
      </c>
      <c r="C69" s="90">
        <f>C74+C79</f>
        <v>51600000</v>
      </c>
      <c r="D69" s="91">
        <f t="shared" ref="D69:E69" si="4">D74+D79</f>
        <v>38700000</v>
      </c>
      <c r="E69" s="92">
        <f t="shared" si="4"/>
        <v>38700000</v>
      </c>
      <c r="F69" s="416">
        <f>SUM(C69:E69)</f>
        <v>129000000</v>
      </c>
      <c r="G69" s="379"/>
      <c r="H69" s="78"/>
      <c r="I69" s="78"/>
      <c r="J69" s="78"/>
      <c r="K69" s="78"/>
      <c r="L69" s="78"/>
      <c r="M69" s="78"/>
      <c r="N69" s="7"/>
      <c r="O69" s="7"/>
      <c r="P69" s="105"/>
      <c r="Q69" s="105"/>
      <c r="R69" s="105"/>
      <c r="S69" s="105"/>
      <c r="T69" s="105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</row>
    <row r="70" spans="1:64" s="1" customFormat="1" ht="23.45" customHeight="1" outlineLevel="1">
      <c r="A70" s="49"/>
      <c r="B70" s="93" t="s">
        <v>24</v>
      </c>
      <c r="C70" s="94">
        <f>H68</f>
        <v>0.29006240921073873</v>
      </c>
      <c r="D70" s="95">
        <f>M68</f>
        <v>0.29006240921073873</v>
      </c>
      <c r="E70" s="128" t="s">
        <v>39</v>
      </c>
      <c r="F70" s="379"/>
      <c r="G70" s="379"/>
      <c r="H70" s="78"/>
      <c r="I70" s="78"/>
      <c r="J70" s="78"/>
      <c r="K70" s="78"/>
      <c r="L70" s="78"/>
      <c r="M70" s="78"/>
      <c r="N70" s="78"/>
      <c r="O70" s="78"/>
      <c r="P70" s="78"/>
      <c r="Q70" s="7"/>
      <c r="R70" s="7"/>
      <c r="S70" s="7"/>
      <c r="T70" s="105"/>
      <c r="U70" s="105"/>
      <c r="V70" s="105"/>
      <c r="W70" s="105"/>
      <c r="X70" s="105"/>
      <c r="Y70" s="105"/>
      <c r="Z70" s="105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</row>
    <row r="71" spans="1:64" s="1" customFormat="1" ht="23.45" customHeight="1" outlineLevel="1" thickBot="1">
      <c r="A71" s="49"/>
      <c r="B71" s="93" t="s">
        <v>25</v>
      </c>
      <c r="C71" s="94">
        <f>1-C70</f>
        <v>0.70993759078926133</v>
      </c>
      <c r="D71" s="95">
        <f>1-D70</f>
        <v>0.70993759078926133</v>
      </c>
      <c r="E71" s="128" t="s">
        <v>39</v>
      </c>
      <c r="F71" s="379"/>
      <c r="G71" s="379"/>
      <c r="H71" s="78"/>
      <c r="I71" s="78"/>
      <c r="J71" s="78"/>
      <c r="K71" s="78"/>
      <c r="L71" s="78"/>
      <c r="M71" s="78"/>
      <c r="N71" s="78"/>
      <c r="O71" s="78"/>
      <c r="P71" s="78"/>
      <c r="Q71" s="7"/>
      <c r="R71" s="7"/>
      <c r="S71" s="7"/>
      <c r="T71" s="105"/>
      <c r="U71" s="105"/>
      <c r="V71" s="105"/>
      <c r="W71" s="105"/>
      <c r="X71" s="105"/>
      <c r="Y71" s="132">
        <v>0.1</v>
      </c>
      <c r="Z71" s="7"/>
      <c r="AA71" s="7"/>
      <c r="AB71" s="132">
        <v>6.6000000000000003E-2</v>
      </c>
      <c r="AC71" s="7"/>
      <c r="AD71" s="132">
        <v>0.15</v>
      </c>
      <c r="AE71" s="7"/>
      <c r="AF71" s="7"/>
      <c r="AG71" s="132">
        <v>0.13800000000000001</v>
      </c>
      <c r="AH71" s="7"/>
      <c r="AI71" s="132">
        <v>0.26</v>
      </c>
      <c r="AJ71" s="7"/>
      <c r="AK71" s="7"/>
      <c r="AL71" s="132">
        <v>0.374</v>
      </c>
      <c r="AM71" s="7"/>
      <c r="AN71" s="132">
        <v>0.02</v>
      </c>
      <c r="AO71" s="7"/>
      <c r="AP71" s="7"/>
      <c r="AQ71" s="132">
        <v>0.1</v>
      </c>
      <c r="AR71" s="7"/>
      <c r="AS71" s="132">
        <v>0.23</v>
      </c>
      <c r="AT71" s="7"/>
      <c r="AU71" s="7"/>
      <c r="AV71" s="132">
        <v>6.9000000000000006E-2</v>
      </c>
      <c r="AW71" s="7"/>
      <c r="AX71" s="132">
        <v>0.12</v>
      </c>
      <c r="AY71" s="7"/>
      <c r="AZ71" s="7"/>
      <c r="BA71" s="132">
        <v>6.8000000000000005E-2</v>
      </c>
      <c r="BB71" s="7"/>
      <c r="BC71" s="132">
        <v>7.0000000000000007E-2</v>
      </c>
      <c r="BD71" s="7"/>
      <c r="BE71" s="7"/>
      <c r="BF71" s="132">
        <v>0.11700000000000001</v>
      </c>
      <c r="BG71" s="7"/>
      <c r="BH71" s="132">
        <v>0.04</v>
      </c>
      <c r="BK71" s="132">
        <v>6.8000000000000005E-2</v>
      </c>
      <c r="BL71" s="7"/>
    </row>
    <row r="72" spans="1:64" s="1" customFormat="1" ht="19.5" customHeight="1" outlineLevel="1">
      <c r="A72" s="49"/>
      <c r="B72" s="3"/>
      <c r="C72" s="3"/>
      <c r="D72" s="78"/>
      <c r="E72" s="78"/>
      <c r="F72" s="379"/>
      <c r="G72" s="379"/>
      <c r="H72" s="78"/>
      <c r="I72" s="78"/>
      <c r="J72" s="78"/>
      <c r="K72" s="78"/>
      <c r="L72" s="78"/>
      <c r="M72" s="78"/>
      <c r="N72" s="78"/>
      <c r="O72" s="78"/>
      <c r="P72" s="78"/>
      <c r="Q72" s="7"/>
      <c r="R72" s="7"/>
      <c r="S72" s="7"/>
      <c r="T72" s="7"/>
      <c r="U72" s="7"/>
      <c r="V72" s="7"/>
      <c r="W72" s="7"/>
      <c r="X72" s="86" t="s">
        <v>336</v>
      </c>
      <c r="Y72" s="6"/>
      <c r="Z72" s="6"/>
      <c r="AA72" s="6"/>
      <c r="AB72" s="6"/>
      <c r="AC72" s="6"/>
      <c r="AD72" s="6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</row>
    <row r="73" spans="1:64" s="383" customFormat="1" ht="19.5" hidden="1" customHeight="1" outlineLevel="1" thickBot="1">
      <c r="A73" s="374"/>
      <c r="B73" s="375" t="s">
        <v>8</v>
      </c>
      <c r="C73" s="376" t="s">
        <v>335</v>
      </c>
      <c r="D73" s="377">
        <v>2019</v>
      </c>
      <c r="E73" s="378">
        <v>2020</v>
      </c>
      <c r="F73" s="379"/>
      <c r="G73" s="379"/>
      <c r="H73" s="379"/>
      <c r="I73" s="379"/>
      <c r="J73" s="379"/>
      <c r="K73" s="379"/>
      <c r="L73" s="379"/>
      <c r="M73" s="379"/>
      <c r="N73" s="379"/>
      <c r="O73" s="379"/>
      <c r="P73" s="379"/>
      <c r="Q73" s="380"/>
      <c r="R73" s="380"/>
      <c r="S73" s="380"/>
      <c r="T73" s="380"/>
      <c r="U73" s="380"/>
      <c r="V73" s="380"/>
      <c r="W73" s="380"/>
      <c r="X73" s="381"/>
      <c r="Y73" s="382"/>
      <c r="Z73" s="382"/>
      <c r="AA73" s="382"/>
      <c r="AB73" s="382"/>
      <c r="AC73" s="382"/>
      <c r="AD73" s="382"/>
      <c r="AE73" s="380"/>
      <c r="AF73" s="380"/>
      <c r="AG73" s="380"/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380"/>
      <c r="AW73" s="380"/>
      <c r="AX73" s="380"/>
      <c r="AY73" s="380"/>
      <c r="AZ73" s="380"/>
      <c r="BA73" s="380"/>
      <c r="BB73" s="380"/>
      <c r="BC73" s="380"/>
      <c r="BD73" s="380"/>
      <c r="BE73" s="380"/>
      <c r="BF73" s="380"/>
      <c r="BG73" s="380"/>
      <c r="BH73" s="380"/>
      <c r="BI73" s="380"/>
      <c r="BJ73" s="380"/>
      <c r="BK73" s="380"/>
      <c r="BL73" s="380"/>
    </row>
    <row r="74" spans="1:64" s="383" customFormat="1" ht="19.5" hidden="1" customHeight="1" outlineLevel="1">
      <c r="A74" s="374"/>
      <c r="B74" s="384" t="s">
        <v>26</v>
      </c>
      <c r="C74" s="385">
        <f>14000000*0.4</f>
        <v>5600000</v>
      </c>
      <c r="D74" s="386">
        <f>14000000*(0.25+0.1/2)</f>
        <v>4200000</v>
      </c>
      <c r="E74" s="387">
        <f>D74</f>
        <v>4200000</v>
      </c>
      <c r="F74" s="379"/>
      <c r="G74" s="379"/>
      <c r="H74" s="379"/>
      <c r="I74" s="379"/>
      <c r="J74" s="379"/>
      <c r="K74" s="379"/>
      <c r="L74" s="379"/>
      <c r="M74" s="379"/>
      <c r="N74" s="379"/>
      <c r="O74" s="379"/>
      <c r="P74" s="379"/>
      <c r="Q74" s="380"/>
      <c r="R74" s="380"/>
      <c r="S74" s="380"/>
      <c r="T74" s="380"/>
      <c r="U74" s="380"/>
      <c r="V74" s="380"/>
      <c r="W74" s="380"/>
      <c r="X74" s="381"/>
      <c r="Y74" s="382"/>
      <c r="Z74" s="382"/>
      <c r="AA74" s="382"/>
      <c r="AB74" s="382"/>
      <c r="AC74" s="382"/>
      <c r="AD74" s="382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</row>
    <row r="75" spans="1:64" s="383" customFormat="1" ht="19.5" hidden="1" customHeight="1" outlineLevel="1">
      <c r="A75" s="374"/>
      <c r="B75" s="388" t="s">
        <v>24</v>
      </c>
      <c r="C75" s="389">
        <f>H89</f>
        <v>0.34883720930232559</v>
      </c>
      <c r="D75" s="390">
        <f>M89</f>
        <v>0.34883720930232559</v>
      </c>
      <c r="E75" s="391" t="s">
        <v>39</v>
      </c>
      <c r="F75" s="379"/>
      <c r="G75" s="379"/>
      <c r="H75" s="379"/>
      <c r="I75" s="379"/>
      <c r="J75" s="379"/>
      <c r="K75" s="379"/>
      <c r="L75" s="379"/>
      <c r="M75" s="379"/>
      <c r="N75" s="379"/>
      <c r="O75" s="379"/>
      <c r="P75" s="379"/>
      <c r="Q75" s="380"/>
      <c r="R75" s="380"/>
      <c r="S75" s="380"/>
      <c r="T75" s="380"/>
      <c r="U75" s="380"/>
      <c r="V75" s="380"/>
      <c r="W75" s="380"/>
      <c r="X75" s="381"/>
      <c r="Y75" s="382"/>
      <c r="Z75" s="382"/>
      <c r="AA75" s="382"/>
      <c r="AB75" s="382"/>
      <c r="AC75" s="382"/>
      <c r="AD75" s="382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</row>
    <row r="76" spans="1:64" s="383" customFormat="1" ht="19.5" hidden="1" customHeight="1" outlineLevel="1">
      <c r="A76" s="374"/>
      <c r="B76" s="388" t="s">
        <v>25</v>
      </c>
      <c r="C76" s="389">
        <f>1-C75</f>
        <v>0.65116279069767447</v>
      </c>
      <c r="D76" s="390">
        <f>1-D75</f>
        <v>0.65116279069767447</v>
      </c>
      <c r="E76" s="391" t="s">
        <v>39</v>
      </c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80"/>
      <c r="R76" s="380"/>
      <c r="S76" s="380"/>
      <c r="T76" s="380"/>
      <c r="U76" s="380"/>
      <c r="V76" s="380"/>
      <c r="W76" s="380"/>
      <c r="X76" s="381"/>
      <c r="Y76" s="382"/>
      <c r="Z76" s="382"/>
      <c r="AA76" s="382"/>
      <c r="AB76" s="382"/>
      <c r="AC76" s="382"/>
      <c r="AD76" s="382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</row>
    <row r="77" spans="1:64" s="383" customFormat="1" ht="19.5" hidden="1" customHeight="1" outlineLevel="1">
      <c r="A77" s="374"/>
      <c r="B77" s="392"/>
      <c r="C77" s="392"/>
      <c r="D77" s="393"/>
      <c r="E77" s="393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80"/>
      <c r="R77" s="380"/>
      <c r="S77" s="380"/>
      <c r="T77" s="380"/>
      <c r="U77" s="380"/>
      <c r="V77" s="380"/>
      <c r="W77" s="380"/>
      <c r="X77" s="381"/>
      <c r="Y77" s="382"/>
      <c r="Z77" s="382"/>
      <c r="AA77" s="382"/>
      <c r="AB77" s="382"/>
      <c r="AC77" s="382"/>
      <c r="AD77" s="382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</row>
    <row r="78" spans="1:64" s="383" customFormat="1" ht="19.5" hidden="1" customHeight="1" outlineLevel="1" thickBot="1">
      <c r="A78" s="374"/>
      <c r="B78" s="394" t="s">
        <v>8</v>
      </c>
      <c r="C78" s="376" t="s">
        <v>335</v>
      </c>
      <c r="D78" s="377">
        <v>2019</v>
      </c>
      <c r="E78" s="378">
        <v>2020</v>
      </c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80"/>
      <c r="R78" s="380"/>
      <c r="S78" s="380"/>
      <c r="T78" s="380"/>
      <c r="U78" s="380"/>
      <c r="V78" s="380"/>
      <c r="W78" s="380"/>
      <c r="X78" s="381"/>
      <c r="Y78" s="382"/>
      <c r="Z78" s="382"/>
      <c r="AA78" s="382"/>
      <c r="AB78" s="382"/>
      <c r="AC78" s="382"/>
      <c r="AD78" s="382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</row>
    <row r="79" spans="1:64" s="383" customFormat="1" ht="19.5" hidden="1" customHeight="1" outlineLevel="1">
      <c r="A79" s="374"/>
      <c r="B79" s="395" t="s">
        <v>26</v>
      </c>
      <c r="C79" s="396">
        <f>115000000*0.4</f>
        <v>46000000</v>
      </c>
      <c r="D79" s="397">
        <f>115000000*(0.25+0.1/2)</f>
        <v>34500000</v>
      </c>
      <c r="E79" s="398">
        <f>D79</f>
        <v>34500000</v>
      </c>
      <c r="F79" s="379"/>
      <c r="G79" s="379"/>
      <c r="H79" s="379"/>
      <c r="I79" s="379"/>
      <c r="J79" s="379"/>
      <c r="K79" s="379"/>
      <c r="L79" s="379"/>
      <c r="M79" s="379"/>
      <c r="N79" s="379"/>
      <c r="O79" s="379"/>
      <c r="P79" s="379"/>
      <c r="Q79" s="380"/>
      <c r="R79" s="380"/>
      <c r="S79" s="380"/>
      <c r="T79" s="380"/>
      <c r="U79" s="380"/>
      <c r="V79" s="380"/>
      <c r="W79" s="380"/>
      <c r="X79" s="381"/>
      <c r="Y79" s="382"/>
      <c r="Z79" s="382"/>
      <c r="AA79" s="382"/>
      <c r="AB79" s="382"/>
      <c r="AC79" s="382"/>
      <c r="AD79" s="382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</row>
    <row r="80" spans="1:64" s="383" customFormat="1" ht="19.5" hidden="1" customHeight="1" outlineLevel="1">
      <c r="A80" s="374"/>
      <c r="B80" s="399" t="s">
        <v>24</v>
      </c>
      <c r="C80" s="400">
        <f>H103</f>
        <v>0.27000000000000007</v>
      </c>
      <c r="D80" s="401">
        <f>M103</f>
        <v>0.27</v>
      </c>
      <c r="E80" s="391" t="s">
        <v>39</v>
      </c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80"/>
      <c r="R80" s="380"/>
      <c r="S80" s="380"/>
      <c r="T80" s="380"/>
      <c r="U80" s="380"/>
      <c r="V80" s="380"/>
      <c r="W80" s="380"/>
      <c r="X80" s="381"/>
      <c r="Y80" s="382"/>
      <c r="Z80" s="382"/>
      <c r="AA80" s="382"/>
      <c r="AB80" s="382"/>
      <c r="AC80" s="382"/>
      <c r="AD80" s="382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</row>
    <row r="81" spans="1:72" s="383" customFormat="1" ht="19.5" hidden="1" customHeight="1" outlineLevel="1">
      <c r="A81" s="374"/>
      <c r="B81" s="399" t="s">
        <v>25</v>
      </c>
      <c r="C81" s="400">
        <f>1-C80</f>
        <v>0.73</v>
      </c>
      <c r="D81" s="401">
        <f>1-D80</f>
        <v>0.73</v>
      </c>
      <c r="E81" s="391" t="s">
        <v>39</v>
      </c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80"/>
      <c r="R81" s="380"/>
      <c r="S81" s="380"/>
      <c r="T81" s="380"/>
      <c r="U81" s="380"/>
      <c r="V81" s="380"/>
      <c r="W81" s="380"/>
      <c r="X81" s="381"/>
      <c r="Y81" s="382"/>
      <c r="Z81" s="382"/>
      <c r="AA81" s="382"/>
      <c r="AB81" s="382"/>
      <c r="AC81" s="382"/>
      <c r="AD81" s="382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  <c r="AT81" s="380"/>
      <c r="AU81" s="380"/>
      <c r="AV81" s="380"/>
      <c r="AW81" s="380"/>
      <c r="AX81" s="380"/>
      <c r="AY81" s="380"/>
      <c r="AZ81" s="380"/>
      <c r="BA81" s="380"/>
      <c r="BB81" s="380"/>
      <c r="BC81" s="380"/>
      <c r="BD81" s="380"/>
      <c r="BE81" s="380"/>
      <c r="BF81" s="380"/>
      <c r="BG81" s="380"/>
      <c r="BH81" s="380"/>
      <c r="BI81" s="380"/>
      <c r="BJ81" s="380"/>
      <c r="BK81" s="380"/>
      <c r="BL81" s="380"/>
    </row>
    <row r="82" spans="1:72" s="1" customFormat="1" ht="19.5" customHeight="1" outlineLevel="1">
      <c r="A82" s="49"/>
      <c r="B82" s="3"/>
      <c r="C82" s="3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"/>
      <c r="R82" s="7"/>
      <c r="S82" s="7"/>
      <c r="T82" s="7"/>
      <c r="U82" s="7"/>
      <c r="V82" s="7"/>
      <c r="W82" s="7"/>
      <c r="X82" s="86"/>
      <c r="Y82" s="6"/>
      <c r="Z82" s="6"/>
      <c r="AA82" s="6"/>
      <c r="AB82" s="6"/>
      <c r="AC82" s="6"/>
      <c r="AD82" s="6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72" s="1" customFormat="1" ht="19.5" customHeight="1" outlineLevel="1">
      <c r="A83" s="435" t="s">
        <v>392</v>
      </c>
      <c r="B83" s="435"/>
      <c r="C83" s="435"/>
      <c r="D83" s="435"/>
      <c r="E83" s="435"/>
      <c r="F83" s="435"/>
      <c r="G83" s="435"/>
      <c r="H83" s="78"/>
      <c r="I83" s="78"/>
      <c r="J83" s="78"/>
      <c r="K83" s="78"/>
      <c r="L83" s="78"/>
      <c r="M83" s="78"/>
      <c r="N83" s="78"/>
      <c r="O83" s="78"/>
      <c r="P83" s="78"/>
      <c r="Q83" s="7"/>
      <c r="R83" s="7"/>
      <c r="S83" s="7"/>
      <c r="T83" s="7"/>
      <c r="U83" s="7"/>
      <c r="V83" s="7"/>
      <c r="W83" s="7"/>
      <c r="X83" s="86"/>
      <c r="Y83" s="6"/>
      <c r="Z83" s="6"/>
      <c r="AA83" s="6"/>
      <c r="AB83" s="6"/>
      <c r="AC83" s="6"/>
      <c r="AD83" s="6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72" ht="21" outlineLevel="1">
      <c r="A84" s="436" t="s">
        <v>352</v>
      </c>
      <c r="B84" s="436"/>
      <c r="C84" s="436"/>
      <c r="D84" s="436"/>
      <c r="E84" s="436"/>
      <c r="F84" s="436"/>
      <c r="G84" s="437"/>
      <c r="H84" s="438" t="s">
        <v>331</v>
      </c>
      <c r="I84" s="439"/>
      <c r="J84" s="439"/>
      <c r="K84" s="439"/>
      <c r="L84" s="440"/>
      <c r="M84" s="441" t="s">
        <v>332</v>
      </c>
      <c r="N84" s="442"/>
      <c r="O84" s="442"/>
      <c r="P84" s="442"/>
      <c r="Q84" s="443"/>
      <c r="R84" s="441" t="s">
        <v>396</v>
      </c>
      <c r="S84" s="442"/>
      <c r="T84" s="442"/>
      <c r="U84" s="442"/>
      <c r="V84" s="443"/>
      <c r="W84" s="49"/>
      <c r="X84" s="49"/>
      <c r="Y84" s="431" t="s">
        <v>10</v>
      </c>
      <c r="Z84" s="432"/>
      <c r="AA84" s="432"/>
      <c r="AB84" s="432"/>
      <c r="AC84" s="433"/>
      <c r="AD84" s="431" t="s">
        <v>15</v>
      </c>
      <c r="AE84" s="432"/>
      <c r="AF84" s="432"/>
      <c r="AG84" s="432"/>
      <c r="AH84" s="433"/>
      <c r="AI84" s="431" t="s">
        <v>23</v>
      </c>
      <c r="AJ84" s="432"/>
      <c r="AK84" s="432"/>
      <c r="AL84" s="432"/>
      <c r="AM84" s="433"/>
      <c r="AN84" s="431" t="s">
        <v>12</v>
      </c>
      <c r="AO84" s="432"/>
      <c r="AP84" s="432"/>
      <c r="AQ84" s="432"/>
      <c r="AR84" s="433"/>
      <c r="AS84" s="431" t="s">
        <v>13</v>
      </c>
      <c r="AT84" s="432"/>
      <c r="AU84" s="432"/>
      <c r="AV84" s="432"/>
      <c r="AW84" s="433"/>
      <c r="AX84" s="431" t="s">
        <v>11</v>
      </c>
      <c r="AY84" s="432"/>
      <c r="AZ84" s="432"/>
      <c r="BA84" s="432"/>
      <c r="BB84" s="433"/>
      <c r="BC84" s="431" t="s">
        <v>16</v>
      </c>
      <c r="BD84" s="432"/>
      <c r="BE84" s="432"/>
      <c r="BF84" s="432"/>
      <c r="BG84" s="433"/>
      <c r="BH84" s="431" t="s">
        <v>14</v>
      </c>
      <c r="BI84" s="432"/>
      <c r="BJ84" s="432"/>
      <c r="BK84" s="432"/>
      <c r="BL84" s="433"/>
    </row>
    <row r="85" spans="1:72" ht="29.45" customHeight="1" outlineLevel="1" thickBot="1">
      <c r="A85" s="79" t="s">
        <v>5</v>
      </c>
      <c r="B85" s="33" t="s">
        <v>7</v>
      </c>
      <c r="C85" s="33" t="s">
        <v>4</v>
      </c>
      <c r="D85" s="450" t="s">
        <v>56</v>
      </c>
      <c r="E85" s="451"/>
      <c r="F85" s="34" t="s">
        <v>9</v>
      </c>
      <c r="G85" s="34" t="s">
        <v>0</v>
      </c>
      <c r="H85" s="30" t="s">
        <v>21</v>
      </c>
      <c r="I85" s="29" t="s">
        <v>29</v>
      </c>
      <c r="J85" s="30" t="s">
        <v>28</v>
      </c>
      <c r="K85" s="29" t="s">
        <v>22</v>
      </c>
      <c r="L85" s="30" t="s">
        <v>40</v>
      </c>
      <c r="M85" s="37" t="s">
        <v>21</v>
      </c>
      <c r="N85" s="40" t="s">
        <v>29</v>
      </c>
      <c r="O85" s="37" t="s">
        <v>28</v>
      </c>
      <c r="P85" s="40" t="s">
        <v>22</v>
      </c>
      <c r="Q85" s="37" t="s">
        <v>40</v>
      </c>
      <c r="R85" s="37" t="s">
        <v>21</v>
      </c>
      <c r="S85" s="40" t="s">
        <v>29</v>
      </c>
      <c r="T85" s="37" t="s">
        <v>28</v>
      </c>
      <c r="U85" s="40" t="s">
        <v>22</v>
      </c>
      <c r="V85" s="37" t="s">
        <v>40</v>
      </c>
      <c r="W85" s="49"/>
      <c r="X85" s="49"/>
      <c r="Y85" s="71" t="s">
        <v>21</v>
      </c>
      <c r="Z85" s="43" t="s">
        <v>29</v>
      </c>
      <c r="AA85" s="43" t="s">
        <v>28</v>
      </c>
      <c r="AB85" s="43" t="s">
        <v>22</v>
      </c>
      <c r="AC85" s="67" t="s">
        <v>40</v>
      </c>
      <c r="AD85" s="71" t="s">
        <v>21</v>
      </c>
      <c r="AE85" s="43" t="s">
        <v>29</v>
      </c>
      <c r="AF85" s="43" t="s">
        <v>28</v>
      </c>
      <c r="AG85" s="43" t="s">
        <v>22</v>
      </c>
      <c r="AH85" s="67" t="s">
        <v>40</v>
      </c>
      <c r="AI85" s="71" t="s">
        <v>21</v>
      </c>
      <c r="AJ85" s="43" t="s">
        <v>29</v>
      </c>
      <c r="AK85" s="43" t="s">
        <v>28</v>
      </c>
      <c r="AL85" s="43" t="s">
        <v>22</v>
      </c>
      <c r="AM85" s="67" t="s">
        <v>40</v>
      </c>
      <c r="AN85" s="71" t="s">
        <v>21</v>
      </c>
      <c r="AO85" s="43" t="s">
        <v>29</v>
      </c>
      <c r="AP85" s="43" t="s">
        <v>28</v>
      </c>
      <c r="AQ85" s="43" t="s">
        <v>22</v>
      </c>
      <c r="AR85" s="67" t="s">
        <v>40</v>
      </c>
      <c r="AS85" s="71" t="s">
        <v>21</v>
      </c>
      <c r="AT85" s="43" t="s">
        <v>29</v>
      </c>
      <c r="AU85" s="43" t="s">
        <v>28</v>
      </c>
      <c r="AV85" s="43" t="s">
        <v>22</v>
      </c>
      <c r="AW85" s="67" t="s">
        <v>40</v>
      </c>
      <c r="AX85" s="71" t="s">
        <v>21</v>
      </c>
      <c r="AY85" s="43" t="s">
        <v>29</v>
      </c>
      <c r="AZ85" s="43" t="s">
        <v>28</v>
      </c>
      <c r="BA85" s="43" t="s">
        <v>22</v>
      </c>
      <c r="BB85" s="67"/>
      <c r="BC85" s="71" t="s">
        <v>21</v>
      </c>
      <c r="BD85" s="43" t="s">
        <v>29</v>
      </c>
      <c r="BE85" s="43" t="s">
        <v>28</v>
      </c>
      <c r="BF85" s="43" t="s">
        <v>22</v>
      </c>
      <c r="BG85" s="67"/>
      <c r="BH85" s="71" t="s">
        <v>21</v>
      </c>
      <c r="BI85" s="43" t="s">
        <v>29</v>
      </c>
      <c r="BJ85" s="43" t="s">
        <v>28</v>
      </c>
      <c r="BK85" s="43" t="s">
        <v>22</v>
      </c>
      <c r="BL85" s="67" t="s">
        <v>40</v>
      </c>
    </row>
    <row r="86" spans="1:72" ht="51" hidden="1" customHeight="1" outlineLevel="1">
      <c r="A86" s="82"/>
      <c r="B86" s="349" t="s">
        <v>170</v>
      </c>
      <c r="C86" s="118"/>
      <c r="D86" s="457" t="s">
        <v>82</v>
      </c>
      <c r="E86" s="457"/>
      <c r="F86" s="80" t="s">
        <v>79</v>
      </c>
      <c r="G86" s="11" t="s">
        <v>81</v>
      </c>
      <c r="H86" s="36">
        <f>7*5000*0.3*5*0.4</f>
        <v>21000</v>
      </c>
      <c r="I86" s="36"/>
      <c r="J86" s="35"/>
      <c r="K86" s="36">
        <f>7*5000*0.7*4*0.4</f>
        <v>39200</v>
      </c>
      <c r="L86" s="35"/>
      <c r="M86" s="38">
        <f>7*5000*0.3*5*0.3</f>
        <v>15750</v>
      </c>
      <c r="N86" s="42"/>
      <c r="O86" s="38"/>
      <c r="P86" s="42">
        <f>7*5000*0.7*4*0.3</f>
        <v>29400</v>
      </c>
      <c r="Q86" s="38"/>
      <c r="R86" s="38">
        <f>7*5000*0.3*5*0.3</f>
        <v>15750</v>
      </c>
      <c r="S86" s="42"/>
      <c r="T86" s="38"/>
      <c r="U86" s="42">
        <f>7*5000*0.7*4*0.3</f>
        <v>29400</v>
      </c>
      <c r="V86" s="38"/>
      <c r="W86" s="7"/>
      <c r="X86" s="7"/>
      <c r="Y86" s="73">
        <f>$H$86*Y71</f>
        <v>2100</v>
      </c>
      <c r="Z86" s="46"/>
      <c r="AA86" s="46"/>
      <c r="AB86" s="73">
        <f>$K$86*AB71</f>
        <v>2587.2000000000003</v>
      </c>
      <c r="AC86" s="70"/>
      <c r="AD86" s="73">
        <f>$H$86*AD71</f>
        <v>3150</v>
      </c>
      <c r="AE86" s="46"/>
      <c r="AF86" s="46"/>
      <c r="AG86" s="73">
        <f>$K$86*AG71</f>
        <v>5409.6</v>
      </c>
      <c r="AH86" s="70"/>
      <c r="AI86" s="73">
        <f>$H$86*AI71</f>
        <v>5460</v>
      </c>
      <c r="AJ86" s="46"/>
      <c r="AK86" s="46"/>
      <c r="AL86" s="73">
        <f>$K$86*AL71</f>
        <v>14660.8</v>
      </c>
      <c r="AM86" s="70"/>
      <c r="AN86" s="73">
        <f>$H$86*AN71</f>
        <v>420</v>
      </c>
      <c r="AO86" s="46"/>
      <c r="AP86" s="46"/>
      <c r="AQ86" s="73">
        <f>$K$86*AQ71</f>
        <v>3920</v>
      </c>
      <c r="AR86" s="70"/>
      <c r="AS86" s="73">
        <f>$H$86*AS71</f>
        <v>4830</v>
      </c>
      <c r="AT86" s="46"/>
      <c r="AU86" s="46"/>
      <c r="AV86" s="73">
        <f>$K$86*AV71</f>
        <v>2704.8</v>
      </c>
      <c r="AW86" s="70"/>
      <c r="AX86" s="73">
        <f>$H$86*AX71</f>
        <v>2520</v>
      </c>
      <c r="AY86" s="46"/>
      <c r="AZ86" s="46"/>
      <c r="BA86" s="73">
        <f>$K$86*BA71</f>
        <v>2665.6000000000004</v>
      </c>
      <c r="BB86" s="70"/>
      <c r="BC86" s="73">
        <f>$H$86*BC71</f>
        <v>1470.0000000000002</v>
      </c>
      <c r="BD86" s="46"/>
      <c r="BE86" s="46"/>
      <c r="BF86" s="73">
        <f>$K$86*BF71</f>
        <v>4586.4000000000005</v>
      </c>
      <c r="BG86" s="70"/>
      <c r="BH86" s="73">
        <f>$H$86*BH71</f>
        <v>840</v>
      </c>
      <c r="BI86" s="46"/>
      <c r="BJ86" s="46"/>
      <c r="BK86" s="73">
        <f>$K$86*BK71</f>
        <v>2665.6000000000004</v>
      </c>
      <c r="BL86" s="70"/>
    </row>
    <row r="87" spans="1:72" s="170" customFormat="1" ht="51" hidden="1" customHeight="1" outlineLevel="1">
      <c r="A87" s="81"/>
      <c r="B87" s="350" t="s">
        <v>171</v>
      </c>
      <c r="C87" s="10"/>
      <c r="D87" s="455" t="s">
        <v>83</v>
      </c>
      <c r="E87" s="456"/>
      <c r="F87" s="81" t="s">
        <v>79</v>
      </c>
      <c r="G87" s="10" t="s">
        <v>81</v>
      </c>
      <c r="H87" s="36">
        <f>2*10000*0.3*5*0.4</f>
        <v>12000</v>
      </c>
      <c r="I87" s="36"/>
      <c r="J87" s="35"/>
      <c r="K87" s="36">
        <f>2*10000*0.7*4*0.4</f>
        <v>22400</v>
      </c>
      <c r="L87" s="35"/>
      <c r="M87" s="38">
        <f>2*10000*0.3*5*0.3</f>
        <v>9000</v>
      </c>
      <c r="N87" s="42"/>
      <c r="O87" s="38"/>
      <c r="P87" s="42">
        <f>2*10000*0.7*4*0.3</f>
        <v>16800</v>
      </c>
      <c r="Q87" s="38"/>
      <c r="R87" s="38">
        <f>2*10000*0.3*5*0.3</f>
        <v>9000</v>
      </c>
      <c r="S87" s="42"/>
      <c r="T87" s="38"/>
      <c r="U87" s="42">
        <f>2*10000*0.7*4*0.3</f>
        <v>16800</v>
      </c>
      <c r="V87" s="38"/>
      <c r="W87" s="7"/>
      <c r="X87" s="7"/>
      <c r="Y87" s="73">
        <f>$H$87*Y71</f>
        <v>1200</v>
      </c>
      <c r="Z87" s="46"/>
      <c r="AA87" s="46"/>
      <c r="AB87" s="73">
        <f>$K$87*AB71</f>
        <v>1478.4</v>
      </c>
      <c r="AC87" s="70"/>
      <c r="AD87" s="73">
        <f>$H$87*AD71</f>
        <v>1800</v>
      </c>
      <c r="AE87" s="46"/>
      <c r="AF87" s="46"/>
      <c r="AG87" s="73">
        <f>$K$87*AG71</f>
        <v>3091.2000000000003</v>
      </c>
      <c r="AH87" s="70"/>
      <c r="AI87" s="73">
        <f>$H$87*AI71</f>
        <v>3120</v>
      </c>
      <c r="AJ87" s="46"/>
      <c r="AK87" s="46"/>
      <c r="AL87" s="73">
        <f>$K$87*AL71</f>
        <v>8377.6</v>
      </c>
      <c r="AM87" s="70"/>
      <c r="AN87" s="73">
        <f>$H$87*AN71</f>
        <v>240</v>
      </c>
      <c r="AO87" s="46"/>
      <c r="AP87" s="46"/>
      <c r="AQ87" s="73">
        <f>$K$87*AQ71</f>
        <v>2240</v>
      </c>
      <c r="AR87" s="70"/>
      <c r="AS87" s="73">
        <f>$H$87*AS71</f>
        <v>2760</v>
      </c>
      <c r="AT87" s="46"/>
      <c r="AU87" s="46"/>
      <c r="AV87" s="73">
        <f>$K$87*AV71</f>
        <v>1545.6000000000001</v>
      </c>
      <c r="AW87" s="70"/>
      <c r="AX87" s="73">
        <f>$H$87*AX71</f>
        <v>1440</v>
      </c>
      <c r="AY87" s="46"/>
      <c r="AZ87" s="46"/>
      <c r="BA87" s="73">
        <f>$K$87*BA71</f>
        <v>1523.2</v>
      </c>
      <c r="BB87" s="70"/>
      <c r="BC87" s="73">
        <f>$H$87*BC71</f>
        <v>840.00000000000011</v>
      </c>
      <c r="BD87" s="46"/>
      <c r="BE87" s="46"/>
      <c r="BF87" s="73">
        <f>$K$87*BF71</f>
        <v>2620.8000000000002</v>
      </c>
      <c r="BG87" s="70"/>
      <c r="BH87" s="73">
        <f>$H$87*BH71</f>
        <v>480</v>
      </c>
      <c r="BI87" s="46"/>
      <c r="BJ87" s="46"/>
      <c r="BK87" s="73">
        <f>$K$87*BK71</f>
        <v>1523.2</v>
      </c>
      <c r="BL87" s="70"/>
    </row>
    <row r="88" spans="1:72" s="170" customFormat="1" ht="51" customHeight="1" outlineLevel="1">
      <c r="A88" s="81" t="s">
        <v>17</v>
      </c>
      <c r="B88" s="169" t="s">
        <v>169</v>
      </c>
      <c r="C88" s="117"/>
      <c r="D88" s="455" t="s">
        <v>83</v>
      </c>
      <c r="E88" s="456"/>
      <c r="F88" s="81" t="s">
        <v>79</v>
      </c>
      <c r="G88" s="10" t="s">
        <v>81</v>
      </c>
      <c r="H88" s="35">
        <f>SUM(H86:H87)</f>
        <v>33000</v>
      </c>
      <c r="I88" s="36"/>
      <c r="J88" s="35"/>
      <c r="K88" s="35">
        <f>SUM(K86:K87)</f>
        <v>61600</v>
      </c>
      <c r="L88" s="35"/>
      <c r="M88" s="38">
        <f>SUM(M86:M87)</f>
        <v>24750</v>
      </c>
      <c r="N88" s="42"/>
      <c r="O88" s="38"/>
      <c r="P88" s="42">
        <f>SUM(P86:P87)</f>
        <v>46200</v>
      </c>
      <c r="Q88" s="38"/>
      <c r="R88" s="38">
        <f>SUM(R86:R87)</f>
        <v>24750</v>
      </c>
      <c r="S88" s="42"/>
      <c r="T88" s="38"/>
      <c r="U88" s="42">
        <f>SUM(U86:U87)</f>
        <v>46200</v>
      </c>
      <c r="V88" s="38"/>
      <c r="W88" s="7"/>
      <c r="X88" s="7"/>
      <c r="Y88" s="73">
        <f>SUM(Y86:Y87)</f>
        <v>3300</v>
      </c>
      <c r="Z88" s="73">
        <f t="shared" ref="Z88:BL88" si="5">SUM(Z86:Z87)</f>
        <v>0</v>
      </c>
      <c r="AA88" s="73">
        <f t="shared" si="5"/>
        <v>0</v>
      </c>
      <c r="AB88" s="73">
        <f t="shared" si="5"/>
        <v>4065.6000000000004</v>
      </c>
      <c r="AC88" s="73">
        <f t="shared" si="5"/>
        <v>0</v>
      </c>
      <c r="AD88" s="73">
        <f t="shared" si="5"/>
        <v>4950</v>
      </c>
      <c r="AE88" s="73">
        <f t="shared" si="5"/>
        <v>0</v>
      </c>
      <c r="AF88" s="73">
        <f t="shared" si="5"/>
        <v>0</v>
      </c>
      <c r="AG88" s="73">
        <f t="shared" si="5"/>
        <v>8500.8000000000011</v>
      </c>
      <c r="AH88" s="73">
        <f t="shared" si="5"/>
        <v>0</v>
      </c>
      <c r="AI88" s="73">
        <f t="shared" si="5"/>
        <v>8580</v>
      </c>
      <c r="AJ88" s="73">
        <f t="shared" si="5"/>
        <v>0</v>
      </c>
      <c r="AK88" s="73">
        <f t="shared" si="5"/>
        <v>0</v>
      </c>
      <c r="AL88" s="73">
        <f t="shared" si="5"/>
        <v>23038.400000000001</v>
      </c>
      <c r="AM88" s="73">
        <f t="shared" si="5"/>
        <v>0</v>
      </c>
      <c r="AN88" s="73">
        <f t="shared" si="5"/>
        <v>660</v>
      </c>
      <c r="AO88" s="73">
        <f t="shared" si="5"/>
        <v>0</v>
      </c>
      <c r="AP88" s="73">
        <f t="shared" si="5"/>
        <v>0</v>
      </c>
      <c r="AQ88" s="73">
        <f t="shared" si="5"/>
        <v>6160</v>
      </c>
      <c r="AR88" s="73">
        <f t="shared" si="5"/>
        <v>0</v>
      </c>
      <c r="AS88" s="73">
        <f t="shared" si="5"/>
        <v>7590</v>
      </c>
      <c r="AT88" s="73">
        <f t="shared" si="5"/>
        <v>0</v>
      </c>
      <c r="AU88" s="73">
        <f t="shared" si="5"/>
        <v>0</v>
      </c>
      <c r="AV88" s="73">
        <f t="shared" si="5"/>
        <v>4250.4000000000005</v>
      </c>
      <c r="AW88" s="73">
        <f t="shared" si="5"/>
        <v>0</v>
      </c>
      <c r="AX88" s="73">
        <f t="shared" si="5"/>
        <v>3960</v>
      </c>
      <c r="AY88" s="73">
        <f t="shared" si="5"/>
        <v>0</v>
      </c>
      <c r="AZ88" s="73">
        <f t="shared" si="5"/>
        <v>0</v>
      </c>
      <c r="BA88" s="73">
        <f t="shared" si="5"/>
        <v>4188.8</v>
      </c>
      <c r="BB88" s="73">
        <f t="shared" si="5"/>
        <v>0</v>
      </c>
      <c r="BC88" s="73">
        <f t="shared" si="5"/>
        <v>2310.0000000000005</v>
      </c>
      <c r="BD88" s="73">
        <f t="shared" si="5"/>
        <v>0</v>
      </c>
      <c r="BE88" s="73">
        <f t="shared" si="5"/>
        <v>0</v>
      </c>
      <c r="BF88" s="73">
        <f t="shared" si="5"/>
        <v>7207.2000000000007</v>
      </c>
      <c r="BG88" s="73">
        <f t="shared" si="5"/>
        <v>0</v>
      </c>
      <c r="BH88" s="73">
        <f t="shared" si="5"/>
        <v>1320</v>
      </c>
      <c r="BI88" s="73">
        <f t="shared" si="5"/>
        <v>0</v>
      </c>
      <c r="BJ88" s="73">
        <f t="shared" si="5"/>
        <v>0</v>
      </c>
      <c r="BK88" s="73">
        <f t="shared" si="5"/>
        <v>4188.8</v>
      </c>
      <c r="BL88" s="73">
        <f t="shared" si="5"/>
        <v>0</v>
      </c>
    </row>
    <row r="89" spans="1:72" ht="31.5" customHeight="1" outlineLevel="1">
      <c r="A89" s="49"/>
      <c r="B89" s="78"/>
      <c r="C89" s="78"/>
      <c r="H89" s="271">
        <f>H88/(K88+H88)</f>
        <v>0.34883720930232559</v>
      </c>
      <c r="I89" s="78"/>
      <c r="J89" s="78"/>
      <c r="K89" s="78"/>
      <c r="L89" s="49"/>
      <c r="M89" s="271">
        <f>M88/(P88+M88)</f>
        <v>0.34883720930232559</v>
      </c>
      <c r="N89" s="49"/>
      <c r="O89" s="49"/>
      <c r="P89" s="49"/>
      <c r="Q89" s="49"/>
      <c r="R89" s="7"/>
      <c r="S89" s="7"/>
      <c r="T89" s="7"/>
      <c r="U89" s="7"/>
      <c r="V89" s="7"/>
      <c r="W89" s="7"/>
      <c r="X89" s="7"/>
      <c r="Y89" s="97"/>
      <c r="Z89" s="97"/>
      <c r="AA89" s="97"/>
      <c r="AB89" s="97"/>
      <c r="AC89" s="97"/>
      <c r="AD89" s="97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7"/>
      <c r="BL89" s="77"/>
      <c r="BM89" s="77"/>
    </row>
    <row r="90" spans="1:72" ht="21.75" outlineLevel="1" thickBot="1">
      <c r="A90" s="471" t="s">
        <v>372</v>
      </c>
      <c r="B90" s="471"/>
      <c r="C90" s="471"/>
      <c r="D90" s="450" t="s">
        <v>56</v>
      </c>
      <c r="E90" s="451"/>
      <c r="F90" s="283" t="s">
        <v>9</v>
      </c>
      <c r="G90" s="283" t="s">
        <v>0</v>
      </c>
      <c r="I90" s="102"/>
      <c r="J90" s="101"/>
      <c r="K90" s="101"/>
      <c r="L90" s="101"/>
      <c r="M90" s="101"/>
      <c r="N90" s="101"/>
      <c r="O90" s="101"/>
      <c r="P90" s="101"/>
      <c r="Q90" s="101"/>
      <c r="R90" s="49"/>
      <c r="S90" s="49"/>
      <c r="T90" s="49"/>
      <c r="U90" s="49"/>
      <c r="V90" s="49"/>
      <c r="W90" s="49"/>
      <c r="X90" s="77"/>
      <c r="Y90" s="469"/>
      <c r="Z90" s="469"/>
      <c r="AA90" s="469"/>
      <c r="AB90" s="469"/>
      <c r="AC90" s="469"/>
      <c r="AD90" s="469"/>
      <c r="AE90" s="469"/>
      <c r="AF90" s="469"/>
      <c r="AG90" s="469"/>
      <c r="AH90" s="469"/>
      <c r="AI90" s="469"/>
      <c r="AJ90" s="469"/>
      <c r="AK90" s="469"/>
      <c r="AL90" s="469"/>
      <c r="AM90" s="469"/>
      <c r="AN90" s="469"/>
      <c r="AO90" s="469"/>
      <c r="AP90" s="469"/>
      <c r="AQ90" s="469"/>
      <c r="AR90" s="469"/>
      <c r="AS90" s="469"/>
      <c r="AT90" s="469"/>
      <c r="AU90" s="469"/>
      <c r="AV90" s="469"/>
      <c r="AW90" s="469"/>
      <c r="AX90" s="469"/>
      <c r="AY90" s="469"/>
      <c r="AZ90" s="469"/>
      <c r="BA90" s="469"/>
      <c r="BB90" s="469"/>
      <c r="BC90" s="469"/>
      <c r="BD90" s="469"/>
      <c r="BE90" s="469"/>
      <c r="BF90" s="469"/>
      <c r="BG90" s="469"/>
      <c r="BH90" s="469"/>
      <c r="BI90" s="469"/>
      <c r="BJ90" s="469"/>
      <c r="BK90" s="469"/>
      <c r="BL90" s="469"/>
      <c r="BM90" s="77"/>
    </row>
    <row r="91" spans="1:72" ht="24.6" customHeight="1" outlineLevel="1">
      <c r="A91" s="110" t="s">
        <v>64</v>
      </c>
      <c r="B91" s="458" t="s">
        <v>143</v>
      </c>
      <c r="C91" s="458"/>
      <c r="D91" s="457" t="s">
        <v>82</v>
      </c>
      <c r="E91" s="457"/>
      <c r="F91" s="11" t="s">
        <v>316</v>
      </c>
      <c r="G91" s="107" t="s">
        <v>81</v>
      </c>
      <c r="H91" s="102"/>
      <c r="I91" s="102"/>
      <c r="J91" s="103"/>
      <c r="K91" s="49"/>
      <c r="L91" s="49"/>
      <c r="M91" s="49"/>
      <c r="N91" s="49"/>
      <c r="O91" s="49"/>
      <c r="P91" s="49"/>
      <c r="Q91" s="98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77"/>
    </row>
    <row r="92" spans="1:72" ht="24.6" customHeight="1" outlineLevel="1">
      <c r="A92" s="111" t="s">
        <v>2</v>
      </c>
      <c r="B92" s="458" t="s">
        <v>141</v>
      </c>
      <c r="C92" s="458"/>
      <c r="D92" s="455" t="s">
        <v>83</v>
      </c>
      <c r="E92" s="456"/>
      <c r="F92" s="11" t="s">
        <v>316</v>
      </c>
      <c r="G92" s="107" t="s">
        <v>81</v>
      </c>
      <c r="H92" s="102"/>
      <c r="I92" s="102"/>
      <c r="J92" s="102"/>
      <c r="K92" s="49"/>
      <c r="L92" s="49"/>
      <c r="M92" s="49"/>
      <c r="N92" s="49"/>
      <c r="O92" s="49"/>
      <c r="P92" s="49"/>
      <c r="Q92" s="98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77"/>
    </row>
    <row r="93" spans="1:72" ht="24.6" customHeight="1" outlineLevel="1">
      <c r="A93" s="110" t="s">
        <v>3</v>
      </c>
      <c r="B93" s="458" t="s">
        <v>144</v>
      </c>
      <c r="C93" s="458"/>
      <c r="D93" s="455" t="s">
        <v>83</v>
      </c>
      <c r="E93" s="456"/>
      <c r="F93" s="11" t="s">
        <v>316</v>
      </c>
      <c r="G93" s="107" t="s">
        <v>81</v>
      </c>
      <c r="H93" s="102"/>
      <c r="I93" s="102"/>
      <c r="J93" s="102"/>
      <c r="K93" s="49"/>
      <c r="L93" s="49"/>
      <c r="M93" s="49"/>
      <c r="N93" s="49"/>
      <c r="O93" s="49"/>
      <c r="P93" s="49"/>
      <c r="Q93" s="98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77"/>
    </row>
    <row r="94" spans="1:72" ht="24.6" customHeight="1" outlineLevel="1">
      <c r="A94" s="111" t="s">
        <v>65</v>
      </c>
      <c r="B94" s="458" t="s">
        <v>142</v>
      </c>
      <c r="C94" s="458"/>
      <c r="D94" s="455" t="s">
        <v>83</v>
      </c>
      <c r="E94" s="456"/>
      <c r="F94" s="11" t="s">
        <v>316</v>
      </c>
      <c r="G94" s="107" t="s">
        <v>81</v>
      </c>
      <c r="H94" s="102"/>
      <c r="I94" s="102"/>
      <c r="J94" s="102"/>
      <c r="K94" s="49"/>
      <c r="L94" s="49"/>
      <c r="M94" s="49"/>
      <c r="N94" s="49"/>
      <c r="O94" s="49"/>
      <c r="P94" s="49"/>
      <c r="Q94" s="98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77"/>
    </row>
    <row r="95" spans="1:72" ht="24.6" customHeight="1" outlineLevel="1">
      <c r="A95" s="111" t="s">
        <v>66</v>
      </c>
      <c r="B95" s="458" t="s">
        <v>145</v>
      </c>
      <c r="C95" s="458"/>
      <c r="D95" s="455" t="s">
        <v>83</v>
      </c>
      <c r="E95" s="456"/>
      <c r="F95" s="11" t="s">
        <v>309</v>
      </c>
      <c r="G95" s="107" t="s">
        <v>81</v>
      </c>
      <c r="H95" s="102"/>
      <c r="I95" s="102"/>
      <c r="J95" s="102"/>
      <c r="K95" s="49"/>
      <c r="L95" s="49"/>
      <c r="M95" s="49"/>
      <c r="N95" s="49"/>
      <c r="O95" s="49"/>
      <c r="P95" s="49"/>
      <c r="Q95" s="98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77"/>
    </row>
    <row r="96" spans="1:72" s="1" customFormat="1" ht="23.45" customHeight="1" outlineLevel="1" thickBot="1">
      <c r="A96" s="49"/>
      <c r="B96" s="49"/>
      <c r="C96" s="49"/>
      <c r="D96" s="49"/>
      <c r="E96" s="49"/>
      <c r="F96" s="49"/>
      <c r="G96" s="49"/>
      <c r="H96" s="78"/>
      <c r="I96" s="78"/>
      <c r="J96" s="78"/>
      <c r="K96" s="78"/>
      <c r="L96" s="78"/>
      <c r="M96" s="78"/>
      <c r="N96" s="78"/>
      <c r="O96" s="78"/>
      <c r="P96" s="78"/>
      <c r="Q96" s="7"/>
      <c r="R96" s="7"/>
      <c r="S96" s="7"/>
      <c r="T96" s="105"/>
      <c r="U96" s="105"/>
      <c r="V96" s="105"/>
      <c r="W96" s="105"/>
      <c r="X96" s="105"/>
      <c r="Y96" s="132">
        <v>0.1</v>
      </c>
      <c r="Z96" s="7"/>
      <c r="AA96" s="7"/>
      <c r="AB96" s="132">
        <v>6.6000000000000003E-2</v>
      </c>
      <c r="AC96" s="7"/>
      <c r="AD96" s="132">
        <v>0.15</v>
      </c>
      <c r="AE96" s="7"/>
      <c r="AF96" s="7"/>
      <c r="AG96" s="132">
        <v>0.13800000000000001</v>
      </c>
      <c r="AH96" s="7"/>
      <c r="AI96" s="132">
        <v>0.26</v>
      </c>
      <c r="AJ96" s="7"/>
      <c r="AK96" s="7"/>
      <c r="AL96" s="132">
        <v>0.374</v>
      </c>
      <c r="AM96" s="7"/>
      <c r="AN96" s="132">
        <v>0.02</v>
      </c>
      <c r="AO96" s="7"/>
      <c r="AP96" s="7"/>
      <c r="AQ96" s="132">
        <v>0.1</v>
      </c>
      <c r="AR96" s="7"/>
      <c r="AS96" s="132">
        <v>0.23</v>
      </c>
      <c r="AT96" s="7"/>
      <c r="AU96" s="7"/>
      <c r="AV96" s="132">
        <v>6.9000000000000006E-2</v>
      </c>
      <c r="AW96" s="7"/>
      <c r="AX96" s="132">
        <v>0.12</v>
      </c>
      <c r="AY96" s="7"/>
      <c r="AZ96" s="7"/>
      <c r="BA96" s="132">
        <v>6.8000000000000005E-2</v>
      </c>
      <c r="BB96" s="7"/>
      <c r="BC96" s="132">
        <v>7.0000000000000007E-2</v>
      </c>
      <c r="BD96" s="7"/>
      <c r="BE96" s="7"/>
      <c r="BF96" s="132">
        <v>0.11700000000000001</v>
      </c>
      <c r="BG96" s="7"/>
      <c r="BH96" s="132">
        <v>0.04</v>
      </c>
      <c r="BK96" s="132">
        <v>6.8000000000000005E-2</v>
      </c>
      <c r="BL96" s="7"/>
      <c r="BO96"/>
      <c r="BP96" s="152"/>
      <c r="BQ96" s="152">
        <v>2017</v>
      </c>
      <c r="BR96" s="152"/>
      <c r="BS96" s="152"/>
      <c r="BT96" s="152"/>
    </row>
    <row r="97" spans="1:72" s="1" customFormat="1" ht="27.95" customHeight="1" outlineLevel="1">
      <c r="A97" s="435" t="s">
        <v>391</v>
      </c>
      <c r="B97" s="435"/>
      <c r="C97" s="435"/>
      <c r="D97" s="435"/>
      <c r="E97" s="435"/>
      <c r="F97" s="435"/>
      <c r="G97" s="435"/>
      <c r="H97" s="78"/>
      <c r="I97" s="78"/>
      <c r="J97" s="78"/>
      <c r="K97" s="78"/>
      <c r="L97" s="78"/>
      <c r="M97" s="78"/>
      <c r="N97" s="78"/>
      <c r="O97" s="78"/>
      <c r="P97" s="78"/>
      <c r="Q97" s="7"/>
      <c r="R97" s="7"/>
      <c r="S97" s="7"/>
      <c r="T97" s="7"/>
      <c r="U97" s="7"/>
      <c r="V97" s="7"/>
      <c r="W97" s="7"/>
      <c r="X97" s="86" t="s">
        <v>336</v>
      </c>
      <c r="Y97" s="6"/>
      <c r="Z97" s="6"/>
      <c r="AA97" s="6"/>
      <c r="AB97" s="6"/>
      <c r="AC97" s="6"/>
      <c r="AD97" s="6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O97" s="154" t="s">
        <v>109</v>
      </c>
      <c r="BP97" s="154" t="s">
        <v>110</v>
      </c>
      <c r="BQ97" s="154" t="s">
        <v>111</v>
      </c>
      <c r="BR97" s="154" t="s">
        <v>112</v>
      </c>
      <c r="BS97" s="154" t="s">
        <v>108</v>
      </c>
    </row>
    <row r="98" spans="1:72" ht="21" outlineLevel="1">
      <c r="A98" s="436" t="s">
        <v>353</v>
      </c>
      <c r="B98" s="436"/>
      <c r="C98" s="436"/>
      <c r="D98" s="436"/>
      <c r="E98" s="436"/>
      <c r="F98" s="436"/>
      <c r="G98" s="437"/>
      <c r="H98" s="438" t="s">
        <v>331</v>
      </c>
      <c r="I98" s="439"/>
      <c r="J98" s="439"/>
      <c r="K98" s="439"/>
      <c r="L98" s="440"/>
      <c r="M98" s="441" t="s">
        <v>332</v>
      </c>
      <c r="N98" s="442"/>
      <c r="O98" s="442"/>
      <c r="P98" s="442"/>
      <c r="Q98" s="443"/>
      <c r="R98" s="441" t="s">
        <v>396</v>
      </c>
      <c r="S98" s="442"/>
      <c r="T98" s="442"/>
      <c r="U98" s="442"/>
      <c r="V98" s="443"/>
      <c r="X98" s="49"/>
      <c r="Y98" s="431" t="s">
        <v>10</v>
      </c>
      <c r="Z98" s="432"/>
      <c r="AA98" s="432"/>
      <c r="AB98" s="432"/>
      <c r="AC98" s="433"/>
      <c r="AD98" s="431" t="s">
        <v>15</v>
      </c>
      <c r="AE98" s="432"/>
      <c r="AF98" s="432"/>
      <c r="AG98" s="432"/>
      <c r="AH98" s="433"/>
      <c r="AI98" s="431" t="s">
        <v>23</v>
      </c>
      <c r="AJ98" s="432"/>
      <c r="AK98" s="432"/>
      <c r="AL98" s="432"/>
      <c r="AM98" s="433"/>
      <c r="AN98" s="431" t="s">
        <v>12</v>
      </c>
      <c r="AO98" s="432"/>
      <c r="AP98" s="432"/>
      <c r="AQ98" s="432"/>
      <c r="AR98" s="433"/>
      <c r="AS98" s="431" t="s">
        <v>13</v>
      </c>
      <c r="AT98" s="432"/>
      <c r="AU98" s="432"/>
      <c r="AV98" s="432"/>
      <c r="AW98" s="433"/>
      <c r="AX98" s="431" t="s">
        <v>11</v>
      </c>
      <c r="AY98" s="432"/>
      <c r="AZ98" s="432"/>
      <c r="BA98" s="432"/>
      <c r="BB98" s="433"/>
      <c r="BC98" s="431" t="s">
        <v>16</v>
      </c>
      <c r="BD98" s="432"/>
      <c r="BE98" s="432"/>
      <c r="BF98" s="432"/>
      <c r="BG98" s="433"/>
      <c r="BH98" s="431" t="s">
        <v>14</v>
      </c>
      <c r="BI98" s="432"/>
      <c r="BJ98" s="432"/>
      <c r="BK98" s="432"/>
      <c r="BL98" s="433"/>
      <c r="BN98" s="148" t="s">
        <v>10</v>
      </c>
      <c r="BO98" s="154">
        <v>20.172924355277598</v>
      </c>
      <c r="BP98" s="154">
        <v>44.236341264787306</v>
      </c>
      <c r="BQ98" s="154">
        <v>0.83732045306084391</v>
      </c>
      <c r="BR98" s="154">
        <v>0.45086485934045434</v>
      </c>
      <c r="BS98" s="154">
        <v>3309216.9435506254</v>
      </c>
    </row>
    <row r="99" spans="1:72" ht="29.45" customHeight="1" outlineLevel="1" thickBot="1">
      <c r="A99" s="79" t="s">
        <v>5</v>
      </c>
      <c r="B99" s="33" t="s">
        <v>7</v>
      </c>
      <c r="C99" s="33" t="s">
        <v>4</v>
      </c>
      <c r="D99" s="446" t="s">
        <v>56</v>
      </c>
      <c r="E99" s="447"/>
      <c r="F99" s="34" t="s">
        <v>9</v>
      </c>
      <c r="G99" s="34" t="s">
        <v>0</v>
      </c>
      <c r="H99" s="30" t="s">
        <v>21</v>
      </c>
      <c r="I99" s="29" t="s">
        <v>29</v>
      </c>
      <c r="J99" s="30" t="s">
        <v>28</v>
      </c>
      <c r="K99" s="29" t="s">
        <v>22</v>
      </c>
      <c r="L99" s="30" t="s">
        <v>40</v>
      </c>
      <c r="M99" s="37" t="s">
        <v>21</v>
      </c>
      <c r="N99" s="40" t="s">
        <v>29</v>
      </c>
      <c r="O99" s="37" t="s">
        <v>28</v>
      </c>
      <c r="P99" s="40" t="s">
        <v>22</v>
      </c>
      <c r="Q99" s="37" t="s">
        <v>40</v>
      </c>
      <c r="R99" s="37" t="s">
        <v>21</v>
      </c>
      <c r="S99" s="40" t="s">
        <v>29</v>
      </c>
      <c r="T99" s="37" t="s">
        <v>28</v>
      </c>
      <c r="U99" s="40" t="s">
        <v>22</v>
      </c>
      <c r="V99" s="37" t="s">
        <v>40</v>
      </c>
      <c r="X99" s="49"/>
      <c r="Y99" s="71" t="s">
        <v>21</v>
      </c>
      <c r="Z99" s="43" t="s">
        <v>29</v>
      </c>
      <c r="AA99" s="43" t="s">
        <v>28</v>
      </c>
      <c r="AB99" s="43" t="s">
        <v>22</v>
      </c>
      <c r="AC99" s="67" t="s">
        <v>40</v>
      </c>
      <c r="AD99" s="71" t="s">
        <v>21</v>
      </c>
      <c r="AE99" s="43" t="s">
        <v>29</v>
      </c>
      <c r="AF99" s="43" t="s">
        <v>28</v>
      </c>
      <c r="AG99" s="43" t="s">
        <v>22</v>
      </c>
      <c r="AH99" s="67" t="s">
        <v>40</v>
      </c>
      <c r="AI99" s="71" t="s">
        <v>21</v>
      </c>
      <c r="AJ99" s="43" t="s">
        <v>29</v>
      </c>
      <c r="AK99" s="43" t="s">
        <v>28</v>
      </c>
      <c r="AL99" s="43" t="s">
        <v>22</v>
      </c>
      <c r="AM99" s="67" t="s">
        <v>40</v>
      </c>
      <c r="AN99" s="71" t="s">
        <v>21</v>
      </c>
      <c r="AO99" s="43" t="s">
        <v>29</v>
      </c>
      <c r="AP99" s="43" t="s">
        <v>28</v>
      </c>
      <c r="AQ99" s="43" t="s">
        <v>22</v>
      </c>
      <c r="AR99" s="67" t="s">
        <v>40</v>
      </c>
      <c r="AS99" s="71" t="s">
        <v>21</v>
      </c>
      <c r="AT99" s="43" t="s">
        <v>29</v>
      </c>
      <c r="AU99" s="43" t="s">
        <v>28</v>
      </c>
      <c r="AV99" s="43" t="s">
        <v>22</v>
      </c>
      <c r="AW99" s="67" t="s">
        <v>40</v>
      </c>
      <c r="AX99" s="71" t="s">
        <v>21</v>
      </c>
      <c r="AY99" s="43" t="s">
        <v>29</v>
      </c>
      <c r="AZ99" s="43" t="s">
        <v>28</v>
      </c>
      <c r="BA99" s="43" t="s">
        <v>22</v>
      </c>
      <c r="BB99" s="67"/>
      <c r="BC99" s="71" t="s">
        <v>21</v>
      </c>
      <c r="BD99" s="43" t="s">
        <v>29</v>
      </c>
      <c r="BE99" s="43" t="s">
        <v>28</v>
      </c>
      <c r="BF99" s="43" t="s">
        <v>22</v>
      </c>
      <c r="BG99" s="67"/>
      <c r="BH99" s="71" t="s">
        <v>21</v>
      </c>
      <c r="BI99" s="43" t="s">
        <v>29</v>
      </c>
      <c r="BJ99" s="43" t="s">
        <v>28</v>
      </c>
      <c r="BK99" s="43" t="s">
        <v>22</v>
      </c>
      <c r="BL99" s="67" t="s">
        <v>40</v>
      </c>
      <c r="BN99" s="148" t="s">
        <v>103</v>
      </c>
      <c r="BO99" s="154">
        <v>39.525469239390453</v>
      </c>
      <c r="BP99" s="154">
        <v>86.673707546377642</v>
      </c>
      <c r="BQ99" s="154">
        <v>1.6405892982149854</v>
      </c>
      <c r="BR99" s="154">
        <v>0.8833942375003766</v>
      </c>
      <c r="BS99" s="154">
        <v>6483856.7877027085</v>
      </c>
    </row>
    <row r="100" spans="1:72" ht="33" hidden="1" customHeight="1" outlineLevel="1">
      <c r="A100" s="80"/>
      <c r="B100" s="349" t="s">
        <v>107</v>
      </c>
      <c r="C100" s="119"/>
      <c r="D100" s="457" t="s">
        <v>82</v>
      </c>
      <c r="E100" s="457"/>
      <c r="F100" s="80" t="s">
        <v>79</v>
      </c>
      <c r="G100" s="9" t="s">
        <v>80</v>
      </c>
      <c r="H100" s="35">
        <f>BP106*310*0.27</f>
        <v>51391.8</v>
      </c>
      <c r="I100" s="32">
        <v>0</v>
      </c>
      <c r="J100" s="31">
        <v>0</v>
      </c>
      <c r="K100" s="124">
        <f>614*310*0.73</f>
        <v>138948.19999999998</v>
      </c>
      <c r="L100" s="125"/>
      <c r="M100" s="38">
        <f>(('Kamal Original'!N67+'Kamal Original'!S67+'Kamal Original'!X67)/2)*310*0.27</f>
        <v>38543.850000000006</v>
      </c>
      <c r="N100" s="41">
        <v>0</v>
      </c>
      <c r="O100" s="39">
        <v>0</v>
      </c>
      <c r="P100" s="272">
        <f>(('Kamal Original'!N67+'Kamal Original'!S67+'Kamal Original'!X67)/2)*310*0.73</f>
        <v>104211.15</v>
      </c>
      <c r="Q100" s="126"/>
      <c r="R100" s="38">
        <f>M100</f>
        <v>38543.850000000006</v>
      </c>
      <c r="S100" s="41">
        <v>0</v>
      </c>
      <c r="T100" s="39">
        <v>0</v>
      </c>
      <c r="U100" s="272">
        <f>P100</f>
        <v>104211.15</v>
      </c>
      <c r="V100" s="126"/>
      <c r="X100" s="74" t="s">
        <v>17</v>
      </c>
      <c r="Y100" s="158">
        <f>$H$100*Y96</f>
        <v>5139.18</v>
      </c>
      <c r="Z100" s="44"/>
      <c r="AA100" s="44"/>
      <c r="AB100" s="158">
        <f>$K$100*AB96</f>
        <v>9170.5811999999987</v>
      </c>
      <c r="AC100" s="68"/>
      <c r="AD100" s="158">
        <f t="shared" ref="AD100" si="6">$H$100*AD96</f>
        <v>7708.77</v>
      </c>
      <c r="AE100" s="44"/>
      <c r="AF100" s="44"/>
      <c r="AG100" s="158">
        <f t="shared" ref="AG100" si="7">$K$100*AG96</f>
        <v>19174.851599999998</v>
      </c>
      <c r="AH100" s="68"/>
      <c r="AI100" s="158">
        <f t="shared" ref="AI100" si="8">$H$100*AI96</f>
        <v>13361.868</v>
      </c>
      <c r="AJ100" s="44"/>
      <c r="AK100" s="44"/>
      <c r="AL100" s="158">
        <f t="shared" ref="AL100" si="9">$K$100*AL96</f>
        <v>51966.626799999991</v>
      </c>
      <c r="AM100" s="68"/>
      <c r="AN100" s="158">
        <f t="shared" ref="AN100" si="10">$H$100*AN96</f>
        <v>1027.836</v>
      </c>
      <c r="AO100" s="44"/>
      <c r="AP100" s="44"/>
      <c r="AQ100" s="158">
        <f t="shared" ref="AQ100" si="11">$K$100*AQ96</f>
        <v>13894.82</v>
      </c>
      <c r="AR100" s="68"/>
      <c r="AS100" s="158">
        <f t="shared" ref="AS100" si="12">$H$100*AS96</f>
        <v>11820.114000000001</v>
      </c>
      <c r="AT100" s="44"/>
      <c r="AU100" s="44"/>
      <c r="AV100" s="158">
        <f t="shared" ref="AV100" si="13">$K$100*AV96</f>
        <v>9587.4257999999991</v>
      </c>
      <c r="AW100" s="68"/>
      <c r="AX100" s="158">
        <f t="shared" ref="AX100" si="14">$H$100*AX96</f>
        <v>6167.0160000000005</v>
      </c>
      <c r="AY100" s="44"/>
      <c r="AZ100" s="44"/>
      <c r="BA100" s="158">
        <f t="shared" ref="BA100" si="15">$K$100*BA96</f>
        <v>9448.4776000000002</v>
      </c>
      <c r="BB100" s="68"/>
      <c r="BC100" s="158">
        <f t="shared" ref="BC100" si="16">$H$100*BC96</f>
        <v>3597.4260000000004</v>
      </c>
      <c r="BD100" s="44"/>
      <c r="BE100" s="44"/>
      <c r="BF100" s="158">
        <f t="shared" ref="BF100" si="17">$K$100*BF96</f>
        <v>16256.939399999999</v>
      </c>
      <c r="BG100" s="68"/>
      <c r="BH100" s="158">
        <f t="shared" ref="BH100" si="18">$H$100*BH96</f>
        <v>2055.672</v>
      </c>
      <c r="BI100" s="44"/>
      <c r="BJ100" s="44"/>
      <c r="BK100" s="158">
        <f t="shared" ref="BK100" si="19">$K$100*BK96</f>
        <v>9448.4776000000002</v>
      </c>
      <c r="BL100" s="68"/>
      <c r="BN100" s="148" t="s">
        <v>12</v>
      </c>
      <c r="BO100" s="154">
        <v>31.668019915250888</v>
      </c>
      <c r="BP100" s="154">
        <v>69.443443671300159</v>
      </c>
      <c r="BQ100" s="154">
        <v>1.3144490266251638</v>
      </c>
      <c r="BR100" s="154">
        <v>0.70778024510585735</v>
      </c>
      <c r="BS100" s="154">
        <v>5194901.1569475438</v>
      </c>
    </row>
    <row r="101" spans="1:72" ht="33" hidden="1" customHeight="1" outlineLevel="1">
      <c r="A101" s="80"/>
      <c r="B101" s="349" t="s">
        <v>117</v>
      </c>
      <c r="C101" s="119"/>
      <c r="D101" s="457" t="s">
        <v>82</v>
      </c>
      <c r="E101" s="457"/>
      <c r="F101" s="80" t="s">
        <v>79</v>
      </c>
      <c r="G101" s="9" t="s">
        <v>80</v>
      </c>
      <c r="H101" s="35">
        <f>BO106*310*0.27</f>
        <v>23436.000000000007</v>
      </c>
      <c r="I101" s="32"/>
      <c r="J101" s="31"/>
      <c r="K101" s="124">
        <f>BO106*310*0.73</f>
        <v>63364.000000000007</v>
      </c>
      <c r="L101" s="125"/>
      <c r="M101" s="38">
        <f>(('Kamal Original'!M67+'Kamal Original'!R67+'Kamal Original'!W67)/2)*310*0.27</f>
        <v>17577</v>
      </c>
      <c r="N101" s="41"/>
      <c r="O101" s="39"/>
      <c r="P101" s="272">
        <f>(('Kamal Original'!M67+'Kamal Original'!R67+'Kamal Original'!W67)/2)*310*0.73</f>
        <v>47523</v>
      </c>
      <c r="Q101" s="126"/>
      <c r="R101" s="38">
        <f>M101</f>
        <v>17577</v>
      </c>
      <c r="S101" s="41"/>
      <c r="T101" s="39"/>
      <c r="U101" s="272">
        <f>P101</f>
        <v>47523</v>
      </c>
      <c r="V101" s="126"/>
      <c r="X101" s="74"/>
      <c r="Y101" s="158">
        <f>$H$101*Y96</f>
        <v>2343.6000000000008</v>
      </c>
      <c r="Z101" s="44"/>
      <c r="AA101" s="44"/>
      <c r="AB101" s="158">
        <f>$K$101*AB96</f>
        <v>4182.0240000000003</v>
      </c>
      <c r="AC101" s="68"/>
      <c r="AD101" s="158">
        <f t="shared" ref="AD101" si="20">$H$101*AD96</f>
        <v>3515.400000000001</v>
      </c>
      <c r="AE101" s="44"/>
      <c r="AF101" s="44"/>
      <c r="AG101" s="158">
        <f t="shared" ref="AG101" si="21">$K$101*AG96</f>
        <v>8744.2320000000018</v>
      </c>
      <c r="AH101" s="68"/>
      <c r="AI101" s="158">
        <f t="shared" ref="AI101" si="22">$H$101*AI96</f>
        <v>6093.3600000000024</v>
      </c>
      <c r="AJ101" s="44"/>
      <c r="AK101" s="44"/>
      <c r="AL101" s="158">
        <f t="shared" ref="AL101" si="23">$K$101*AL96</f>
        <v>23698.136000000002</v>
      </c>
      <c r="AM101" s="68"/>
      <c r="AN101" s="158">
        <f t="shared" ref="AN101" si="24">$H$101*AN96</f>
        <v>468.72000000000014</v>
      </c>
      <c r="AO101" s="44"/>
      <c r="AP101" s="44"/>
      <c r="AQ101" s="158">
        <f t="shared" ref="AQ101" si="25">$K$101*AQ96</f>
        <v>6336.4000000000015</v>
      </c>
      <c r="AR101" s="68"/>
      <c r="AS101" s="158">
        <f t="shared" ref="AS101" si="26">$H$101*AS96</f>
        <v>5390.2800000000016</v>
      </c>
      <c r="AT101" s="44"/>
      <c r="AU101" s="44"/>
      <c r="AV101" s="158">
        <f t="shared" ref="AV101" si="27">$K$101*AV96</f>
        <v>4372.1160000000009</v>
      </c>
      <c r="AW101" s="68"/>
      <c r="AX101" s="158">
        <f t="shared" ref="AX101" si="28">$H$101*AX96</f>
        <v>2812.3200000000006</v>
      </c>
      <c r="AY101" s="44"/>
      <c r="AZ101" s="44"/>
      <c r="BA101" s="158">
        <f t="shared" ref="BA101" si="29">$K$101*BA96</f>
        <v>4308.7520000000004</v>
      </c>
      <c r="BB101" s="68"/>
      <c r="BC101" s="158">
        <f t="shared" ref="BC101" si="30">$H$101*BC96</f>
        <v>1640.5200000000007</v>
      </c>
      <c r="BD101" s="44"/>
      <c r="BE101" s="44"/>
      <c r="BF101" s="158">
        <f t="shared" ref="BF101" si="31">$K$101*BF96</f>
        <v>7413.5880000000016</v>
      </c>
      <c r="BG101" s="68"/>
      <c r="BH101" s="158">
        <f t="shared" ref="BH101" si="32">$H$101*BH96</f>
        <v>937.44000000000028</v>
      </c>
      <c r="BI101" s="44"/>
      <c r="BJ101" s="44"/>
      <c r="BK101" s="158">
        <f t="shared" ref="BK101" si="33">$K$101*BK96</f>
        <v>4308.7520000000004</v>
      </c>
      <c r="BL101" s="68"/>
      <c r="BN101" s="148" t="s">
        <v>13</v>
      </c>
      <c r="BO101" s="154">
        <v>22.614508753185586</v>
      </c>
      <c r="BP101" s="154">
        <v>49.59038705162839</v>
      </c>
      <c r="BQ101" s="154">
        <v>0.93866364546258185</v>
      </c>
      <c r="BR101" s="154">
        <v>0.50543427063369784</v>
      </c>
      <c r="BS101" s="154">
        <v>3709740.5521444464</v>
      </c>
    </row>
    <row r="102" spans="1:72" ht="36" customHeight="1" outlineLevel="1">
      <c r="A102" s="80" t="s">
        <v>17</v>
      </c>
      <c r="B102" s="169" t="s">
        <v>168</v>
      </c>
      <c r="C102" s="119"/>
      <c r="D102" s="457" t="s">
        <v>82</v>
      </c>
      <c r="E102" s="457"/>
      <c r="F102" s="80" t="s">
        <v>79</v>
      </c>
      <c r="G102" s="9" t="s">
        <v>80</v>
      </c>
      <c r="H102" s="35">
        <f>SUM(H100:H101)</f>
        <v>74827.800000000017</v>
      </c>
      <c r="I102" s="32"/>
      <c r="J102" s="31"/>
      <c r="K102" s="124">
        <f>SUM(K100:K101)</f>
        <v>202312.19999999998</v>
      </c>
      <c r="L102" s="125"/>
      <c r="M102" s="38">
        <f>SUM(M100:M101)</f>
        <v>56120.850000000006</v>
      </c>
      <c r="N102" s="41"/>
      <c r="O102" s="39"/>
      <c r="P102" s="272">
        <f>SUM(P100:P101)</f>
        <v>151734.15</v>
      </c>
      <c r="Q102" s="126"/>
      <c r="R102" s="38">
        <f>SUM(R100:R101)</f>
        <v>56120.850000000006</v>
      </c>
      <c r="S102" s="41"/>
      <c r="T102" s="39"/>
      <c r="U102" s="272">
        <f>SUM(U100:U101)</f>
        <v>151734.15</v>
      </c>
      <c r="V102" s="126"/>
      <c r="X102" s="74"/>
      <c r="Y102" s="158">
        <f>SUM(Y100:Y101)</f>
        <v>7482.7800000000007</v>
      </c>
      <c r="Z102" s="158">
        <f t="shared" ref="Z102:BL102" si="34">SUM(Z100:Z101)</f>
        <v>0</v>
      </c>
      <c r="AA102" s="158">
        <f t="shared" si="34"/>
        <v>0</v>
      </c>
      <c r="AB102" s="158">
        <f t="shared" si="34"/>
        <v>13352.605199999998</v>
      </c>
      <c r="AC102" s="158">
        <f t="shared" si="34"/>
        <v>0</v>
      </c>
      <c r="AD102" s="158">
        <f t="shared" si="34"/>
        <v>11224.170000000002</v>
      </c>
      <c r="AE102" s="158">
        <f t="shared" si="34"/>
        <v>0</v>
      </c>
      <c r="AF102" s="158">
        <f t="shared" si="34"/>
        <v>0</v>
      </c>
      <c r="AG102" s="158">
        <f t="shared" si="34"/>
        <v>27919.083599999998</v>
      </c>
      <c r="AH102" s="158">
        <f t="shared" si="34"/>
        <v>0</v>
      </c>
      <c r="AI102" s="158">
        <f t="shared" si="34"/>
        <v>19455.228000000003</v>
      </c>
      <c r="AJ102" s="158">
        <f t="shared" si="34"/>
        <v>0</v>
      </c>
      <c r="AK102" s="158">
        <f t="shared" si="34"/>
        <v>0</v>
      </c>
      <c r="AL102" s="158">
        <f t="shared" si="34"/>
        <v>75664.762799999997</v>
      </c>
      <c r="AM102" s="158">
        <f t="shared" si="34"/>
        <v>0</v>
      </c>
      <c r="AN102" s="158">
        <f t="shared" si="34"/>
        <v>1496.556</v>
      </c>
      <c r="AO102" s="158">
        <f t="shared" si="34"/>
        <v>0</v>
      </c>
      <c r="AP102" s="158">
        <f t="shared" si="34"/>
        <v>0</v>
      </c>
      <c r="AQ102" s="158">
        <f t="shared" si="34"/>
        <v>20231.22</v>
      </c>
      <c r="AR102" s="158">
        <f t="shared" si="34"/>
        <v>0</v>
      </c>
      <c r="AS102" s="158">
        <f t="shared" si="34"/>
        <v>17210.394000000004</v>
      </c>
      <c r="AT102" s="158">
        <f t="shared" si="34"/>
        <v>0</v>
      </c>
      <c r="AU102" s="158">
        <f t="shared" si="34"/>
        <v>0</v>
      </c>
      <c r="AV102" s="158">
        <f t="shared" si="34"/>
        <v>13959.541799999999</v>
      </c>
      <c r="AW102" s="158">
        <f t="shared" si="34"/>
        <v>0</v>
      </c>
      <c r="AX102" s="158">
        <f t="shared" si="34"/>
        <v>8979.3360000000011</v>
      </c>
      <c r="AY102" s="158">
        <f t="shared" si="34"/>
        <v>0</v>
      </c>
      <c r="AZ102" s="158">
        <f t="shared" si="34"/>
        <v>0</v>
      </c>
      <c r="BA102" s="158">
        <f t="shared" si="34"/>
        <v>13757.229600000001</v>
      </c>
      <c r="BB102" s="158">
        <f t="shared" si="34"/>
        <v>0</v>
      </c>
      <c r="BC102" s="158">
        <f t="shared" si="34"/>
        <v>5237.9460000000008</v>
      </c>
      <c r="BD102" s="158">
        <f t="shared" si="34"/>
        <v>0</v>
      </c>
      <c r="BE102" s="158">
        <f t="shared" si="34"/>
        <v>0</v>
      </c>
      <c r="BF102" s="158">
        <f t="shared" si="34"/>
        <v>23670.527399999999</v>
      </c>
      <c r="BG102" s="158">
        <f t="shared" si="34"/>
        <v>0</v>
      </c>
      <c r="BH102" s="158">
        <f t="shared" si="34"/>
        <v>2993.1120000000001</v>
      </c>
      <c r="BI102" s="158">
        <f t="shared" si="34"/>
        <v>0</v>
      </c>
      <c r="BJ102" s="158">
        <f t="shared" si="34"/>
        <v>0</v>
      </c>
      <c r="BK102" s="158">
        <f t="shared" si="34"/>
        <v>13757.229600000001</v>
      </c>
      <c r="BL102" s="158">
        <f t="shared" si="34"/>
        <v>0</v>
      </c>
      <c r="BN102" s="148" t="s">
        <v>23</v>
      </c>
      <c r="BO102" s="154">
        <v>22.406545791062815</v>
      </c>
      <c r="BP102" s="154">
        <v>49.134353984687742</v>
      </c>
      <c r="BQ102" s="154">
        <v>0.93003169708475741</v>
      </c>
      <c r="BR102" s="154">
        <v>0.50078629843025391</v>
      </c>
      <c r="BS102" s="154">
        <v>3675625.787930422</v>
      </c>
    </row>
    <row r="103" spans="1:72" ht="31.5" customHeight="1" outlineLevel="1">
      <c r="A103" s="49"/>
      <c r="B103" s="78"/>
      <c r="C103" s="78"/>
      <c r="H103" s="271">
        <f>H102/(K102+H102)</f>
        <v>0.27000000000000007</v>
      </c>
      <c r="I103" s="123"/>
      <c r="J103" s="123"/>
      <c r="K103" s="123"/>
      <c r="L103" s="121"/>
      <c r="M103" s="271">
        <f>M102/(P102+M102)</f>
        <v>0.27</v>
      </c>
      <c r="N103" s="49"/>
      <c r="O103" s="49"/>
      <c r="P103" s="49"/>
      <c r="Q103" s="49"/>
      <c r="X103" s="96"/>
      <c r="Y103" s="97"/>
      <c r="Z103" s="97"/>
      <c r="AA103" s="97"/>
      <c r="AB103" s="97"/>
      <c r="AC103" s="97"/>
      <c r="AD103" s="97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7"/>
      <c r="BL103" s="77"/>
      <c r="BM103" s="77"/>
      <c r="BN103" s="148" t="s">
        <v>104</v>
      </c>
      <c r="BO103" s="154">
        <v>96.82972399580521</v>
      </c>
      <c r="BP103" s="154">
        <v>212.33375190508713</v>
      </c>
      <c r="BQ103" s="154">
        <v>4.0191251867116007</v>
      </c>
      <c r="BR103" s="154">
        <v>2.1641443313062463</v>
      </c>
      <c r="BS103" s="154">
        <v>15884189.998581875</v>
      </c>
    </row>
    <row r="104" spans="1:72" ht="21" outlineLevel="1">
      <c r="A104" s="444" t="s">
        <v>354</v>
      </c>
      <c r="B104" s="444"/>
      <c r="C104" s="444"/>
      <c r="D104" s="446" t="s">
        <v>56</v>
      </c>
      <c r="E104" s="447"/>
      <c r="F104" s="283" t="s">
        <v>9</v>
      </c>
      <c r="G104" s="283" t="s">
        <v>0</v>
      </c>
      <c r="L104" s="121"/>
      <c r="M104" s="122"/>
      <c r="N104" s="101"/>
      <c r="O104" s="101"/>
      <c r="P104" s="101"/>
      <c r="Q104" s="101"/>
      <c r="X104" s="77"/>
      <c r="Y104" s="469"/>
      <c r="Z104" s="469"/>
      <c r="AA104" s="469"/>
      <c r="AB104" s="469"/>
      <c r="AC104" s="469"/>
      <c r="AD104" s="469"/>
      <c r="AE104" s="469"/>
      <c r="AF104" s="469"/>
      <c r="AG104" s="469"/>
      <c r="AH104" s="469"/>
      <c r="AI104" s="469"/>
      <c r="AJ104" s="469"/>
      <c r="AK104" s="469"/>
      <c r="AL104" s="469"/>
      <c r="AM104" s="469"/>
      <c r="AN104" s="469"/>
      <c r="AO104" s="469"/>
      <c r="AP104" s="469"/>
      <c r="AQ104" s="469"/>
      <c r="AR104" s="469"/>
      <c r="AS104" s="469"/>
      <c r="AT104" s="469"/>
      <c r="AU104" s="469"/>
      <c r="AV104" s="469"/>
      <c r="AW104" s="469"/>
      <c r="AX104" s="469"/>
      <c r="AY104" s="469"/>
      <c r="AZ104" s="469"/>
      <c r="BA104" s="469"/>
      <c r="BB104" s="469"/>
      <c r="BC104" s="469"/>
      <c r="BD104" s="469"/>
      <c r="BE104" s="469"/>
      <c r="BF104" s="469"/>
      <c r="BG104" s="469"/>
      <c r="BH104" s="469"/>
      <c r="BI104" s="469"/>
      <c r="BJ104" s="469"/>
      <c r="BK104" s="469"/>
      <c r="BL104" s="469"/>
      <c r="BM104" s="77"/>
      <c r="BN104" s="148" t="s">
        <v>15</v>
      </c>
      <c r="BO104" s="154">
        <v>29.42808552854439</v>
      </c>
      <c r="BP104" s="154">
        <v>64.531587551879483</v>
      </c>
      <c r="BQ104" s="154">
        <v>1.2214757500455105</v>
      </c>
      <c r="BR104" s="154">
        <v>0.6577177115629671</v>
      </c>
      <c r="BS104" s="154">
        <v>4827456.7203162434</v>
      </c>
    </row>
    <row r="105" spans="1:72" ht="24.6" customHeight="1" outlineLevel="1">
      <c r="A105" s="151" t="s">
        <v>64</v>
      </c>
      <c r="B105" s="434" t="s">
        <v>148</v>
      </c>
      <c r="C105" s="434"/>
      <c r="D105" s="459" t="s">
        <v>355</v>
      </c>
      <c r="E105" s="460"/>
      <c r="F105" s="192" t="s">
        <v>316</v>
      </c>
      <c r="G105" s="351" t="s">
        <v>80</v>
      </c>
      <c r="L105" s="121"/>
      <c r="M105" s="122"/>
      <c r="N105" s="49"/>
      <c r="O105" s="49"/>
      <c r="P105" s="49"/>
      <c r="Q105" s="98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77"/>
      <c r="BN105" s="148" t="s">
        <v>16</v>
      </c>
      <c r="BO105" s="154">
        <v>17.354722421483054</v>
      </c>
      <c r="BP105" s="154">
        <v>38.056427024252123</v>
      </c>
      <c r="BQ105" s="154">
        <v>0.72034494279455741</v>
      </c>
      <c r="BR105" s="154">
        <v>0.3878780461201462</v>
      </c>
      <c r="BS105" s="154">
        <v>2846912.0528261336</v>
      </c>
    </row>
    <row r="106" spans="1:72" ht="24.6" customHeight="1" outlineLevel="1">
      <c r="A106" s="151" t="s">
        <v>2</v>
      </c>
      <c r="B106" s="141" t="s">
        <v>147</v>
      </c>
      <c r="C106" s="141"/>
      <c r="D106" s="459" t="s">
        <v>355</v>
      </c>
      <c r="E106" s="460"/>
      <c r="F106" s="192" t="s">
        <v>316</v>
      </c>
      <c r="G106" s="351" t="s">
        <v>80</v>
      </c>
      <c r="N106" s="49"/>
      <c r="O106" s="49"/>
      <c r="P106" s="49"/>
      <c r="Q106" s="98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77"/>
      <c r="BO106" s="154">
        <v>280.00000000000006</v>
      </c>
      <c r="BP106" s="154">
        <v>614</v>
      </c>
      <c r="BQ106" s="154">
        <v>11.622000000000002</v>
      </c>
      <c r="BR106" s="154">
        <v>6.2579999999999991</v>
      </c>
      <c r="BS106" s="154">
        <v>45931900</v>
      </c>
    </row>
    <row r="107" spans="1:72" ht="24.6" customHeight="1" outlineLevel="1">
      <c r="A107" s="151" t="s">
        <v>3</v>
      </c>
      <c r="B107" s="434" t="s">
        <v>149</v>
      </c>
      <c r="C107" s="434"/>
      <c r="D107" s="459" t="s">
        <v>355</v>
      </c>
      <c r="E107" s="460"/>
      <c r="F107" s="192" t="s">
        <v>316</v>
      </c>
      <c r="G107" s="351" t="s">
        <v>80</v>
      </c>
      <c r="H107" s="102"/>
      <c r="I107" s="102"/>
      <c r="J107" s="102"/>
      <c r="K107" s="49"/>
      <c r="L107" s="49"/>
      <c r="M107" s="49"/>
      <c r="N107" s="49"/>
      <c r="O107" s="49"/>
      <c r="P107" s="49"/>
      <c r="Q107" s="98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77"/>
      <c r="BO107" s="155" t="s">
        <v>113</v>
      </c>
      <c r="BP107" s="155" t="s">
        <v>114</v>
      </c>
    </row>
    <row r="108" spans="1:72" ht="24.6" customHeight="1" outlineLevel="1">
      <c r="A108" s="151" t="s">
        <v>66</v>
      </c>
      <c r="B108" s="434" t="s">
        <v>322</v>
      </c>
      <c r="C108" s="434"/>
      <c r="D108" s="459" t="s">
        <v>355</v>
      </c>
      <c r="E108" s="460"/>
      <c r="F108" s="192" t="s">
        <v>323</v>
      </c>
      <c r="G108" s="351" t="s">
        <v>80</v>
      </c>
      <c r="H108" s="102"/>
      <c r="I108" s="102"/>
      <c r="J108" s="102"/>
      <c r="K108" s="49"/>
      <c r="L108" s="49"/>
      <c r="M108" s="49"/>
      <c r="N108" s="49"/>
      <c r="O108" s="49"/>
      <c r="P108" s="49"/>
      <c r="Q108" s="98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77"/>
      <c r="BO108" s="156">
        <v>0.72727480990145166</v>
      </c>
      <c r="BP108" s="156">
        <v>0.27272519009854834</v>
      </c>
      <c r="BQ108" s="153"/>
      <c r="BR108" s="153"/>
      <c r="BS108" s="153"/>
      <c r="BT108" s="153"/>
    </row>
    <row r="109" spans="1:72">
      <c r="BO109" s="157">
        <f>4000000/18200</f>
        <v>219.78021978021977</v>
      </c>
      <c r="BP109" s="153" t="s">
        <v>115</v>
      </c>
      <c r="BQ109" s="153"/>
      <c r="BR109" s="153"/>
      <c r="BS109" s="153"/>
      <c r="BT109" s="153"/>
    </row>
    <row r="110" spans="1:72">
      <c r="BO110" s="157">
        <f>5850000/(18200+700)</f>
        <v>309.52380952380952</v>
      </c>
      <c r="BP110" t="s">
        <v>116</v>
      </c>
    </row>
    <row r="111" spans="1:72" ht="23.25">
      <c r="A111" s="448" t="s">
        <v>356</v>
      </c>
      <c r="B111" s="449"/>
      <c r="C111" s="449"/>
      <c r="D111" s="449"/>
      <c r="E111" s="449"/>
      <c r="F111" s="449"/>
      <c r="G111" s="312"/>
      <c r="H111" s="312"/>
      <c r="I111" s="312"/>
      <c r="J111" s="312"/>
      <c r="K111" s="312"/>
      <c r="L111" s="312"/>
      <c r="M111" s="312"/>
      <c r="N111" s="312"/>
      <c r="O111" s="312"/>
      <c r="P111" s="313"/>
      <c r="Q111" s="313"/>
      <c r="R111" s="313"/>
      <c r="S111" s="313"/>
      <c r="T111" s="313"/>
      <c r="U111" s="313"/>
      <c r="V111" s="313"/>
      <c r="BO111" s="157"/>
    </row>
    <row r="112" spans="1:72" ht="21">
      <c r="A112" s="436" t="s">
        <v>357</v>
      </c>
      <c r="B112" s="436"/>
      <c r="C112" s="436"/>
      <c r="D112" s="436"/>
      <c r="E112" s="436"/>
      <c r="F112" s="436"/>
      <c r="G112" s="437"/>
      <c r="H112" s="438" t="s">
        <v>331</v>
      </c>
      <c r="I112" s="439"/>
      <c r="J112" s="439"/>
      <c r="K112" s="439"/>
      <c r="L112" s="440"/>
      <c r="M112" s="441" t="s">
        <v>332</v>
      </c>
      <c r="N112" s="442"/>
      <c r="O112" s="442"/>
      <c r="P112" s="442"/>
      <c r="Q112" s="443"/>
      <c r="R112" s="441" t="s">
        <v>396</v>
      </c>
      <c r="S112" s="442"/>
      <c r="T112" s="442"/>
      <c r="U112" s="442"/>
      <c r="V112" s="443"/>
      <c r="BO112" s="157"/>
    </row>
    <row r="113" spans="1:67" ht="15.75" thickBot="1">
      <c r="A113" s="79" t="s">
        <v>5</v>
      </c>
      <c r="B113" s="33" t="s">
        <v>326</v>
      </c>
      <c r="C113" s="33" t="s">
        <v>4</v>
      </c>
      <c r="D113" s="450" t="s">
        <v>56</v>
      </c>
      <c r="E113" s="451"/>
      <c r="F113" s="34" t="s">
        <v>9</v>
      </c>
      <c r="G113" s="34" t="s">
        <v>0</v>
      </c>
      <c r="H113" s="43" t="s">
        <v>21</v>
      </c>
      <c r="I113" s="314" t="s">
        <v>29</v>
      </c>
      <c r="J113" s="43" t="s">
        <v>28</v>
      </c>
      <c r="K113" s="314" t="s">
        <v>22</v>
      </c>
      <c r="L113" s="43" t="s">
        <v>40</v>
      </c>
      <c r="M113" s="315" t="s">
        <v>21</v>
      </c>
      <c r="N113" s="316" t="s">
        <v>29</v>
      </c>
      <c r="O113" s="315" t="s">
        <v>28</v>
      </c>
      <c r="P113" s="316" t="s">
        <v>22</v>
      </c>
      <c r="Q113" s="315" t="s">
        <v>40</v>
      </c>
      <c r="R113" s="37" t="s">
        <v>21</v>
      </c>
      <c r="S113" s="40" t="s">
        <v>29</v>
      </c>
      <c r="T113" s="37" t="s">
        <v>28</v>
      </c>
      <c r="U113" s="40" t="s">
        <v>22</v>
      </c>
      <c r="V113" s="37" t="s">
        <v>40</v>
      </c>
      <c r="BO113" s="157"/>
    </row>
    <row r="114" spans="1:67" ht="30">
      <c r="A114" s="112" t="s">
        <v>17</v>
      </c>
      <c r="B114" s="106" t="s">
        <v>358</v>
      </c>
      <c r="C114" s="106" t="s">
        <v>359</v>
      </c>
      <c r="D114" s="452" t="s">
        <v>78</v>
      </c>
      <c r="E114" s="453"/>
      <c r="F114" s="106" t="s">
        <v>360</v>
      </c>
      <c r="G114" s="106" t="s">
        <v>330</v>
      </c>
      <c r="H114" s="35"/>
      <c r="I114" s="32"/>
      <c r="J114" s="31"/>
      <c r="K114" s="124"/>
      <c r="L114" s="125">
        <f>C135/1500000</f>
        <v>66.159166666666664</v>
      </c>
      <c r="M114" s="38"/>
      <c r="N114" s="41"/>
      <c r="O114" s="39"/>
      <c r="P114" s="272"/>
      <c r="Q114" s="126">
        <f>D135/1500000</f>
        <v>114.56208333333333</v>
      </c>
      <c r="R114" s="38"/>
      <c r="S114" s="41"/>
      <c r="T114" s="39"/>
      <c r="U114" s="272"/>
      <c r="V114" s="126">
        <f>E135/1500000</f>
        <v>114.56208333333333</v>
      </c>
      <c r="BO114" s="157"/>
    </row>
    <row r="115" spans="1:67" ht="23.25">
      <c r="A115" s="337"/>
      <c r="B115" s="337"/>
      <c r="C115" s="337"/>
      <c r="D115" s="337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3"/>
      <c r="Q115" s="313"/>
      <c r="R115" s="313"/>
      <c r="S115" s="313"/>
      <c r="T115" s="313"/>
      <c r="U115" s="313"/>
      <c r="V115" s="313"/>
      <c r="BO115" s="157"/>
    </row>
    <row r="116" spans="1:67" ht="24" thickBot="1">
      <c r="A116" s="122"/>
      <c r="B116" s="328" t="s">
        <v>361</v>
      </c>
      <c r="C116" s="87" t="s">
        <v>335</v>
      </c>
      <c r="D116" s="88">
        <v>2019</v>
      </c>
      <c r="E116" s="89">
        <v>2020</v>
      </c>
      <c r="F116" s="348"/>
      <c r="G116" s="348"/>
      <c r="H116" s="348"/>
      <c r="I116" s="348"/>
      <c r="J116" s="348"/>
      <c r="K116" s="348"/>
      <c r="L116" s="348"/>
      <c r="M116" s="348"/>
      <c r="N116" s="115"/>
      <c r="O116" s="115"/>
      <c r="P116" s="115"/>
      <c r="Q116" s="454"/>
      <c r="R116" s="454"/>
      <c r="S116" s="454"/>
      <c r="T116" s="454"/>
      <c r="U116" s="454"/>
      <c r="V116" s="454"/>
      <c r="BO116" s="157"/>
    </row>
    <row r="117" spans="1:67" ht="23.25">
      <c r="A117" s="115"/>
      <c r="B117" s="329" t="s">
        <v>334</v>
      </c>
      <c r="C117" s="341">
        <v>1000000</v>
      </c>
      <c r="D117" s="342">
        <v>1000000</v>
      </c>
      <c r="E117" s="343">
        <f>D117</f>
        <v>1000000</v>
      </c>
      <c r="F117" s="415">
        <f>SUM(C117:E117)</f>
        <v>3000000</v>
      </c>
      <c r="G117" s="348"/>
      <c r="H117" s="348"/>
      <c r="I117" s="348"/>
      <c r="J117" s="348"/>
      <c r="K117" s="348"/>
      <c r="L117" s="348"/>
      <c r="M117" s="348"/>
      <c r="N117" s="115"/>
      <c r="O117" s="115"/>
      <c r="P117" s="357"/>
      <c r="Q117" s="357"/>
      <c r="R117" s="357"/>
      <c r="S117" s="357"/>
      <c r="T117" s="357"/>
      <c r="U117" s="115"/>
      <c r="V117" s="115"/>
      <c r="BO117" s="157"/>
    </row>
    <row r="118" spans="1:67" ht="23.25">
      <c r="A118" s="122"/>
      <c r="B118" s="344" t="s">
        <v>24</v>
      </c>
      <c r="C118" s="345">
        <v>0</v>
      </c>
      <c r="D118" s="346">
        <v>0</v>
      </c>
      <c r="E118" s="311" t="s">
        <v>39</v>
      </c>
      <c r="F118" s="348"/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  <c r="Q118" s="115"/>
      <c r="R118" s="115"/>
      <c r="S118" s="115"/>
      <c r="T118" s="357"/>
      <c r="U118" s="357"/>
      <c r="V118" s="357"/>
      <c r="BO118" s="157"/>
    </row>
    <row r="119" spans="1:67" ht="23.25">
      <c r="A119" s="122"/>
      <c r="B119" s="344" t="s">
        <v>25</v>
      </c>
      <c r="C119" s="345">
        <f>1-C118</f>
        <v>1</v>
      </c>
      <c r="D119" s="346">
        <v>1</v>
      </c>
      <c r="E119" s="311" t="s">
        <v>39</v>
      </c>
      <c r="F119" s="348"/>
      <c r="G119" s="348"/>
      <c r="H119" s="348"/>
      <c r="I119" s="348"/>
      <c r="J119" s="348"/>
      <c r="K119" s="348"/>
      <c r="L119" s="348"/>
      <c r="M119" s="348"/>
      <c r="N119" s="348"/>
      <c r="O119" s="348"/>
      <c r="P119" s="348"/>
      <c r="Q119" s="115"/>
      <c r="R119" s="115"/>
      <c r="S119" s="115"/>
      <c r="T119" s="357"/>
      <c r="U119" s="357"/>
      <c r="V119" s="357"/>
      <c r="BO119" s="157"/>
    </row>
    <row r="120" spans="1:67" ht="23.25">
      <c r="A120" s="122"/>
      <c r="B120" s="347"/>
      <c r="C120" s="347"/>
      <c r="D120" s="348"/>
      <c r="E120" s="348"/>
      <c r="F120" s="348"/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  <c r="Q120" s="115"/>
      <c r="R120" s="115"/>
      <c r="S120" s="115"/>
      <c r="T120" s="115"/>
      <c r="U120" s="115"/>
      <c r="V120" s="115"/>
      <c r="BO120" s="157"/>
    </row>
    <row r="121" spans="1:67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BO121" s="157"/>
    </row>
    <row r="122" spans="1:67" ht="23.25">
      <c r="A122" s="435" t="s">
        <v>393</v>
      </c>
      <c r="B122" s="435"/>
      <c r="C122" s="435"/>
      <c r="D122" s="435"/>
      <c r="E122" s="435"/>
      <c r="F122" s="435"/>
      <c r="G122" s="435"/>
      <c r="H122" s="348"/>
      <c r="I122" s="348"/>
      <c r="J122" s="348"/>
      <c r="K122" s="348"/>
      <c r="L122" s="348"/>
      <c r="M122" s="348"/>
      <c r="N122" s="348"/>
      <c r="O122" s="348"/>
      <c r="P122" s="348"/>
      <c r="Q122" s="115"/>
      <c r="R122" s="115"/>
      <c r="S122" s="115"/>
      <c r="T122" s="115"/>
      <c r="U122" s="115"/>
      <c r="V122" s="115"/>
      <c r="BO122" s="157"/>
    </row>
    <row r="123" spans="1:67" ht="21">
      <c r="A123" s="436" t="s">
        <v>362</v>
      </c>
      <c r="B123" s="436"/>
      <c r="C123" s="436"/>
      <c r="D123" s="436"/>
      <c r="E123" s="436"/>
      <c r="F123" s="436"/>
      <c r="G123" s="437"/>
      <c r="H123" s="438" t="s">
        <v>331</v>
      </c>
      <c r="I123" s="439"/>
      <c r="J123" s="439"/>
      <c r="K123" s="439"/>
      <c r="L123" s="440"/>
      <c r="M123" s="441" t="s">
        <v>332</v>
      </c>
      <c r="N123" s="442"/>
      <c r="O123" s="442"/>
      <c r="P123" s="442"/>
      <c r="Q123" s="443"/>
      <c r="R123" s="181"/>
      <c r="S123" s="181"/>
      <c r="T123" s="181"/>
      <c r="U123" s="181"/>
      <c r="V123" s="181"/>
      <c r="X123" s="122"/>
      <c r="Y123" s="431" t="s">
        <v>10</v>
      </c>
      <c r="Z123" s="432"/>
      <c r="AA123" s="432"/>
      <c r="AB123" s="432"/>
      <c r="AC123" s="433"/>
      <c r="AD123" s="431" t="s">
        <v>15</v>
      </c>
      <c r="AE123" s="432"/>
      <c r="AF123" s="432"/>
      <c r="AG123" s="432"/>
      <c r="AH123" s="433"/>
      <c r="AI123" s="431" t="s">
        <v>23</v>
      </c>
      <c r="AJ123" s="432"/>
      <c r="AK123" s="432"/>
      <c r="AL123" s="432"/>
      <c r="AM123" s="433"/>
      <c r="AN123" s="431" t="s">
        <v>12</v>
      </c>
      <c r="AO123" s="432"/>
      <c r="AP123" s="432"/>
      <c r="AQ123" s="432"/>
      <c r="AR123" s="433"/>
      <c r="AS123" s="431" t="s">
        <v>13</v>
      </c>
      <c r="AT123" s="432"/>
      <c r="AU123" s="432"/>
      <c r="AV123" s="432"/>
      <c r="AW123" s="433"/>
      <c r="AX123" s="431" t="s">
        <v>11</v>
      </c>
      <c r="AY123" s="432"/>
      <c r="AZ123" s="432"/>
      <c r="BA123" s="432"/>
      <c r="BB123" s="433"/>
      <c r="BC123" s="431" t="s">
        <v>16</v>
      </c>
      <c r="BD123" s="432"/>
      <c r="BE123" s="432"/>
      <c r="BF123" s="432"/>
      <c r="BG123" s="433"/>
      <c r="BH123" s="431" t="s">
        <v>14</v>
      </c>
      <c r="BI123" s="432"/>
      <c r="BJ123" s="432"/>
      <c r="BK123" s="432"/>
      <c r="BL123" s="433"/>
      <c r="BO123" s="157"/>
    </row>
    <row r="124" spans="1:67" ht="15.75" thickBot="1">
      <c r="A124" s="79" t="s">
        <v>5</v>
      </c>
      <c r="B124" s="33" t="s">
        <v>7</v>
      </c>
      <c r="C124" s="33" t="s">
        <v>4</v>
      </c>
      <c r="D124" s="33" t="s">
        <v>56</v>
      </c>
      <c r="E124" s="33"/>
      <c r="F124" s="34" t="s">
        <v>9</v>
      </c>
      <c r="G124" s="34" t="s">
        <v>0</v>
      </c>
      <c r="H124" s="43" t="s">
        <v>21</v>
      </c>
      <c r="I124" s="314" t="s">
        <v>29</v>
      </c>
      <c r="J124" s="43" t="s">
        <v>28</v>
      </c>
      <c r="K124" s="314" t="s">
        <v>22</v>
      </c>
      <c r="L124" s="43" t="s">
        <v>40</v>
      </c>
      <c r="M124" s="315" t="s">
        <v>21</v>
      </c>
      <c r="N124" s="316" t="s">
        <v>29</v>
      </c>
      <c r="O124" s="315" t="s">
        <v>28</v>
      </c>
      <c r="P124" s="316" t="s">
        <v>22</v>
      </c>
      <c r="Q124" s="315" t="s">
        <v>40</v>
      </c>
      <c r="R124" s="181"/>
      <c r="S124" s="181"/>
      <c r="T124" s="181"/>
      <c r="U124" s="181"/>
      <c r="V124" s="181"/>
      <c r="X124" s="122"/>
      <c r="Y124" s="71" t="s">
        <v>21</v>
      </c>
      <c r="Z124" s="43" t="s">
        <v>29</v>
      </c>
      <c r="AA124" s="43" t="s">
        <v>28</v>
      </c>
      <c r="AB124" s="43" t="s">
        <v>22</v>
      </c>
      <c r="AC124" s="67" t="s">
        <v>40</v>
      </c>
      <c r="AD124" s="71" t="s">
        <v>21</v>
      </c>
      <c r="AE124" s="43" t="s">
        <v>29</v>
      </c>
      <c r="AF124" s="43" t="s">
        <v>28</v>
      </c>
      <c r="AG124" s="43" t="s">
        <v>22</v>
      </c>
      <c r="AH124" s="67" t="s">
        <v>40</v>
      </c>
      <c r="AI124" s="71" t="s">
        <v>21</v>
      </c>
      <c r="AJ124" s="43" t="s">
        <v>29</v>
      </c>
      <c r="AK124" s="43" t="s">
        <v>28</v>
      </c>
      <c r="AL124" s="43" t="s">
        <v>22</v>
      </c>
      <c r="AM124" s="67" t="s">
        <v>40</v>
      </c>
      <c r="AN124" s="71" t="s">
        <v>21</v>
      </c>
      <c r="AO124" s="43" t="s">
        <v>29</v>
      </c>
      <c r="AP124" s="43" t="s">
        <v>28</v>
      </c>
      <c r="AQ124" s="43" t="s">
        <v>22</v>
      </c>
      <c r="AR124" s="67" t="s">
        <v>40</v>
      </c>
      <c r="AS124" s="71" t="s">
        <v>21</v>
      </c>
      <c r="AT124" s="43" t="s">
        <v>29</v>
      </c>
      <c r="AU124" s="43" t="s">
        <v>28</v>
      </c>
      <c r="AV124" s="43" t="s">
        <v>22</v>
      </c>
      <c r="AW124" s="67" t="s">
        <v>40</v>
      </c>
      <c r="AX124" s="71" t="s">
        <v>21</v>
      </c>
      <c r="AY124" s="43" t="s">
        <v>29</v>
      </c>
      <c r="AZ124" s="43" t="s">
        <v>28</v>
      </c>
      <c r="BA124" s="43" t="s">
        <v>22</v>
      </c>
      <c r="BB124" s="67"/>
      <c r="BC124" s="71" t="s">
        <v>21</v>
      </c>
      <c r="BD124" s="43" t="s">
        <v>29</v>
      </c>
      <c r="BE124" s="43" t="s">
        <v>28</v>
      </c>
      <c r="BF124" s="43" t="s">
        <v>22</v>
      </c>
      <c r="BG124" s="67"/>
      <c r="BH124" s="71" t="s">
        <v>21</v>
      </c>
      <c r="BI124" s="43" t="s">
        <v>29</v>
      </c>
      <c r="BJ124" s="43" t="s">
        <v>28</v>
      </c>
      <c r="BK124" s="43" t="s">
        <v>22</v>
      </c>
      <c r="BL124" s="67" t="s">
        <v>40</v>
      </c>
      <c r="BO124" s="157"/>
    </row>
    <row r="125" spans="1:67" ht="30">
      <c r="A125" s="112" t="s">
        <v>17</v>
      </c>
      <c r="B125" s="358" t="s">
        <v>363</v>
      </c>
      <c r="C125" s="113"/>
      <c r="D125" s="434" t="s">
        <v>346</v>
      </c>
      <c r="E125" s="434"/>
      <c r="F125" s="112" t="s">
        <v>364</v>
      </c>
      <c r="G125" s="106" t="s">
        <v>62</v>
      </c>
      <c r="H125" s="317"/>
      <c r="I125" s="318"/>
      <c r="J125" s="319"/>
      <c r="K125" s="326">
        <v>0</v>
      </c>
      <c r="L125" s="327">
        <v>8</v>
      </c>
      <c r="M125" s="321"/>
      <c r="N125" s="114"/>
      <c r="O125" s="322"/>
      <c r="P125" s="323"/>
      <c r="Q125" s="359">
        <v>8</v>
      </c>
      <c r="R125" s="181"/>
      <c r="S125" s="181"/>
      <c r="T125" s="181"/>
      <c r="U125" s="181"/>
      <c r="V125" s="181"/>
      <c r="X125" s="325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>
        <v>8</v>
      </c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O125" s="157"/>
    </row>
    <row r="126" spans="1:67" ht="23.25">
      <c r="A126" s="122"/>
      <c r="B126" s="348"/>
      <c r="C126" s="348"/>
      <c r="D126" s="181"/>
      <c r="E126" s="181"/>
      <c r="F126" s="181"/>
      <c r="G126" s="181"/>
      <c r="H126" s="360"/>
      <c r="I126" s="123"/>
      <c r="J126" s="123"/>
      <c r="K126" s="123"/>
      <c r="L126" s="121"/>
      <c r="M126" s="360"/>
      <c r="N126" s="122"/>
      <c r="O126" s="122"/>
      <c r="P126" s="122"/>
      <c r="Q126" s="122"/>
      <c r="R126" s="181"/>
      <c r="S126" s="181"/>
      <c r="T126" s="181"/>
      <c r="U126" s="181"/>
      <c r="V126" s="181"/>
      <c r="BO126" s="157"/>
    </row>
    <row r="127" spans="1:67" ht="21">
      <c r="A127" s="444" t="s">
        <v>365</v>
      </c>
      <c r="B127" s="445"/>
      <c r="C127" s="445"/>
      <c r="D127" s="446" t="s">
        <v>56</v>
      </c>
      <c r="E127" s="447"/>
      <c r="F127" s="283" t="s">
        <v>9</v>
      </c>
      <c r="G127" s="283" t="s">
        <v>0</v>
      </c>
      <c r="H127" s="181"/>
      <c r="I127" s="181"/>
      <c r="J127" s="181"/>
      <c r="K127" s="181"/>
      <c r="L127" s="121"/>
      <c r="M127" s="122"/>
      <c r="N127" s="101"/>
      <c r="O127" s="101"/>
      <c r="P127" s="101"/>
      <c r="Q127" s="101"/>
      <c r="R127" s="181"/>
      <c r="S127" s="181"/>
      <c r="T127" s="181"/>
      <c r="U127" s="181"/>
      <c r="V127" s="181"/>
      <c r="BO127" s="157"/>
    </row>
    <row r="128" spans="1:67" ht="15.75">
      <c r="A128" s="361" t="s">
        <v>64</v>
      </c>
      <c r="B128" s="434" t="s">
        <v>366</v>
      </c>
      <c r="C128" s="434"/>
      <c r="D128" s="434" t="s">
        <v>346</v>
      </c>
      <c r="E128" s="434"/>
      <c r="F128" s="112" t="s">
        <v>364</v>
      </c>
      <c r="G128" s="106" t="s">
        <v>62</v>
      </c>
      <c r="H128" s="181"/>
      <c r="I128" s="181"/>
      <c r="J128" s="181"/>
      <c r="K128" s="181"/>
      <c r="L128" s="121"/>
      <c r="M128" s="122"/>
      <c r="N128" s="122"/>
      <c r="O128" s="122"/>
      <c r="P128" s="122"/>
      <c r="Q128" s="362"/>
      <c r="R128" s="181"/>
      <c r="S128" s="181"/>
      <c r="T128" s="181"/>
      <c r="U128" s="181"/>
      <c r="V128" s="181"/>
      <c r="BO128" s="157"/>
    </row>
    <row r="129" spans="1:72">
      <c r="A129" s="361" t="s">
        <v>2</v>
      </c>
      <c r="B129" s="434" t="s">
        <v>367</v>
      </c>
      <c r="C129" s="434"/>
      <c r="D129" s="434" t="s">
        <v>346</v>
      </c>
      <c r="E129" s="434"/>
      <c r="F129" s="112" t="s">
        <v>364</v>
      </c>
      <c r="G129" s="106" t="s">
        <v>62</v>
      </c>
      <c r="H129" s="181"/>
      <c r="I129" s="181"/>
      <c r="J129" s="181"/>
      <c r="K129" s="181"/>
      <c r="L129" s="181"/>
      <c r="M129" s="181"/>
      <c r="N129" s="122"/>
      <c r="O129" s="122"/>
      <c r="P129" s="122"/>
      <c r="Q129" s="362"/>
      <c r="R129" s="181"/>
      <c r="S129" s="181"/>
      <c r="T129" s="181"/>
      <c r="U129" s="181"/>
      <c r="V129" s="181"/>
      <c r="BO129" s="157"/>
    </row>
    <row r="130" spans="1:72">
      <c r="A130" s="361" t="s">
        <v>3</v>
      </c>
      <c r="B130" s="434" t="s">
        <v>368</v>
      </c>
      <c r="C130" s="434"/>
      <c r="D130" s="434" t="s">
        <v>346</v>
      </c>
      <c r="E130" s="434"/>
      <c r="F130" s="112" t="s">
        <v>364</v>
      </c>
      <c r="G130" s="106" t="s">
        <v>62</v>
      </c>
      <c r="H130" s="363"/>
      <c r="I130" s="363"/>
      <c r="J130" s="363"/>
      <c r="K130" s="122"/>
      <c r="L130" s="122"/>
      <c r="M130" s="122"/>
      <c r="N130" s="122"/>
      <c r="O130" s="122"/>
      <c r="P130" s="122"/>
      <c r="Q130" s="362"/>
      <c r="R130" s="181"/>
      <c r="S130" s="181"/>
      <c r="T130" s="181"/>
      <c r="U130" s="181"/>
      <c r="V130" s="181"/>
      <c r="BO130" s="157"/>
    </row>
    <row r="131" spans="1:72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BO131" s="157"/>
    </row>
    <row r="132" spans="1:72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BO132" s="157"/>
    </row>
    <row r="133" spans="1:72">
      <c r="BO133" s="157"/>
    </row>
    <row r="134" spans="1:72" ht="24" thickBot="1">
      <c r="B134" s="328" t="s">
        <v>118</v>
      </c>
      <c r="C134" s="87" t="s">
        <v>335</v>
      </c>
      <c r="D134" s="88">
        <v>2019</v>
      </c>
      <c r="E134" s="89">
        <v>2020</v>
      </c>
      <c r="F134" s="348"/>
      <c r="G134" s="348"/>
      <c r="BP134" s="153"/>
      <c r="BQ134" s="153"/>
      <c r="BR134" s="153"/>
      <c r="BS134" s="153"/>
      <c r="BT134" s="153"/>
    </row>
    <row r="135" spans="1:72" ht="23.25">
      <c r="B135" s="329" t="s">
        <v>369</v>
      </c>
      <c r="C135" s="341">
        <f>C117+C69+C38+C13</f>
        <v>99238750</v>
      </c>
      <c r="D135" s="342">
        <f t="shared" ref="D135:E135" si="35">D117+D69+D38+D13</f>
        <v>171843125</v>
      </c>
      <c r="E135" s="343">
        <f t="shared" si="35"/>
        <v>171843125</v>
      </c>
      <c r="F135" s="348"/>
      <c r="G135" s="348"/>
      <c r="H135" s="159">
        <f>SUM(C135:G135)</f>
        <v>442925000</v>
      </c>
      <c r="BP135" s="153"/>
      <c r="BQ135" s="153"/>
      <c r="BR135" s="153"/>
      <c r="BS135" s="153"/>
      <c r="BT135" s="153"/>
    </row>
    <row r="136" spans="1:72" ht="23.25">
      <c r="B136" s="344" t="s">
        <v>24</v>
      </c>
      <c r="C136" s="345">
        <f>AVERAGE(C118,C70,C39,C14)</f>
        <v>0.33640449119157356</v>
      </c>
      <c r="D136" s="346">
        <f>AVERAGE(D118,D70,D39,D14)</f>
        <v>0.33640449119157356</v>
      </c>
      <c r="E136" s="311" t="s">
        <v>39</v>
      </c>
      <c r="F136" s="348"/>
      <c r="G136" s="348"/>
      <c r="H136" s="130"/>
    </row>
    <row r="137" spans="1:72" ht="23.25">
      <c r="B137" s="344" t="s">
        <v>25</v>
      </c>
      <c r="C137" s="345">
        <f>AVERAGE(C119,C71,C40,C15)</f>
        <v>0.66359550880842644</v>
      </c>
      <c r="D137" s="346">
        <f>AVERAGE(D119,D71,D40,D15)</f>
        <v>0.66359550880842644</v>
      </c>
      <c r="E137" s="311" t="s">
        <v>39</v>
      </c>
      <c r="F137" s="348"/>
      <c r="G137" s="348"/>
    </row>
    <row r="139" spans="1:72">
      <c r="BP139" s="153"/>
      <c r="BQ139" s="153"/>
      <c r="BR139" s="153"/>
      <c r="BS139" s="153"/>
      <c r="BT139" s="153"/>
    </row>
    <row r="140" spans="1:72">
      <c r="BP140" s="153"/>
      <c r="BQ140" s="153"/>
      <c r="BR140" s="153"/>
      <c r="BS140" s="153"/>
      <c r="BT140" s="153"/>
    </row>
    <row r="141" spans="1:72">
      <c r="BP141" s="153"/>
      <c r="BQ141" s="153"/>
      <c r="BR141" s="153"/>
      <c r="BS141" s="153"/>
      <c r="BT141" s="153"/>
    </row>
    <row r="142" spans="1:72">
      <c r="BP142" s="153"/>
      <c r="BQ142" s="153"/>
      <c r="BR142" s="153"/>
      <c r="BS142" s="153"/>
      <c r="BT142" s="153"/>
    </row>
    <row r="143" spans="1:72" ht="15.75">
      <c r="H143" s="120">
        <f>H102+H88+H52*5+H47*5+H21+H20</f>
        <v>492464.47499999998</v>
      </c>
      <c r="I143" s="120"/>
      <c r="J143" s="120"/>
      <c r="K143" s="120">
        <f>K102+K88+K52*5+K47*5+K20</f>
        <v>626707.22499999998</v>
      </c>
      <c r="M143" s="120">
        <f>M102+M88+M52*5+M47*5+M21+M20</f>
        <v>1170674.7625</v>
      </c>
      <c r="N143" s="120"/>
      <c r="O143" s="120"/>
      <c r="P143" s="120">
        <f>P102+P88+P52*5+P47*5+P20</f>
        <v>1225853.3875</v>
      </c>
      <c r="BP143" s="153"/>
      <c r="BQ143" s="153"/>
      <c r="BR143" s="153"/>
      <c r="BS143" s="153"/>
      <c r="BT143" s="153"/>
    </row>
    <row r="144" spans="1:72" ht="15.75">
      <c r="H144" s="182">
        <f>H143/1500000</f>
        <v>0.32830965000000001</v>
      </c>
      <c r="I144" s="120"/>
      <c r="J144" s="120"/>
      <c r="K144" s="183">
        <f>K143/1500000</f>
        <v>0.41780481666666663</v>
      </c>
      <c r="BP144" s="153"/>
      <c r="BQ144" s="153"/>
      <c r="BR144" s="153"/>
      <c r="BS144" s="153"/>
      <c r="BT144" s="153"/>
    </row>
    <row r="146" spans="68:72">
      <c r="BP146" s="153"/>
      <c r="BQ146" s="153"/>
      <c r="BR146" s="153"/>
      <c r="BS146" s="153"/>
      <c r="BT146" s="153"/>
    </row>
    <row r="147" spans="68:72">
      <c r="BP147" s="153"/>
      <c r="BQ147" s="153"/>
      <c r="BR147" s="153"/>
      <c r="BS147" s="153"/>
      <c r="BT147" s="153"/>
    </row>
    <row r="148" spans="68:72">
      <c r="BP148" s="153"/>
      <c r="BQ148" s="153"/>
      <c r="BR148" s="153"/>
      <c r="BS148" s="153"/>
      <c r="BT148" s="153"/>
    </row>
    <row r="150" spans="68:72">
      <c r="BP150" s="153"/>
      <c r="BQ150" s="153"/>
      <c r="BR150" s="153"/>
      <c r="BS150" s="153"/>
      <c r="BT150" s="153"/>
    </row>
    <row r="151" spans="68:72">
      <c r="BP151" s="153"/>
      <c r="BQ151" s="153"/>
      <c r="BR151" s="153"/>
      <c r="BS151" s="153"/>
      <c r="BT151" s="153"/>
    </row>
    <row r="152" spans="68:72">
      <c r="BP152" s="153"/>
      <c r="BQ152" s="153"/>
      <c r="BR152" s="153"/>
      <c r="BS152" s="153"/>
      <c r="BT152" s="153"/>
    </row>
    <row r="153" spans="68:72">
      <c r="BP153" s="153"/>
      <c r="BQ153" s="153"/>
      <c r="BR153" s="153"/>
      <c r="BS153" s="153"/>
      <c r="BT153" s="153"/>
    </row>
  </sheetData>
  <mergeCells count="212">
    <mergeCell ref="R33:V33"/>
    <mergeCell ref="R43:V43"/>
    <mergeCell ref="R8:V8"/>
    <mergeCell ref="R63:V63"/>
    <mergeCell ref="R84:V84"/>
    <mergeCell ref="R98:V98"/>
    <mergeCell ref="R112:V112"/>
    <mergeCell ref="AN104:AR104"/>
    <mergeCell ref="AS104:AW104"/>
    <mergeCell ref="AI90:AM90"/>
    <mergeCell ref="AN90:AR90"/>
    <mergeCell ref="AS90:AW90"/>
    <mergeCell ref="Q68:V68"/>
    <mergeCell ref="AX104:BB104"/>
    <mergeCell ref="BC104:BG104"/>
    <mergeCell ref="BH104:BL104"/>
    <mergeCell ref="A104:C104"/>
    <mergeCell ref="Y104:AC104"/>
    <mergeCell ref="AD104:AH104"/>
    <mergeCell ref="AI104:AM104"/>
    <mergeCell ref="AD98:AH98"/>
    <mergeCell ref="AI98:AM98"/>
    <mergeCell ref="AN98:AR98"/>
    <mergeCell ref="AS98:AW98"/>
    <mergeCell ref="AX98:BB98"/>
    <mergeCell ref="A98:G98"/>
    <mergeCell ref="H98:L98"/>
    <mergeCell ref="M98:Q98"/>
    <mergeCell ref="Y98:AC98"/>
    <mergeCell ref="D104:E104"/>
    <mergeCell ref="AX90:BB90"/>
    <mergeCell ref="BC90:BG90"/>
    <mergeCell ref="A90:C90"/>
    <mergeCell ref="Y90:AC90"/>
    <mergeCell ref="AD90:AH90"/>
    <mergeCell ref="B94:C94"/>
    <mergeCell ref="D91:E91"/>
    <mergeCell ref="D92:E92"/>
    <mergeCell ref="D93:E93"/>
    <mergeCell ref="D94:E94"/>
    <mergeCell ref="B91:C91"/>
    <mergeCell ref="B92:C92"/>
    <mergeCell ref="B93:C93"/>
    <mergeCell ref="AX84:BB84"/>
    <mergeCell ref="Y84:AC84"/>
    <mergeCell ref="AD84:AH84"/>
    <mergeCell ref="AI84:AM84"/>
    <mergeCell ref="AN84:AR84"/>
    <mergeCell ref="AS84:AW84"/>
    <mergeCell ref="A84:G84"/>
    <mergeCell ref="H84:L84"/>
    <mergeCell ref="M84:Q84"/>
    <mergeCell ref="BH54:BL54"/>
    <mergeCell ref="Y54:AC54"/>
    <mergeCell ref="AD54:AH54"/>
    <mergeCell ref="D47:E47"/>
    <mergeCell ref="D50:E50"/>
    <mergeCell ref="D52:E52"/>
    <mergeCell ref="AI54:AM54"/>
    <mergeCell ref="AN54:AR54"/>
    <mergeCell ref="AS54:AW54"/>
    <mergeCell ref="AX54:BB54"/>
    <mergeCell ref="B56:C56"/>
    <mergeCell ref="B57:C57"/>
    <mergeCell ref="B58:C58"/>
    <mergeCell ref="B59:C59"/>
    <mergeCell ref="D54:E54"/>
    <mergeCell ref="D55:E55"/>
    <mergeCell ref="D56:E56"/>
    <mergeCell ref="D49:E49"/>
    <mergeCell ref="D51:E51"/>
    <mergeCell ref="D57:E57"/>
    <mergeCell ref="D58:E58"/>
    <mergeCell ref="D59:E59"/>
    <mergeCell ref="A1:W1"/>
    <mergeCell ref="Q12:V12"/>
    <mergeCell ref="A18:G18"/>
    <mergeCell ref="H18:L18"/>
    <mergeCell ref="M18:Q18"/>
    <mergeCell ref="D3:E3"/>
    <mergeCell ref="D4:E4"/>
    <mergeCell ref="D5:E5"/>
    <mergeCell ref="A7:D7"/>
    <mergeCell ref="T2:W2"/>
    <mergeCell ref="A8:G8"/>
    <mergeCell ref="H8:L8"/>
    <mergeCell ref="M8:Q8"/>
    <mergeCell ref="D9:E9"/>
    <mergeCell ref="D10:E10"/>
    <mergeCell ref="A17:G17"/>
    <mergeCell ref="H2:L2"/>
    <mergeCell ref="M2:Q2"/>
    <mergeCell ref="R18:V18"/>
    <mergeCell ref="BH90:BL90"/>
    <mergeCell ref="BC98:BG98"/>
    <mergeCell ref="BH98:BL98"/>
    <mergeCell ref="BH25:BL25"/>
    <mergeCell ref="AX25:BB25"/>
    <mergeCell ref="A25:C25"/>
    <mergeCell ref="D45:E45"/>
    <mergeCell ref="AS43:AW43"/>
    <mergeCell ref="AX43:BB43"/>
    <mergeCell ref="Y43:AC43"/>
    <mergeCell ref="AD43:AH43"/>
    <mergeCell ref="AI43:AM43"/>
    <mergeCell ref="AN43:AR43"/>
    <mergeCell ref="A43:G43"/>
    <mergeCell ref="B26:C26"/>
    <mergeCell ref="B27:C27"/>
    <mergeCell ref="B28:C28"/>
    <mergeCell ref="B29:C29"/>
    <mergeCell ref="Y25:AC25"/>
    <mergeCell ref="AD25:AH25"/>
    <mergeCell ref="AI25:AM25"/>
    <mergeCell ref="AN25:AR25"/>
    <mergeCell ref="AS25:AW25"/>
    <mergeCell ref="H33:L33"/>
    <mergeCell ref="BC84:BG84"/>
    <mergeCell ref="BH84:BL84"/>
    <mergeCell ref="D85:E85"/>
    <mergeCell ref="M33:Q33"/>
    <mergeCell ref="A42:G42"/>
    <mergeCell ref="AX18:BB18"/>
    <mergeCell ref="D22:E22"/>
    <mergeCell ref="Y18:AC18"/>
    <mergeCell ref="AD18:AH18"/>
    <mergeCell ref="AI18:AM18"/>
    <mergeCell ref="AN18:AR18"/>
    <mergeCell ref="BC54:BG54"/>
    <mergeCell ref="A32:D32"/>
    <mergeCell ref="Q37:V37"/>
    <mergeCell ref="D25:E25"/>
    <mergeCell ref="BC25:BG25"/>
    <mergeCell ref="D23:E23"/>
    <mergeCell ref="D44:E44"/>
    <mergeCell ref="D19:E19"/>
    <mergeCell ref="D20:E20"/>
    <mergeCell ref="D21:E21"/>
    <mergeCell ref="AS18:AW18"/>
    <mergeCell ref="D46:E46"/>
    <mergeCell ref="D48:E48"/>
    <mergeCell ref="D60:E60"/>
    <mergeCell ref="A63:G63"/>
    <mergeCell ref="D64:E64"/>
    <mergeCell ref="D65:E65"/>
    <mergeCell ref="D66:E66"/>
    <mergeCell ref="A62:E62"/>
    <mergeCell ref="BH18:BL18"/>
    <mergeCell ref="H43:L43"/>
    <mergeCell ref="M43:Q43"/>
    <mergeCell ref="BC43:BG43"/>
    <mergeCell ref="BC18:BG18"/>
    <mergeCell ref="D26:E26"/>
    <mergeCell ref="D27:E27"/>
    <mergeCell ref="D28:E28"/>
    <mergeCell ref="D29:E29"/>
    <mergeCell ref="A33:G33"/>
    <mergeCell ref="D34:E34"/>
    <mergeCell ref="D35:E35"/>
    <mergeCell ref="A54:C54"/>
    <mergeCell ref="B60:C60"/>
    <mergeCell ref="BH43:BL43"/>
    <mergeCell ref="B55:C55"/>
    <mergeCell ref="H63:L63"/>
    <mergeCell ref="M63:Q63"/>
    <mergeCell ref="A83:G83"/>
    <mergeCell ref="D90:E90"/>
    <mergeCell ref="D101:E101"/>
    <mergeCell ref="D87:E87"/>
    <mergeCell ref="B105:C105"/>
    <mergeCell ref="B107:C107"/>
    <mergeCell ref="B108:C108"/>
    <mergeCell ref="D86:E86"/>
    <mergeCell ref="D88:E88"/>
    <mergeCell ref="D102:E102"/>
    <mergeCell ref="A111:F111"/>
    <mergeCell ref="A112:G112"/>
    <mergeCell ref="H112:L112"/>
    <mergeCell ref="M112:Q112"/>
    <mergeCell ref="D113:E113"/>
    <mergeCell ref="D114:E114"/>
    <mergeCell ref="Q116:V116"/>
    <mergeCell ref="D95:E95"/>
    <mergeCell ref="A97:G97"/>
    <mergeCell ref="D99:E99"/>
    <mergeCell ref="D100:E100"/>
    <mergeCell ref="B95:C95"/>
    <mergeCell ref="D105:E105"/>
    <mergeCell ref="D106:E106"/>
    <mergeCell ref="D107:E107"/>
    <mergeCell ref="D108:E108"/>
    <mergeCell ref="B129:C129"/>
    <mergeCell ref="D129:E129"/>
    <mergeCell ref="B130:C130"/>
    <mergeCell ref="D130:E130"/>
    <mergeCell ref="A122:G122"/>
    <mergeCell ref="A123:G123"/>
    <mergeCell ref="H123:L123"/>
    <mergeCell ref="M123:Q123"/>
    <mergeCell ref="D125:E125"/>
    <mergeCell ref="A127:C127"/>
    <mergeCell ref="D127:E127"/>
    <mergeCell ref="Y123:AC123"/>
    <mergeCell ref="AD123:AH123"/>
    <mergeCell ref="AI123:AM123"/>
    <mergeCell ref="AN123:AR123"/>
    <mergeCell ref="AS123:AW123"/>
    <mergeCell ref="AX123:BB123"/>
    <mergeCell ref="BC123:BG123"/>
    <mergeCell ref="BH123:BL123"/>
    <mergeCell ref="B128:C128"/>
    <mergeCell ref="D128:E128"/>
  </mergeCells>
  <pageMargins left="0.7" right="0.7" top="0.75" bottom="0.75" header="0.3" footer="0.3"/>
  <pageSetup paperSize="9" scale="37" fitToWidth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153"/>
  <sheetViews>
    <sheetView showGridLines="0" topLeftCell="A66" zoomScale="90" zoomScaleNormal="90" zoomScalePageLayoutView="90" workbookViewId="0">
      <selection activeCell="F79" sqref="F79:G79"/>
    </sheetView>
  </sheetViews>
  <sheetFormatPr defaultColWidth="9.140625" defaultRowHeight="15" outlineLevelRow="1"/>
  <cols>
    <col min="1" max="1" width="14.42578125" customWidth="1"/>
    <col min="2" max="2" width="47.7109375" customWidth="1"/>
    <col min="3" max="3" width="55.42578125" customWidth="1"/>
    <col min="4" max="4" width="36.28515625" customWidth="1"/>
    <col min="5" max="5" width="20.42578125" customWidth="1"/>
    <col min="6" max="6" width="17.7109375" customWidth="1"/>
    <col min="7" max="7" width="14.42578125" customWidth="1"/>
    <col min="8" max="23" width="10.28515625" customWidth="1"/>
    <col min="24" max="45" width="8" customWidth="1"/>
    <col min="67" max="67" width="24.42578125" bestFit="1" customWidth="1"/>
    <col min="68" max="68" width="40.7109375" bestFit="1" customWidth="1"/>
    <col min="69" max="69" width="5" bestFit="1" customWidth="1"/>
    <col min="70" max="70" width="8.42578125" bestFit="1" customWidth="1"/>
    <col min="71" max="71" width="19.140625" bestFit="1" customWidth="1"/>
    <col min="72" max="75" width="14.85546875" customWidth="1"/>
    <col min="77" max="77" width="12.28515625" customWidth="1"/>
    <col min="78" max="78" width="27.28515625" customWidth="1"/>
    <col min="79" max="79" width="18.28515625" customWidth="1"/>
    <col min="80" max="80" width="12.28515625" customWidth="1"/>
  </cols>
  <sheetData>
    <row r="1" spans="1:80" ht="60" customHeight="1">
      <c r="A1" s="472" t="s">
        <v>324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49"/>
      <c r="BJ1" s="49"/>
      <c r="BK1" s="49"/>
      <c r="BL1" s="49"/>
    </row>
    <row r="2" spans="1:80" ht="18.75" customHeight="1">
      <c r="A2" s="49"/>
      <c r="B2" s="78"/>
      <c r="C2" s="78"/>
      <c r="D2" s="78"/>
      <c r="E2" s="78"/>
      <c r="F2" s="78"/>
      <c r="G2" s="78"/>
      <c r="H2" s="474" t="s">
        <v>156</v>
      </c>
      <c r="I2" s="474"/>
      <c r="J2" s="474"/>
      <c r="K2" s="474"/>
      <c r="L2" s="474" t="s">
        <v>157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80" s="181" customFormat="1" ht="33" customHeight="1" thickBot="1">
      <c r="A3" s="79" t="s">
        <v>5</v>
      </c>
      <c r="B3" s="33" t="s">
        <v>370</v>
      </c>
      <c r="C3" s="33" t="s">
        <v>4</v>
      </c>
      <c r="D3" s="450" t="s">
        <v>32</v>
      </c>
      <c r="E3" s="451"/>
      <c r="F3" s="34" t="s">
        <v>9</v>
      </c>
      <c r="G3" s="402" t="s">
        <v>0</v>
      </c>
      <c r="H3" s="365" t="s">
        <v>1</v>
      </c>
      <c r="I3" s="366" t="s">
        <v>37</v>
      </c>
      <c r="J3" s="367" t="s">
        <v>38</v>
      </c>
      <c r="K3" s="368" t="s">
        <v>55</v>
      </c>
      <c r="L3" s="369" t="s">
        <v>1</v>
      </c>
      <c r="M3" s="366" t="s">
        <v>37</v>
      </c>
      <c r="N3" s="367" t="s">
        <v>38</v>
      </c>
      <c r="O3" s="370" t="s">
        <v>55</v>
      </c>
      <c r="P3" s="313"/>
      <c r="Q3" s="313"/>
      <c r="R3" s="313"/>
      <c r="S3" s="313"/>
      <c r="T3" s="313"/>
      <c r="U3" s="313"/>
      <c r="V3" s="313"/>
      <c r="W3" s="313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</row>
    <row r="4" spans="1:80" s="116" customFormat="1" ht="62.1" customHeight="1">
      <c r="A4" s="108" t="s">
        <v>17</v>
      </c>
      <c r="B4" s="106" t="s">
        <v>58</v>
      </c>
      <c r="C4" s="106" t="s">
        <v>371</v>
      </c>
      <c r="D4" s="452" t="s">
        <v>61</v>
      </c>
      <c r="E4" s="453"/>
      <c r="F4" s="106" t="s">
        <v>20</v>
      </c>
      <c r="G4" s="113" t="s">
        <v>330</v>
      </c>
      <c r="H4" s="177">
        <v>0</v>
      </c>
      <c r="I4" s="175"/>
      <c r="J4" s="371">
        <f>(P18+P46*4)/1500000</f>
        <v>3.5593493333333337E-2</v>
      </c>
      <c r="K4" s="372" t="e">
        <f>K5</f>
        <v>#REF!</v>
      </c>
      <c r="L4" s="179">
        <v>0</v>
      </c>
      <c r="M4" s="175"/>
      <c r="N4" s="371" t="e">
        <f>(M18+M46*5)/1500000</f>
        <v>#VALUE!</v>
      </c>
      <c r="O4" s="372" t="e">
        <f>O5</f>
        <v>#REF!</v>
      </c>
      <c r="P4" s="313"/>
      <c r="Q4" s="313"/>
      <c r="R4" s="313"/>
      <c r="S4" s="313"/>
      <c r="T4" s="313"/>
      <c r="U4" s="313"/>
      <c r="V4" s="313"/>
      <c r="W4" s="313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80" s="116" customFormat="1" ht="53.1" customHeight="1">
      <c r="A5" s="112" t="s">
        <v>18</v>
      </c>
      <c r="B5" s="106" t="s">
        <v>57</v>
      </c>
      <c r="C5" s="106" t="s">
        <v>60</v>
      </c>
      <c r="D5" s="461" t="s">
        <v>61</v>
      </c>
      <c r="E5" s="462"/>
      <c r="F5" s="106" t="s">
        <v>20</v>
      </c>
      <c r="G5" s="113" t="s">
        <v>330</v>
      </c>
      <c r="H5" s="176">
        <v>0</v>
      </c>
      <c r="I5" s="175" t="e">
        <f>('[1]Kamal Original'!H68+'[1]Kamal Original'!I68)*'[1]Kamal Original'!F67/1500000</f>
        <v>#REF!</v>
      </c>
      <c r="J5" s="373" t="e">
        <f>(('[1]Kamal Original'!M68+'[1]Kamal Original'!N68)*'[1]Kamal Original'!F67/1500000)+I5</f>
        <v>#REF!</v>
      </c>
      <c r="K5" s="174" t="e">
        <f>('[1]Kamal Original'!AB68+'[1]Kamal Original'!AC68)*'[1]Kamal Original'!F67/1500000</f>
        <v>#REF!</v>
      </c>
      <c r="L5" s="178">
        <v>0</v>
      </c>
      <c r="M5" s="173" t="e">
        <f>('[1]Kamal Original'!H68+'[1]Kamal Original'!I68)*'[1]Kamal Original'!G67/1500000</f>
        <v>#REF!</v>
      </c>
      <c r="N5" s="373" t="e">
        <f>(('[1]Kamal Original'!M68+'[1]Kamal Original'!N68)*'[1]Kamal Original'!G67/1500000)+M5</f>
        <v>#REF!</v>
      </c>
      <c r="O5" s="174" t="e">
        <f>('[1]Kamal Original'!AB68+'[1]Kamal Original'!AC68)*'[1]Kamal Original'!G67/1500000</f>
        <v>#REF!</v>
      </c>
      <c r="P5" s="313"/>
      <c r="Q5" s="313"/>
      <c r="R5" s="313"/>
      <c r="S5" s="313"/>
      <c r="T5" s="313"/>
      <c r="U5" s="313"/>
      <c r="V5" s="313"/>
      <c r="W5" s="313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80" s="1" customFormat="1">
      <c r="A6" s="7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80" s="116" customFormat="1" ht="27.75" customHeight="1">
      <c r="A7" s="449" t="s">
        <v>388</v>
      </c>
      <c r="B7" s="449"/>
      <c r="C7" s="449"/>
      <c r="D7" s="449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115"/>
      <c r="BJ7" s="115"/>
      <c r="BK7" s="115"/>
      <c r="BL7" s="115"/>
    </row>
    <row r="8" spans="1:80" s="116" customFormat="1" ht="27.75" customHeight="1">
      <c r="A8" s="436" t="s">
        <v>325</v>
      </c>
      <c r="B8" s="436"/>
      <c r="C8" s="436"/>
      <c r="D8" s="436"/>
      <c r="E8" s="436"/>
      <c r="F8" s="436"/>
      <c r="G8" s="437"/>
      <c r="H8" s="439" t="s">
        <v>331</v>
      </c>
      <c r="I8" s="439"/>
      <c r="J8" s="439"/>
      <c r="K8" s="439"/>
      <c r="L8" s="440"/>
      <c r="M8" s="441" t="s">
        <v>332</v>
      </c>
      <c r="N8" s="442"/>
      <c r="O8" s="442"/>
      <c r="P8" s="442"/>
      <c r="Q8" s="44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</row>
    <row r="9" spans="1:80" s="181" customFormat="1" ht="29.45" customHeight="1" outlineLevel="1" thickBot="1">
      <c r="A9" s="79" t="s">
        <v>5</v>
      </c>
      <c r="B9" s="33" t="s">
        <v>326</v>
      </c>
      <c r="C9" s="33" t="s">
        <v>4</v>
      </c>
      <c r="D9" s="450" t="s">
        <v>56</v>
      </c>
      <c r="E9" s="451"/>
      <c r="F9" s="34" t="s">
        <v>9</v>
      </c>
      <c r="G9" s="34" t="s">
        <v>0</v>
      </c>
      <c r="H9" s="43" t="s">
        <v>21</v>
      </c>
      <c r="I9" s="314" t="s">
        <v>29</v>
      </c>
      <c r="J9" s="43" t="s">
        <v>28</v>
      </c>
      <c r="K9" s="314" t="s">
        <v>22</v>
      </c>
      <c r="L9" s="43" t="s">
        <v>40</v>
      </c>
      <c r="M9" s="315" t="s">
        <v>21</v>
      </c>
      <c r="N9" s="316" t="s">
        <v>29</v>
      </c>
      <c r="O9" s="315" t="s">
        <v>28</v>
      </c>
      <c r="P9" s="316" t="s">
        <v>22</v>
      </c>
      <c r="Q9" s="315" t="s">
        <v>40</v>
      </c>
      <c r="R9" s="122"/>
      <c r="S9" s="122"/>
      <c r="T9" s="122"/>
      <c r="U9" s="122"/>
      <c r="V9" s="122"/>
      <c r="W9" s="122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</row>
    <row r="10" spans="1:80" s="181" customFormat="1" ht="33" customHeight="1" outlineLevel="1">
      <c r="A10" s="112" t="s">
        <v>17</v>
      </c>
      <c r="B10" s="106" t="s">
        <v>327</v>
      </c>
      <c r="C10" s="106"/>
      <c r="D10" s="468" t="s">
        <v>328</v>
      </c>
      <c r="E10" s="468"/>
      <c r="F10" s="106" t="s">
        <v>329</v>
      </c>
      <c r="G10" s="106" t="s">
        <v>330</v>
      </c>
      <c r="H10" s="317"/>
      <c r="I10" s="318"/>
      <c r="J10" s="319"/>
      <c r="K10" s="320"/>
      <c r="L10" s="327">
        <v>116300</v>
      </c>
      <c r="M10" s="321"/>
      <c r="N10" s="114"/>
      <c r="O10" s="322"/>
      <c r="P10" s="323"/>
      <c r="Q10" s="324">
        <v>310000</v>
      </c>
      <c r="R10" s="122"/>
      <c r="S10" s="122"/>
      <c r="T10" s="122"/>
      <c r="U10" s="122"/>
      <c r="V10" s="122"/>
      <c r="W10" s="122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</row>
    <row r="11" spans="1:80" s="12" customFormat="1" ht="27.75" customHeight="1">
      <c r="A11" s="84"/>
      <c r="B11" s="84"/>
      <c r="C11" s="84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80" s="1" customFormat="1" ht="29.25" customHeight="1" outlineLevel="1" thickBot="1">
      <c r="A12" s="49"/>
      <c r="B12" s="328" t="s">
        <v>333</v>
      </c>
      <c r="C12" s="87" t="s">
        <v>335</v>
      </c>
      <c r="D12" s="88">
        <v>2019</v>
      </c>
      <c r="E12" s="89">
        <v>2020</v>
      </c>
      <c r="F12" s="491">
        <v>2021</v>
      </c>
      <c r="G12" s="492"/>
      <c r="H12" s="78"/>
      <c r="I12" s="78"/>
      <c r="J12" s="78"/>
      <c r="K12" s="78"/>
      <c r="L12" s="78"/>
      <c r="M12" s="78"/>
      <c r="N12" s="7"/>
      <c r="O12" s="7"/>
      <c r="P12" s="7"/>
      <c r="Q12" s="470"/>
      <c r="R12" s="470"/>
      <c r="S12" s="470"/>
      <c r="T12" s="470"/>
      <c r="U12" s="470"/>
      <c r="V12" s="470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80" s="1" customFormat="1" ht="23.45" customHeight="1" outlineLevel="1">
      <c r="A13" s="7"/>
      <c r="B13" s="329" t="s">
        <v>334</v>
      </c>
      <c r="C13" s="90">
        <f>260750000*0.15</f>
        <v>39112500</v>
      </c>
      <c r="D13" s="91">
        <f>260750000*0.3</f>
        <v>78225000</v>
      </c>
      <c r="E13" s="409">
        <f>260750000*0.3</f>
        <v>78225000</v>
      </c>
      <c r="F13" s="493">
        <f>260750000*0.25</f>
        <v>65187500</v>
      </c>
      <c r="G13" s="494"/>
      <c r="H13" s="78"/>
      <c r="I13" s="78"/>
      <c r="J13" s="78"/>
      <c r="K13" s="78"/>
      <c r="L13" s="78"/>
      <c r="M13" s="78"/>
      <c r="N13" s="7"/>
      <c r="O13" s="7"/>
      <c r="P13" s="410"/>
      <c r="Q13" s="410"/>
      <c r="R13" s="410"/>
      <c r="S13" s="410"/>
      <c r="T13" s="410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80" s="1" customFormat="1" ht="23.45" customHeight="1" outlineLevel="1" thickBot="1">
      <c r="A14" s="49"/>
      <c r="B14" s="93" t="s">
        <v>24</v>
      </c>
      <c r="C14" s="94">
        <f>H24</f>
        <v>0.55555555555555558</v>
      </c>
      <c r="D14" s="95">
        <v>0.55555555555555558</v>
      </c>
      <c r="E14" s="407" t="s">
        <v>39</v>
      </c>
      <c r="F14" s="495" t="s">
        <v>39</v>
      </c>
      <c r="G14" s="496"/>
      <c r="H14" s="78"/>
      <c r="I14" s="78"/>
      <c r="J14" s="78"/>
      <c r="K14" s="78"/>
      <c r="L14" s="78"/>
      <c r="M14" s="78"/>
      <c r="N14" s="78"/>
      <c r="O14" s="78"/>
      <c r="P14" s="78"/>
      <c r="Q14" s="7"/>
      <c r="R14" s="7"/>
      <c r="S14" s="7"/>
      <c r="T14" s="410"/>
      <c r="U14" s="410"/>
      <c r="V14" s="410"/>
      <c r="W14" s="410"/>
      <c r="X14" s="410"/>
      <c r="Y14" s="410"/>
      <c r="Z14" s="410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80" s="1" customFormat="1" ht="23.45" customHeight="1" outlineLevel="1" thickBot="1">
      <c r="A15" s="49"/>
      <c r="B15" s="93" t="s">
        <v>25</v>
      </c>
      <c r="C15" s="94">
        <f>1-C14</f>
        <v>0.44444444444444442</v>
      </c>
      <c r="D15" s="95">
        <v>0.44444444444444442</v>
      </c>
      <c r="E15" s="407" t="s">
        <v>39</v>
      </c>
      <c r="F15" s="495" t="s">
        <v>39</v>
      </c>
      <c r="G15" s="496"/>
      <c r="H15" s="78"/>
      <c r="I15" s="78"/>
      <c r="J15" s="78"/>
      <c r="K15" s="78"/>
      <c r="L15" s="78"/>
      <c r="M15" s="78"/>
      <c r="N15" s="78"/>
      <c r="O15" s="78"/>
      <c r="P15" s="78"/>
      <c r="Q15" s="7"/>
      <c r="R15" s="7"/>
      <c r="S15" s="7"/>
      <c r="T15" s="410"/>
      <c r="U15" s="410"/>
      <c r="V15" s="410"/>
      <c r="W15" s="410"/>
      <c r="X15" s="410"/>
      <c r="Y15" s="132">
        <v>0.1</v>
      </c>
      <c r="Z15" s="7"/>
      <c r="AA15" s="7"/>
      <c r="AB15" s="132">
        <v>6.6000000000000003E-2</v>
      </c>
      <c r="AC15" s="7"/>
      <c r="AD15" s="132">
        <v>0.15</v>
      </c>
      <c r="AE15" s="7"/>
      <c r="AF15" s="7"/>
      <c r="AG15" s="132">
        <v>0.13800000000000001</v>
      </c>
      <c r="AH15" s="7"/>
      <c r="AI15" s="132">
        <v>0.26</v>
      </c>
      <c r="AJ15" s="7"/>
      <c r="AK15" s="7"/>
      <c r="AL15" s="132">
        <v>0.374</v>
      </c>
      <c r="AM15" s="7"/>
      <c r="AN15" s="132">
        <v>0.02</v>
      </c>
      <c r="AO15" s="7"/>
      <c r="AP15" s="7"/>
      <c r="AQ15" s="132">
        <v>0.1</v>
      </c>
      <c r="AR15" s="7"/>
      <c r="AS15" s="132">
        <v>0.23</v>
      </c>
      <c r="AT15" s="7"/>
      <c r="AU15" s="7"/>
      <c r="AV15" s="132">
        <v>6.9000000000000006E-2</v>
      </c>
      <c r="AW15" s="7"/>
      <c r="AX15" s="132">
        <v>0.12</v>
      </c>
      <c r="AY15" s="7"/>
      <c r="AZ15" s="7"/>
      <c r="BA15" s="132">
        <v>6.8000000000000005E-2</v>
      </c>
      <c r="BB15" s="7"/>
      <c r="BC15" s="132">
        <v>7.0000000000000007E-2</v>
      </c>
      <c r="BD15" s="7"/>
      <c r="BE15" s="7"/>
      <c r="BF15" s="132">
        <v>0.11700000000000001</v>
      </c>
      <c r="BG15" s="7"/>
      <c r="BH15" s="132">
        <v>0.04</v>
      </c>
      <c r="BK15" s="132">
        <v>6.8000000000000005E-2</v>
      </c>
      <c r="BL15" s="7"/>
      <c r="BY15" s="127"/>
      <c r="BZ15" s="161" t="s">
        <v>127</v>
      </c>
      <c r="CA15" s="127"/>
      <c r="CB15" s="127"/>
    </row>
    <row r="16" spans="1:80" s="1" customFormat="1" ht="19.5" customHeight="1" outlineLevel="1" thickBot="1">
      <c r="A16" s="49"/>
      <c r="B16" s="3"/>
      <c r="C16" s="3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"/>
      <c r="R16" s="7"/>
      <c r="S16" s="7"/>
      <c r="T16" s="7"/>
      <c r="U16" s="7"/>
      <c r="V16" s="7"/>
      <c r="W16" s="7"/>
      <c r="X16" s="86" t="s">
        <v>336</v>
      </c>
      <c r="Y16" s="6"/>
      <c r="Z16" s="6"/>
      <c r="AA16" s="6"/>
      <c r="AB16" s="6"/>
      <c r="AC16" s="6"/>
      <c r="AD16" s="6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Y16" s="162" t="s">
        <v>119</v>
      </c>
      <c r="BZ16" s="163">
        <v>143633.89720303469</v>
      </c>
      <c r="CA16" s="160">
        <v>9.5755931468689798E-2</v>
      </c>
      <c r="CB16"/>
    </row>
    <row r="17" spans="1:80" s="1" customFormat="1" ht="29.1" customHeight="1" outlineLevel="1" thickBot="1">
      <c r="A17" s="435" t="s">
        <v>387</v>
      </c>
      <c r="B17" s="435"/>
      <c r="C17" s="435"/>
      <c r="D17" s="435"/>
      <c r="E17" s="435"/>
      <c r="F17" s="435"/>
      <c r="G17" s="435"/>
      <c r="H17" s="78"/>
      <c r="I17" s="78"/>
      <c r="J17" s="78"/>
      <c r="K17" s="78"/>
      <c r="L17" s="78"/>
      <c r="M17" s="78"/>
      <c r="N17" s="78"/>
      <c r="O17" s="78"/>
      <c r="P17" s="78"/>
      <c r="Q17" s="7"/>
      <c r="R17" s="7"/>
      <c r="S17" s="7"/>
      <c r="T17" s="7"/>
      <c r="U17" s="7"/>
      <c r="V17" s="7"/>
      <c r="W17" s="7"/>
      <c r="X17" s="86"/>
      <c r="Y17" s="6"/>
      <c r="Z17" s="6"/>
      <c r="AA17" s="6"/>
      <c r="AB17" s="6"/>
      <c r="AC17" s="6"/>
      <c r="AD17" s="6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O17" s="133"/>
      <c r="BP17" s="134" t="s">
        <v>95</v>
      </c>
      <c r="BQ17"/>
      <c r="BR17"/>
      <c r="BS17" s="308" t="s">
        <v>100</v>
      </c>
      <c r="BT17" s="137" t="s">
        <v>96</v>
      </c>
      <c r="BU17" s="137" t="s">
        <v>98</v>
      </c>
      <c r="BV17"/>
      <c r="BW17"/>
      <c r="BX17"/>
      <c r="BY17" s="164" t="s">
        <v>120</v>
      </c>
      <c r="BZ17" s="165">
        <v>222762.07459412701</v>
      </c>
      <c r="CA17" s="160">
        <v>0.148508049729418</v>
      </c>
      <c r="CB17"/>
    </row>
    <row r="18" spans="1:80" ht="30.75" outlineLevel="1" thickBot="1">
      <c r="A18" s="473" t="s">
        <v>74</v>
      </c>
      <c r="B18" s="473"/>
      <c r="C18" s="473"/>
      <c r="D18" s="473"/>
      <c r="E18" s="473"/>
      <c r="F18" s="473"/>
      <c r="G18" s="473"/>
      <c r="H18" s="438" t="s">
        <v>331</v>
      </c>
      <c r="I18" s="439"/>
      <c r="J18" s="439"/>
      <c r="K18" s="439"/>
      <c r="L18" s="440"/>
      <c r="M18" s="441" t="s">
        <v>332</v>
      </c>
      <c r="N18" s="442"/>
      <c r="O18" s="442"/>
      <c r="P18" s="442"/>
      <c r="Q18" s="443"/>
      <c r="R18" s="49"/>
      <c r="S18" s="49"/>
      <c r="T18" s="49"/>
      <c r="U18" s="49"/>
      <c r="V18" s="49"/>
      <c r="W18" s="49"/>
      <c r="X18" s="49"/>
      <c r="Y18" s="431" t="s">
        <v>10</v>
      </c>
      <c r="Z18" s="432"/>
      <c r="AA18" s="432"/>
      <c r="AB18" s="432"/>
      <c r="AC18" s="433"/>
      <c r="AD18" s="431" t="s">
        <v>15</v>
      </c>
      <c r="AE18" s="432"/>
      <c r="AF18" s="432"/>
      <c r="AG18" s="432"/>
      <c r="AH18" s="433"/>
      <c r="AI18" s="431" t="s">
        <v>23</v>
      </c>
      <c r="AJ18" s="432"/>
      <c r="AK18" s="432"/>
      <c r="AL18" s="432"/>
      <c r="AM18" s="433"/>
      <c r="AN18" s="431" t="s">
        <v>12</v>
      </c>
      <c r="AO18" s="432"/>
      <c r="AP18" s="432"/>
      <c r="AQ18" s="432"/>
      <c r="AR18" s="433"/>
      <c r="AS18" s="431" t="s">
        <v>13</v>
      </c>
      <c r="AT18" s="432"/>
      <c r="AU18" s="432"/>
      <c r="AV18" s="432"/>
      <c r="AW18" s="433"/>
      <c r="AX18" s="431" t="s">
        <v>11</v>
      </c>
      <c r="AY18" s="432"/>
      <c r="AZ18" s="432"/>
      <c r="BA18" s="432"/>
      <c r="BB18" s="433"/>
      <c r="BC18" s="431" t="s">
        <v>16</v>
      </c>
      <c r="BD18" s="432"/>
      <c r="BE18" s="432"/>
      <c r="BF18" s="432"/>
      <c r="BG18" s="433"/>
      <c r="BH18" s="431" t="s">
        <v>14</v>
      </c>
      <c r="BI18" s="432"/>
      <c r="BJ18" s="432"/>
      <c r="BK18" s="432"/>
      <c r="BL18" s="433"/>
      <c r="BO18" s="309" t="s">
        <v>91</v>
      </c>
      <c r="BP18" s="138">
        <v>218</v>
      </c>
      <c r="BQ18" s="139">
        <f>BP18/$BP$22</f>
        <v>0.25921521997621877</v>
      </c>
      <c r="BS18" s="309"/>
      <c r="BT18" s="136" t="s">
        <v>97</v>
      </c>
      <c r="BU18" s="136" t="s">
        <v>99</v>
      </c>
      <c r="BY18" s="164" t="s">
        <v>121</v>
      </c>
      <c r="BZ18" s="165">
        <v>346682.14139541541</v>
      </c>
      <c r="CA18" s="160">
        <v>0.2311214275969436</v>
      </c>
    </row>
    <row r="19" spans="1:80" ht="29.45" customHeight="1" outlineLevel="1" thickBot="1">
      <c r="A19" s="79" t="s">
        <v>5</v>
      </c>
      <c r="B19" s="33" t="s">
        <v>7</v>
      </c>
      <c r="C19" s="33" t="s">
        <v>4</v>
      </c>
      <c r="D19" s="450" t="s">
        <v>56</v>
      </c>
      <c r="E19" s="451"/>
      <c r="F19" s="34" t="s">
        <v>9</v>
      </c>
      <c r="G19" s="34" t="s">
        <v>0</v>
      </c>
      <c r="H19" s="30" t="s">
        <v>21</v>
      </c>
      <c r="I19" s="29" t="s">
        <v>29</v>
      </c>
      <c r="J19" s="30" t="s">
        <v>28</v>
      </c>
      <c r="K19" s="29" t="s">
        <v>22</v>
      </c>
      <c r="L19" s="30" t="s">
        <v>40</v>
      </c>
      <c r="M19" s="37" t="s">
        <v>21</v>
      </c>
      <c r="N19" s="40" t="s">
        <v>29</v>
      </c>
      <c r="O19" s="37" t="s">
        <v>28</v>
      </c>
      <c r="P19" s="40" t="s">
        <v>22</v>
      </c>
      <c r="Q19" s="37" t="s">
        <v>40</v>
      </c>
      <c r="R19" s="49"/>
      <c r="S19" s="49"/>
      <c r="T19" s="49"/>
      <c r="U19" s="49"/>
      <c r="V19" s="49"/>
      <c r="W19" s="49"/>
      <c r="X19" s="49"/>
      <c r="Y19" s="71" t="s">
        <v>21</v>
      </c>
      <c r="Z19" s="43" t="s">
        <v>29</v>
      </c>
      <c r="AA19" s="43" t="s">
        <v>28</v>
      </c>
      <c r="AB19" s="43" t="s">
        <v>22</v>
      </c>
      <c r="AC19" s="67" t="s">
        <v>40</v>
      </c>
      <c r="AD19" s="71" t="s">
        <v>21</v>
      </c>
      <c r="AE19" s="43" t="s">
        <v>29</v>
      </c>
      <c r="AF19" s="43" t="s">
        <v>28</v>
      </c>
      <c r="AG19" s="43" t="s">
        <v>22</v>
      </c>
      <c r="AH19" s="67" t="s">
        <v>40</v>
      </c>
      <c r="AI19" s="71" t="s">
        <v>21</v>
      </c>
      <c r="AJ19" s="43" t="s">
        <v>29</v>
      </c>
      <c r="AK19" s="43" t="s">
        <v>28</v>
      </c>
      <c r="AL19" s="43" t="s">
        <v>22</v>
      </c>
      <c r="AM19" s="67" t="s">
        <v>40</v>
      </c>
      <c r="AN19" s="71" t="s">
        <v>21</v>
      </c>
      <c r="AO19" s="43" t="s">
        <v>29</v>
      </c>
      <c r="AP19" s="43" t="s">
        <v>28</v>
      </c>
      <c r="AQ19" s="43" t="s">
        <v>22</v>
      </c>
      <c r="AR19" s="67" t="s">
        <v>40</v>
      </c>
      <c r="AS19" s="71" t="s">
        <v>21</v>
      </c>
      <c r="AT19" s="43" t="s">
        <v>29</v>
      </c>
      <c r="AU19" s="43" t="s">
        <v>28</v>
      </c>
      <c r="AV19" s="43" t="s">
        <v>22</v>
      </c>
      <c r="AW19" s="67" t="s">
        <v>40</v>
      </c>
      <c r="AX19" s="71" t="s">
        <v>21</v>
      </c>
      <c r="AY19" s="43" t="s">
        <v>29</v>
      </c>
      <c r="AZ19" s="43" t="s">
        <v>28</v>
      </c>
      <c r="BA19" s="43" t="s">
        <v>22</v>
      </c>
      <c r="BB19" s="67"/>
      <c r="BC19" s="71" t="s">
        <v>21</v>
      </c>
      <c r="BD19" s="43" t="s">
        <v>29</v>
      </c>
      <c r="BE19" s="43" t="s">
        <v>28</v>
      </c>
      <c r="BF19" s="43" t="s">
        <v>22</v>
      </c>
      <c r="BG19" s="67"/>
      <c r="BH19" s="71" t="s">
        <v>21</v>
      </c>
      <c r="BI19" s="43" t="s">
        <v>29</v>
      </c>
      <c r="BJ19" s="43" t="s">
        <v>28</v>
      </c>
      <c r="BK19" s="43" t="s">
        <v>22</v>
      </c>
      <c r="BL19" s="67" t="s">
        <v>40</v>
      </c>
      <c r="BO19" s="309" t="s">
        <v>13</v>
      </c>
      <c r="BP19" s="138">
        <v>209</v>
      </c>
      <c r="BQ19" s="139">
        <f>BP19/$BP$22</f>
        <v>0.24851367419738407</v>
      </c>
      <c r="BS19" s="309" t="s">
        <v>91</v>
      </c>
      <c r="BT19" s="136">
        <v>5</v>
      </c>
      <c r="BU19" s="136">
        <v>1</v>
      </c>
      <c r="BV19" s="139">
        <f>(BU19+BT19)/$BV$23</f>
        <v>0.22222222222222221</v>
      </c>
      <c r="BW19" s="142">
        <f>BV19*$BW$23</f>
        <v>1666.6666666666665</v>
      </c>
      <c r="BY19" s="164" t="s">
        <v>122</v>
      </c>
      <c r="BZ19" s="165">
        <v>180766.95697102987</v>
      </c>
      <c r="CA19" s="160">
        <v>0.12051130464735324</v>
      </c>
    </row>
    <row r="20" spans="1:80" ht="33" customHeight="1" outlineLevel="1" thickBot="1">
      <c r="A20" s="112" t="s">
        <v>17</v>
      </c>
      <c r="B20" s="106" t="s">
        <v>337</v>
      </c>
      <c r="C20" s="106"/>
      <c r="D20" s="463" t="s">
        <v>338</v>
      </c>
      <c r="E20" s="464"/>
      <c r="F20" s="106" t="s">
        <v>79</v>
      </c>
      <c r="G20" s="106" t="s">
        <v>80</v>
      </c>
      <c r="H20" s="35">
        <f>291222*0.5*0.15*5</f>
        <v>109208.24999999999</v>
      </c>
      <c r="I20" s="32"/>
      <c r="J20" s="31"/>
      <c r="K20" s="124">
        <f>291222*0.5*0.15*4</f>
        <v>87366.599999999991</v>
      </c>
      <c r="L20" s="31"/>
      <c r="M20" s="38">
        <f>291222*0.5*0.4*5</f>
        <v>291222</v>
      </c>
      <c r="N20" s="41"/>
      <c r="O20" s="39"/>
      <c r="P20" s="272">
        <f>291222*0.5*0.4*4</f>
        <v>232977.6</v>
      </c>
      <c r="Q20" s="39"/>
      <c r="R20" s="49"/>
      <c r="S20" s="49"/>
      <c r="T20" s="49"/>
      <c r="U20" s="49"/>
      <c r="V20" s="49"/>
      <c r="W20" s="49"/>
      <c r="X20" s="74" t="s">
        <v>17</v>
      </c>
      <c r="Y20" s="124">
        <f>$H$20*Y15</f>
        <v>10920.824999999999</v>
      </c>
      <c r="Z20" s="44"/>
      <c r="AA20" s="44"/>
      <c r="AB20" s="124">
        <f>$K$20*AB15</f>
        <v>5766.1956</v>
      </c>
      <c r="AC20" s="68"/>
      <c r="AD20" s="124">
        <f>$H$20*AD15</f>
        <v>16381.237499999997</v>
      </c>
      <c r="AE20" s="44"/>
      <c r="AF20" s="44"/>
      <c r="AG20" s="124">
        <f>$K$20*AG15</f>
        <v>12056.5908</v>
      </c>
      <c r="AH20" s="68"/>
      <c r="AI20" s="124">
        <f>$H$20*AI15</f>
        <v>28394.144999999997</v>
      </c>
      <c r="AJ20" s="44"/>
      <c r="AK20" s="44"/>
      <c r="AL20" s="124">
        <f>$K$20*AL15</f>
        <v>32675.108399999997</v>
      </c>
      <c r="AM20" s="68"/>
      <c r="AN20" s="124">
        <f>$H$20*AN15</f>
        <v>2184.165</v>
      </c>
      <c r="AO20" s="44"/>
      <c r="AP20" s="44"/>
      <c r="AQ20" s="124">
        <f>$K$20*AQ15</f>
        <v>8736.66</v>
      </c>
      <c r="AR20" s="68"/>
      <c r="AS20" s="124">
        <f>$H$20*AS15</f>
        <v>25117.897499999999</v>
      </c>
      <c r="AT20" s="44"/>
      <c r="AU20" s="44"/>
      <c r="AV20" s="124">
        <f>$K$20*AV15</f>
        <v>6028.2954</v>
      </c>
      <c r="AW20" s="68"/>
      <c r="AX20" s="124">
        <f>$H$20*AX15</f>
        <v>13104.989999999998</v>
      </c>
      <c r="AY20" s="44"/>
      <c r="AZ20" s="44"/>
      <c r="BA20" s="124">
        <f>$K$20*BA15</f>
        <v>5940.9287999999997</v>
      </c>
      <c r="BB20" s="68"/>
      <c r="BC20" s="124">
        <f>$H$20*BC15</f>
        <v>7644.5774999999994</v>
      </c>
      <c r="BD20" s="44"/>
      <c r="BE20" s="44"/>
      <c r="BF20" s="124">
        <f>$K$20*BF15</f>
        <v>10221.8922</v>
      </c>
      <c r="BG20" s="68"/>
      <c r="BH20" s="124">
        <f>$H$20*BH15</f>
        <v>4368.33</v>
      </c>
      <c r="BI20" s="44"/>
      <c r="BJ20" s="44"/>
      <c r="BK20" s="124">
        <f>$K$20*BK15</f>
        <v>5940.9287999999997</v>
      </c>
      <c r="BL20" s="68"/>
      <c r="BO20" s="309" t="s">
        <v>92</v>
      </c>
      <c r="BP20" s="138">
        <v>277</v>
      </c>
      <c r="BQ20" s="139">
        <f>BP20/$BP$22</f>
        <v>0.32936979785969084</v>
      </c>
      <c r="BS20" s="309" t="s">
        <v>13</v>
      </c>
      <c r="BT20" s="136">
        <v>3</v>
      </c>
      <c r="BU20" s="136">
        <v>6</v>
      </c>
      <c r="BV20" s="139">
        <f>(BU20+BT20)/$BV$23</f>
        <v>0.33333333333333331</v>
      </c>
      <c r="BW20" s="142">
        <f>BV20*$BW$23</f>
        <v>2500</v>
      </c>
      <c r="BY20" s="164" t="s">
        <v>123</v>
      </c>
      <c r="BZ20" s="165">
        <v>37270.939020602542</v>
      </c>
      <c r="CA20" s="160">
        <v>2.4847292680401693E-2</v>
      </c>
    </row>
    <row r="21" spans="1:80" ht="36.75" customHeight="1" outlineLevel="1" thickBot="1">
      <c r="A21" s="330" t="s">
        <v>18</v>
      </c>
      <c r="B21" s="107" t="s">
        <v>75</v>
      </c>
      <c r="C21" s="331"/>
      <c r="D21" s="465" t="s">
        <v>339</v>
      </c>
      <c r="E21" s="465"/>
      <c r="F21" s="330" t="s">
        <v>79</v>
      </c>
      <c r="G21" s="107" t="s">
        <v>81</v>
      </c>
      <c r="H21" s="35"/>
      <c r="I21" s="36"/>
      <c r="J21" s="35"/>
      <c r="K21" s="36"/>
      <c r="L21" s="35">
        <f>251*0.15</f>
        <v>37.65</v>
      </c>
      <c r="M21" s="38"/>
      <c r="N21" s="42"/>
      <c r="O21" s="38"/>
      <c r="P21" s="42"/>
      <c r="Q21" s="38">
        <f>251*0.4</f>
        <v>100.4</v>
      </c>
      <c r="R21" s="49"/>
      <c r="S21" s="49"/>
      <c r="T21" s="49"/>
      <c r="U21" s="49"/>
      <c r="V21" s="49"/>
      <c r="W21" s="49"/>
      <c r="X21" s="75" t="s">
        <v>18</v>
      </c>
      <c r="Y21" s="124">
        <f>$H$21*Y15</f>
        <v>0</v>
      </c>
      <c r="Z21" s="45"/>
      <c r="AA21" s="45"/>
      <c r="AB21" s="124">
        <f>$K$21*AB15</f>
        <v>0</v>
      </c>
      <c r="AC21" s="69">
        <f>$L$21*Y15</f>
        <v>3.7650000000000001</v>
      </c>
      <c r="AD21" s="124">
        <f>$H$21*AD15</f>
        <v>0</v>
      </c>
      <c r="AE21" s="45"/>
      <c r="AF21" s="45"/>
      <c r="AG21" s="124">
        <f>$K$21*AG15</f>
        <v>0</v>
      </c>
      <c r="AH21" s="69">
        <f>$L$21*AD15</f>
        <v>5.6475</v>
      </c>
      <c r="AI21" s="124">
        <f>$H$21*AI15</f>
        <v>0</v>
      </c>
      <c r="AJ21" s="45"/>
      <c r="AK21" s="45"/>
      <c r="AL21" s="124">
        <f>$K$21*AL15</f>
        <v>0</v>
      </c>
      <c r="AM21" s="69">
        <f>$L$21*AI15</f>
        <v>9.7889999999999997</v>
      </c>
      <c r="AN21" s="124">
        <f>$H$21*AN15</f>
        <v>0</v>
      </c>
      <c r="AO21" s="45"/>
      <c r="AP21" s="45"/>
      <c r="AQ21" s="124">
        <f>$K$21*AQ15</f>
        <v>0</v>
      </c>
      <c r="AR21" s="69">
        <f>$L$21*AN15</f>
        <v>0.753</v>
      </c>
      <c r="AS21" s="124">
        <f>$H$21*AS15</f>
        <v>0</v>
      </c>
      <c r="AT21" s="45"/>
      <c r="AU21" s="45"/>
      <c r="AV21" s="124">
        <f>$K$21*AV15</f>
        <v>0</v>
      </c>
      <c r="AW21" s="69">
        <f>$L$21*AS15</f>
        <v>8.6594999999999995</v>
      </c>
      <c r="AX21" s="124">
        <f>$H$21*AX15</f>
        <v>0</v>
      </c>
      <c r="AY21" s="45"/>
      <c r="AZ21" s="45"/>
      <c r="BA21" s="124">
        <f>$K$21*BA15</f>
        <v>0</v>
      </c>
      <c r="BB21" s="69">
        <f>$L$21*AX15</f>
        <v>4.5179999999999998</v>
      </c>
      <c r="BC21" s="124">
        <f>$H$21*BC15</f>
        <v>0</v>
      </c>
      <c r="BD21" s="45"/>
      <c r="BE21" s="45"/>
      <c r="BF21" s="124">
        <f>$K$21*BF15</f>
        <v>0</v>
      </c>
      <c r="BG21" s="69">
        <f>$L$21*BC15</f>
        <v>2.6355</v>
      </c>
      <c r="BH21" s="124">
        <f>$H$21*BH15</f>
        <v>0</v>
      </c>
      <c r="BI21" s="45"/>
      <c r="BJ21" s="45"/>
      <c r="BK21" s="124">
        <f>$K$21*BK15</f>
        <v>0</v>
      </c>
      <c r="BL21" s="69">
        <f>$L$21*BH15</f>
        <v>1.506</v>
      </c>
      <c r="BO21" s="309" t="s">
        <v>93</v>
      </c>
      <c r="BP21" s="138">
        <v>137</v>
      </c>
      <c r="BQ21" s="139">
        <f>BP21/$BP$22</f>
        <v>0.16290130796670629</v>
      </c>
      <c r="BS21" s="309" t="s">
        <v>92</v>
      </c>
      <c r="BT21" s="136">
        <v>3</v>
      </c>
      <c r="BU21" s="136">
        <v>2</v>
      </c>
      <c r="BV21" s="139">
        <f>(BU21+BT21)/$BV$23</f>
        <v>0.18518518518518517</v>
      </c>
      <c r="BW21" s="142">
        <f>BV21*$BW$23</f>
        <v>1388.8888888888889</v>
      </c>
      <c r="BY21" s="164" t="s">
        <v>124</v>
      </c>
      <c r="BZ21" s="165">
        <v>396518.9600904875</v>
      </c>
      <c r="CA21" s="160">
        <v>0.26434597339365834</v>
      </c>
    </row>
    <row r="22" spans="1:80" ht="36.75" customHeight="1" outlineLevel="1" thickBot="1">
      <c r="A22" s="108" t="s">
        <v>19</v>
      </c>
      <c r="B22" s="192" t="s">
        <v>76</v>
      </c>
      <c r="C22" s="332"/>
      <c r="D22" s="434" t="s">
        <v>340</v>
      </c>
      <c r="E22" s="434"/>
      <c r="F22" s="108" t="s">
        <v>79</v>
      </c>
      <c r="G22" s="192" t="s">
        <v>62</v>
      </c>
      <c r="H22" s="35" t="s">
        <v>87</v>
      </c>
      <c r="I22" s="36"/>
      <c r="J22" s="35"/>
      <c r="K22" s="36"/>
      <c r="L22" s="35">
        <f>34*0.15</f>
        <v>5.0999999999999996</v>
      </c>
      <c r="M22" s="38"/>
      <c r="N22" s="42"/>
      <c r="O22" s="38"/>
      <c r="P22" s="42"/>
      <c r="Q22" s="38">
        <f>34*0.4</f>
        <v>13.600000000000001</v>
      </c>
      <c r="R22" s="49"/>
      <c r="S22" s="49"/>
      <c r="T22" s="49"/>
      <c r="U22" s="49"/>
      <c r="V22" s="49"/>
      <c r="W22" s="49"/>
      <c r="X22" s="74" t="s">
        <v>19</v>
      </c>
      <c r="Y22" s="73"/>
      <c r="Z22" s="46"/>
      <c r="AA22" s="46"/>
      <c r="AB22" s="46"/>
      <c r="AC22" s="70">
        <f>L22*BQ21/2</f>
        <v>0.41539833531510101</v>
      </c>
      <c r="AD22" s="73"/>
      <c r="AE22" s="46"/>
      <c r="AF22" s="46"/>
      <c r="AG22" s="46"/>
      <c r="AH22" s="70">
        <f>AC22</f>
        <v>0.41539833531510101</v>
      </c>
      <c r="AI22" s="73"/>
      <c r="AJ22" s="46"/>
      <c r="AK22" s="46"/>
      <c r="AL22" s="46"/>
      <c r="AM22" s="70">
        <f>L22*BQ18/2</f>
        <v>0.66099881093935786</v>
      </c>
      <c r="AN22" s="73"/>
      <c r="AO22" s="46"/>
      <c r="AP22" s="46"/>
      <c r="AQ22" s="46"/>
      <c r="AR22" s="70">
        <f>AM22</f>
        <v>0.66099881093935786</v>
      </c>
      <c r="AS22" s="73"/>
      <c r="AT22" s="46"/>
      <c r="AU22" s="46"/>
      <c r="AV22" s="46"/>
      <c r="AW22" s="70">
        <f>L22*BQ19/2</f>
        <v>0.63370986920332939</v>
      </c>
      <c r="AX22" s="73"/>
      <c r="AY22" s="46"/>
      <c r="AZ22" s="46"/>
      <c r="BA22" s="46"/>
      <c r="BB22" s="70">
        <f>AW22</f>
        <v>0.63370986920332939</v>
      </c>
      <c r="BC22" s="73"/>
      <c r="BD22" s="46"/>
      <c r="BE22" s="46"/>
      <c r="BF22" s="46"/>
      <c r="BG22" s="70">
        <f>L22*BQ20/2</f>
        <v>0.83989298454221162</v>
      </c>
      <c r="BH22" s="73"/>
      <c r="BI22" s="46"/>
      <c r="BJ22" s="46"/>
      <c r="BK22" s="46"/>
      <c r="BL22" s="70">
        <f>BG22</f>
        <v>0.83989298454221162</v>
      </c>
      <c r="BO22" s="309" t="s">
        <v>94</v>
      </c>
      <c r="BP22" s="136">
        <v>841</v>
      </c>
      <c r="BS22" s="309" t="s">
        <v>93</v>
      </c>
      <c r="BT22" s="136">
        <v>4</v>
      </c>
      <c r="BU22" s="136">
        <v>3</v>
      </c>
      <c r="BV22" s="143">
        <f>(BU22+BT22)/$BV$23</f>
        <v>0.25925925925925924</v>
      </c>
      <c r="BW22" s="144">
        <f>BV22*$BW$23</f>
        <v>1944.4444444444443</v>
      </c>
      <c r="BY22" s="164" t="s">
        <v>125</v>
      </c>
      <c r="BZ22" s="165">
        <v>106508.09423780833</v>
      </c>
      <c r="CA22" s="160">
        <v>7.1005396158538889E-2</v>
      </c>
    </row>
    <row r="23" spans="1:80" ht="36.75" customHeight="1" outlineLevel="1" thickBot="1">
      <c r="A23" s="330" t="s">
        <v>63</v>
      </c>
      <c r="B23" s="107" t="s">
        <v>380</v>
      </c>
      <c r="C23" s="331"/>
      <c r="D23" s="466" t="s">
        <v>338</v>
      </c>
      <c r="E23" s="467"/>
      <c r="F23" s="330" t="s">
        <v>79</v>
      </c>
      <c r="G23" s="107" t="s">
        <v>62</v>
      </c>
      <c r="H23" s="35" t="s">
        <v>87</v>
      </c>
      <c r="I23" s="36"/>
      <c r="J23" s="35"/>
      <c r="K23" s="36"/>
      <c r="L23" s="35">
        <f>27*0.15</f>
        <v>4.05</v>
      </c>
      <c r="M23" s="38"/>
      <c r="N23" s="42"/>
      <c r="O23" s="38"/>
      <c r="P23" s="42"/>
      <c r="Q23" s="38">
        <f>27*0.4</f>
        <v>10.8</v>
      </c>
      <c r="R23" s="49"/>
      <c r="S23" s="49"/>
      <c r="T23" s="49"/>
      <c r="U23" s="49"/>
      <c r="V23" s="49"/>
      <c r="W23" s="49"/>
      <c r="X23" s="75"/>
      <c r="Y23" s="72"/>
      <c r="Z23" s="45"/>
      <c r="AA23" s="45"/>
      <c r="AB23" s="45"/>
      <c r="AC23" s="69">
        <f>$L$23*BV22/2</f>
        <v>0.52499999999999991</v>
      </c>
      <c r="AD23" s="72"/>
      <c r="AE23" s="45"/>
      <c r="AF23" s="45"/>
      <c r="AG23" s="45"/>
      <c r="AH23" s="69">
        <f>AC23</f>
        <v>0.52499999999999991</v>
      </c>
      <c r="AI23" s="72"/>
      <c r="AJ23" s="45"/>
      <c r="AK23" s="45"/>
      <c r="AL23" s="45"/>
      <c r="AM23" s="69">
        <f>L23*BV19/2</f>
        <v>0.44999999999999996</v>
      </c>
      <c r="AN23" s="72"/>
      <c r="AO23" s="45"/>
      <c r="AP23" s="45"/>
      <c r="AQ23" s="45"/>
      <c r="AR23" s="69">
        <f>AM23</f>
        <v>0.44999999999999996</v>
      </c>
      <c r="AS23" s="72"/>
      <c r="AT23" s="45"/>
      <c r="AU23" s="45"/>
      <c r="AV23" s="45"/>
      <c r="AW23" s="69">
        <f>L23*BV20/2</f>
        <v>0.67499999999999993</v>
      </c>
      <c r="AX23" s="72"/>
      <c r="AY23" s="45"/>
      <c r="AZ23" s="45"/>
      <c r="BA23" s="45"/>
      <c r="BB23" s="69">
        <f>AW23</f>
        <v>0.67499999999999993</v>
      </c>
      <c r="BC23" s="72"/>
      <c r="BD23" s="45"/>
      <c r="BE23" s="45"/>
      <c r="BF23" s="45"/>
      <c r="BG23" s="69">
        <f>L23*BV21/2</f>
        <v>0.37499999999999994</v>
      </c>
      <c r="BH23" s="72"/>
      <c r="BI23" s="45"/>
      <c r="BJ23" s="45"/>
      <c r="BK23" s="45"/>
      <c r="BL23" s="69">
        <f>BG23</f>
        <v>0.37499999999999994</v>
      </c>
      <c r="BS23" s="309" t="s">
        <v>94</v>
      </c>
      <c r="BT23" s="136">
        <v>15</v>
      </c>
      <c r="BU23" s="138">
        <v>12</v>
      </c>
      <c r="BV23" s="145">
        <f>BU23+BT23</f>
        <v>27</v>
      </c>
      <c r="BW23" s="146">
        <f>7.5*1000</f>
        <v>7500</v>
      </c>
      <c r="BX23" t="s">
        <v>101</v>
      </c>
      <c r="BY23" s="166" t="s">
        <v>126</v>
      </c>
      <c r="BZ23" s="167">
        <v>65856.93648749459</v>
      </c>
      <c r="CA23" s="160">
        <v>4.3904624324996394E-2</v>
      </c>
    </row>
    <row r="24" spans="1:80" s="127" customFormat="1" ht="36.75" customHeight="1" outlineLevel="1" thickBot="1">
      <c r="A24" s="103"/>
      <c r="B24" s="109"/>
      <c r="C24" s="103"/>
      <c r="D24" s="104"/>
      <c r="E24" s="104"/>
      <c r="F24" s="103"/>
      <c r="G24" s="103"/>
      <c r="H24" s="271">
        <f>H20/(H20+K20)</f>
        <v>0.55555555555555558</v>
      </c>
      <c r="I24" s="271"/>
      <c r="J24" s="102"/>
      <c r="K24" s="102"/>
      <c r="L24" s="102"/>
      <c r="M24" s="271">
        <f>M20/(M20+P20)</f>
        <v>0.55555555555555558</v>
      </c>
      <c r="N24" s="102"/>
      <c r="O24" s="102"/>
      <c r="P24" s="102"/>
      <c r="Q24" s="102"/>
      <c r="R24" s="77"/>
      <c r="S24" s="77"/>
      <c r="T24" s="77"/>
      <c r="U24" s="77"/>
      <c r="V24" s="77"/>
      <c r="W24" s="77"/>
      <c r="X24" s="98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Y24" s="309"/>
      <c r="BZ24" s="168">
        <f>SUM(BZ16:BZ23)</f>
        <v>1499999.9999999998</v>
      </c>
      <c r="CA24" s="1"/>
      <c r="CB24" s="1"/>
    </row>
    <row r="25" spans="1:80" ht="30.95" customHeight="1" outlineLevel="1" thickBot="1">
      <c r="A25" s="471" t="s">
        <v>70</v>
      </c>
      <c r="B25" s="471"/>
      <c r="C25" s="471"/>
      <c r="D25" s="450" t="s">
        <v>56</v>
      </c>
      <c r="E25" s="451"/>
      <c r="F25" s="283" t="s">
        <v>9</v>
      </c>
      <c r="G25" s="283" t="s">
        <v>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49"/>
      <c r="S25" s="49"/>
      <c r="T25" s="49"/>
      <c r="U25" s="49"/>
      <c r="V25" s="49"/>
      <c r="W25" s="49"/>
      <c r="X25" s="77"/>
      <c r="Y25" s="469"/>
      <c r="Z25" s="469"/>
      <c r="AA25" s="469"/>
      <c r="AB25" s="469"/>
      <c r="AC25" s="469"/>
      <c r="AD25" s="469"/>
      <c r="AE25" s="469"/>
      <c r="AF25" s="469"/>
      <c r="AG25" s="469"/>
      <c r="AH25" s="469"/>
      <c r="AI25" s="469"/>
      <c r="AJ25" s="469"/>
      <c r="AK25" s="469"/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69"/>
      <c r="BA25" s="469"/>
      <c r="BB25" s="469"/>
      <c r="BC25" s="469"/>
      <c r="BD25" s="469"/>
      <c r="BE25" s="469"/>
      <c r="BF25" s="469"/>
      <c r="BG25" s="469"/>
      <c r="BH25" s="469"/>
      <c r="BI25" s="469"/>
      <c r="BJ25" s="469"/>
      <c r="BK25" s="469"/>
      <c r="BL25" s="469"/>
      <c r="BM25" s="77"/>
    </row>
    <row r="26" spans="1:80" ht="45" outlineLevel="1">
      <c r="A26" s="110" t="s">
        <v>64</v>
      </c>
      <c r="B26" s="458" t="s">
        <v>128</v>
      </c>
      <c r="C26" s="458"/>
      <c r="D26" s="463" t="s">
        <v>338</v>
      </c>
      <c r="E26" s="464"/>
      <c r="F26" s="11" t="s">
        <v>304</v>
      </c>
      <c r="G26" s="11" t="s">
        <v>305</v>
      </c>
      <c r="H26" s="103"/>
      <c r="I26" s="103"/>
      <c r="J26" s="103"/>
      <c r="K26" s="49"/>
      <c r="L26" s="49"/>
      <c r="M26" s="49"/>
      <c r="N26" s="49"/>
      <c r="O26" s="49"/>
      <c r="P26" s="49"/>
      <c r="Q26" s="98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77"/>
    </row>
    <row r="27" spans="1:80" ht="30" outlineLevel="1">
      <c r="A27" s="111" t="s">
        <v>2</v>
      </c>
      <c r="B27" s="434" t="s">
        <v>158</v>
      </c>
      <c r="C27" s="434"/>
      <c r="D27" s="465" t="s">
        <v>339</v>
      </c>
      <c r="E27" s="465"/>
      <c r="F27" s="10" t="s">
        <v>306</v>
      </c>
      <c r="G27" s="10" t="s">
        <v>305</v>
      </c>
      <c r="H27" s="102"/>
      <c r="I27" s="102"/>
      <c r="J27" s="102"/>
      <c r="K27" s="49"/>
      <c r="L27" s="49"/>
      <c r="M27" s="49"/>
      <c r="N27" s="49"/>
      <c r="O27" s="49"/>
      <c r="P27" s="49"/>
      <c r="Q27" s="98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77"/>
    </row>
    <row r="28" spans="1:80" ht="30" outlineLevel="1">
      <c r="A28" s="110" t="s">
        <v>3</v>
      </c>
      <c r="B28" s="434" t="s">
        <v>129</v>
      </c>
      <c r="C28" s="434"/>
      <c r="D28" s="434" t="s">
        <v>340</v>
      </c>
      <c r="E28" s="434"/>
      <c r="F28" s="11" t="s">
        <v>307</v>
      </c>
      <c r="G28" s="11" t="s">
        <v>305</v>
      </c>
      <c r="H28" s="102"/>
      <c r="I28" s="102"/>
      <c r="J28" s="102"/>
      <c r="K28" s="49"/>
      <c r="L28" s="49"/>
      <c r="M28" s="49"/>
      <c r="N28" s="49"/>
      <c r="O28" s="49"/>
      <c r="P28" s="49"/>
      <c r="Q28" s="98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77"/>
    </row>
    <row r="29" spans="1:80" ht="30">
      <c r="A29" s="111" t="s">
        <v>65</v>
      </c>
      <c r="B29" s="434" t="s">
        <v>379</v>
      </c>
      <c r="C29" s="434"/>
      <c r="D29" s="466" t="s">
        <v>338</v>
      </c>
      <c r="E29" s="467"/>
      <c r="F29" s="10" t="s">
        <v>308</v>
      </c>
      <c r="G29" s="10" t="s">
        <v>305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</row>
    <row r="30" spans="1:80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</row>
    <row r="31" spans="1:80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</row>
    <row r="32" spans="1:80" s="1" customFormat="1" ht="27.75" customHeight="1">
      <c r="A32" s="449" t="s">
        <v>386</v>
      </c>
      <c r="B32" s="449"/>
      <c r="C32" s="449"/>
      <c r="D32" s="449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49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"/>
      <c r="BJ32" s="7"/>
      <c r="BK32" s="7"/>
      <c r="BL32" s="7"/>
    </row>
    <row r="33" spans="1:72" s="12" customFormat="1" ht="27.75" customHeight="1">
      <c r="A33" s="436" t="s">
        <v>341</v>
      </c>
      <c r="B33" s="436"/>
      <c r="C33" s="436"/>
      <c r="D33" s="436"/>
      <c r="E33" s="436"/>
      <c r="F33" s="436"/>
      <c r="G33" s="437"/>
      <c r="H33" s="438" t="s">
        <v>331</v>
      </c>
      <c r="I33" s="439"/>
      <c r="J33" s="439"/>
      <c r="K33" s="439"/>
      <c r="L33" s="440"/>
      <c r="M33" s="441" t="s">
        <v>332</v>
      </c>
      <c r="N33" s="442"/>
      <c r="O33" s="442"/>
      <c r="P33" s="442"/>
      <c r="Q33" s="443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2" s="12" customFormat="1" ht="27.75" customHeight="1" thickBot="1">
      <c r="A34" s="79" t="s">
        <v>5</v>
      </c>
      <c r="B34" s="33" t="s">
        <v>326</v>
      </c>
      <c r="C34" s="33" t="s">
        <v>4</v>
      </c>
      <c r="D34" s="446" t="s">
        <v>56</v>
      </c>
      <c r="E34" s="447"/>
      <c r="F34" s="34" t="s">
        <v>9</v>
      </c>
      <c r="G34" s="34" t="s">
        <v>0</v>
      </c>
      <c r="H34" s="43" t="s">
        <v>21</v>
      </c>
      <c r="I34" s="314" t="s">
        <v>29</v>
      </c>
      <c r="J34" s="43" t="s">
        <v>28</v>
      </c>
      <c r="K34" s="314" t="s">
        <v>22</v>
      </c>
      <c r="L34" s="43" t="s">
        <v>40</v>
      </c>
      <c r="M34" s="315" t="s">
        <v>21</v>
      </c>
      <c r="N34" s="316" t="s">
        <v>29</v>
      </c>
      <c r="O34" s="315" t="s">
        <v>28</v>
      </c>
      <c r="P34" s="316" t="s">
        <v>22</v>
      </c>
      <c r="Q34" s="315" t="s">
        <v>40</v>
      </c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2" s="12" customFormat="1" ht="27.75" customHeight="1">
      <c r="A35" s="112" t="s">
        <v>17</v>
      </c>
      <c r="B35" s="106" t="s">
        <v>342</v>
      </c>
      <c r="C35" s="106"/>
      <c r="D35" s="468" t="s">
        <v>328</v>
      </c>
      <c r="E35" s="468"/>
      <c r="F35" s="106" t="s">
        <v>329</v>
      </c>
      <c r="G35" s="106" t="s">
        <v>330</v>
      </c>
      <c r="H35" s="317"/>
      <c r="I35" s="318"/>
      <c r="J35" s="319"/>
      <c r="K35" s="320"/>
      <c r="L35" s="327">
        <v>30000</v>
      </c>
      <c r="M35" s="321"/>
      <c r="N35" s="114"/>
      <c r="O35" s="322"/>
      <c r="P35" s="323"/>
      <c r="Q35" s="324">
        <v>80000</v>
      </c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2" s="12" customFormat="1" ht="27.75" customHeight="1">
      <c r="A36" s="84"/>
      <c r="B36" s="84"/>
      <c r="C36" s="84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2" s="1" customFormat="1" ht="29.25" customHeight="1" outlineLevel="1" thickBot="1">
      <c r="A37" s="49"/>
      <c r="B37" s="328" t="s">
        <v>343</v>
      </c>
      <c r="C37" s="87" t="s">
        <v>335</v>
      </c>
      <c r="D37" s="88">
        <v>2019</v>
      </c>
      <c r="E37" s="89">
        <v>2020</v>
      </c>
      <c r="F37" s="491">
        <v>2021</v>
      </c>
      <c r="G37" s="492"/>
      <c r="H37" s="78"/>
      <c r="I37" s="78"/>
      <c r="J37" s="78"/>
      <c r="K37" s="78"/>
      <c r="L37" s="78"/>
      <c r="M37" s="78"/>
      <c r="N37" s="7"/>
      <c r="O37" s="7"/>
      <c r="P37" s="7"/>
      <c r="Q37" s="470"/>
      <c r="R37" s="470"/>
      <c r="S37" s="470"/>
      <c r="T37" s="470"/>
      <c r="U37" s="470"/>
      <c r="V37" s="470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2" s="1" customFormat="1" ht="23.45" customHeight="1" outlineLevel="1">
      <c r="A38" s="7"/>
      <c r="B38" s="329" t="s">
        <v>334</v>
      </c>
      <c r="C38" s="90">
        <f>50175000*0.15</f>
        <v>7526250</v>
      </c>
      <c r="D38" s="91">
        <f>50175000*0.3</f>
        <v>15052500</v>
      </c>
      <c r="E38" s="409">
        <f>D38</f>
        <v>15052500</v>
      </c>
      <c r="F38" s="493">
        <f>50175000*0.25</f>
        <v>12543750</v>
      </c>
      <c r="G38" s="494"/>
      <c r="H38" s="78"/>
      <c r="I38" s="78"/>
      <c r="J38" s="78"/>
      <c r="K38" s="78"/>
      <c r="L38" s="78"/>
      <c r="M38" s="78"/>
      <c r="N38" s="7"/>
      <c r="O38" s="7"/>
      <c r="P38" s="410"/>
      <c r="Q38" s="410"/>
      <c r="R38" s="410"/>
      <c r="S38" s="410"/>
      <c r="T38" s="410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72" s="1" customFormat="1" ht="23.45" customHeight="1" outlineLevel="1">
      <c r="A39" s="49"/>
      <c r="B39" s="93" t="s">
        <v>24</v>
      </c>
      <c r="C39" s="94">
        <f>H53</f>
        <v>0.5</v>
      </c>
      <c r="D39" s="95">
        <f>M53</f>
        <v>0.5</v>
      </c>
      <c r="E39" s="407" t="s">
        <v>39</v>
      </c>
      <c r="F39" s="495" t="s">
        <v>39</v>
      </c>
      <c r="G39" s="496"/>
      <c r="H39" s="78"/>
      <c r="I39" s="78"/>
      <c r="J39" s="78"/>
      <c r="K39" s="78"/>
      <c r="L39" s="78"/>
      <c r="M39" s="78"/>
      <c r="N39" s="78"/>
      <c r="O39" s="78"/>
      <c r="P39" s="78"/>
      <c r="Q39" s="7"/>
      <c r="R39" s="7"/>
      <c r="S39" s="7"/>
      <c r="T39" s="410"/>
      <c r="U39" s="410"/>
      <c r="V39" s="410"/>
      <c r="W39" s="410"/>
      <c r="X39" s="410"/>
      <c r="Y39" s="410"/>
      <c r="Z39" s="410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72" s="1" customFormat="1" ht="23.45" customHeight="1" outlineLevel="1" thickBot="1">
      <c r="A40" s="49"/>
      <c r="B40" s="93" t="s">
        <v>25</v>
      </c>
      <c r="C40" s="94">
        <f>1-C39</f>
        <v>0.5</v>
      </c>
      <c r="D40" s="95">
        <f>1-D39</f>
        <v>0.5</v>
      </c>
      <c r="E40" s="407" t="s">
        <v>39</v>
      </c>
      <c r="F40" s="495" t="s">
        <v>39</v>
      </c>
      <c r="G40" s="496"/>
      <c r="H40" s="78"/>
      <c r="I40" s="78"/>
      <c r="J40" s="78"/>
      <c r="K40" s="78"/>
      <c r="L40" s="78"/>
      <c r="M40" s="78"/>
      <c r="N40" s="78"/>
      <c r="O40" s="78"/>
      <c r="P40" s="78"/>
      <c r="Q40" s="7"/>
      <c r="R40" s="7"/>
      <c r="S40" s="7"/>
      <c r="T40" s="410"/>
      <c r="U40" s="410"/>
      <c r="V40" s="410"/>
      <c r="W40" s="410"/>
      <c r="X40" s="410"/>
      <c r="Y40" s="132">
        <v>0.1</v>
      </c>
      <c r="Z40" s="7"/>
      <c r="AA40" s="7"/>
      <c r="AB40" s="132">
        <v>6.6000000000000003E-2</v>
      </c>
      <c r="AC40" s="7"/>
      <c r="AD40" s="132">
        <v>0.15</v>
      </c>
      <c r="AE40" s="7"/>
      <c r="AF40" s="7"/>
      <c r="AG40" s="132">
        <v>0.13800000000000001</v>
      </c>
      <c r="AH40" s="7"/>
      <c r="AI40" s="132">
        <v>0.26</v>
      </c>
      <c r="AJ40" s="7"/>
      <c r="AK40" s="7"/>
      <c r="AL40" s="132">
        <v>0.374</v>
      </c>
      <c r="AM40" s="7"/>
      <c r="AN40" s="132">
        <v>0.02</v>
      </c>
      <c r="AO40" s="7"/>
      <c r="AP40" s="7"/>
      <c r="AQ40" s="132">
        <v>0.1</v>
      </c>
      <c r="AR40" s="7"/>
      <c r="AS40" s="132">
        <v>0.23</v>
      </c>
      <c r="AT40" s="7"/>
      <c r="AU40" s="7"/>
      <c r="AV40" s="132">
        <v>6.9000000000000006E-2</v>
      </c>
      <c r="AW40" s="7"/>
      <c r="AX40" s="132">
        <v>0.12</v>
      </c>
      <c r="AY40" s="7"/>
      <c r="AZ40" s="7"/>
      <c r="BA40" s="132">
        <v>6.8000000000000005E-2</v>
      </c>
      <c r="BB40" s="7"/>
      <c r="BC40" s="132">
        <v>7.0000000000000007E-2</v>
      </c>
      <c r="BD40" s="7"/>
      <c r="BE40" s="7"/>
      <c r="BF40" s="132">
        <v>0.11700000000000001</v>
      </c>
      <c r="BG40" s="7"/>
      <c r="BH40" s="132">
        <v>0.04</v>
      </c>
      <c r="BK40" s="132">
        <v>6.8000000000000005E-2</v>
      </c>
      <c r="BL40" s="7"/>
    </row>
    <row r="41" spans="1:72" s="1" customFormat="1" ht="19.5" customHeight="1" outlineLevel="1">
      <c r="A41" s="49"/>
      <c r="B41" s="3"/>
      <c r="C41" s="3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"/>
      <c r="R41" s="7"/>
      <c r="S41" s="7"/>
      <c r="T41" s="7"/>
      <c r="U41" s="7"/>
      <c r="V41" s="7"/>
      <c r="W41" s="7"/>
      <c r="X41" s="86" t="s">
        <v>336</v>
      </c>
      <c r="Y41" s="6"/>
      <c r="Z41" s="6"/>
      <c r="AA41" s="6"/>
      <c r="AB41" s="6"/>
      <c r="AC41" s="6"/>
      <c r="AD41" s="6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1:72" s="1" customFormat="1" ht="30.95" customHeight="1" outlineLevel="1">
      <c r="A42" s="435" t="s">
        <v>385</v>
      </c>
      <c r="B42" s="435"/>
      <c r="C42" s="435"/>
      <c r="D42" s="435"/>
      <c r="E42" s="435"/>
      <c r="F42" s="435"/>
      <c r="G42" s="435"/>
      <c r="H42" s="78"/>
      <c r="I42" s="78"/>
      <c r="J42" s="78"/>
      <c r="K42" s="78"/>
      <c r="L42" s="78"/>
      <c r="M42" s="78"/>
      <c r="N42" s="78"/>
      <c r="O42" s="78"/>
      <c r="P42" s="78"/>
      <c r="Q42" s="7"/>
      <c r="R42" s="7"/>
      <c r="S42" s="7"/>
      <c r="T42" s="7"/>
      <c r="U42" s="7"/>
      <c r="V42" s="7"/>
      <c r="W42" s="7"/>
      <c r="X42" s="86"/>
      <c r="Y42" s="6"/>
      <c r="Z42" s="6"/>
      <c r="AA42" s="6"/>
      <c r="AB42" s="6"/>
      <c r="AC42" s="6"/>
      <c r="AD42" s="6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1:72" ht="33" customHeight="1" outlineLevel="1">
      <c r="A43" s="436" t="s">
        <v>344</v>
      </c>
      <c r="B43" s="436"/>
      <c r="C43" s="436"/>
      <c r="D43" s="436"/>
      <c r="E43" s="436"/>
      <c r="F43" s="436"/>
      <c r="G43" s="437"/>
      <c r="H43" s="438" t="s">
        <v>331</v>
      </c>
      <c r="I43" s="439"/>
      <c r="J43" s="439"/>
      <c r="K43" s="439"/>
      <c r="L43" s="440"/>
      <c r="M43" s="441" t="s">
        <v>332</v>
      </c>
      <c r="N43" s="442"/>
      <c r="O43" s="442"/>
      <c r="P43" s="442"/>
      <c r="Q43" s="443"/>
      <c r="R43" s="49"/>
      <c r="S43" s="49"/>
      <c r="T43" s="49"/>
      <c r="U43" s="49"/>
      <c r="V43" s="49"/>
      <c r="W43" s="49"/>
      <c r="X43" s="49"/>
      <c r="Y43" s="431" t="s">
        <v>10</v>
      </c>
      <c r="Z43" s="432"/>
      <c r="AA43" s="432"/>
      <c r="AB43" s="432"/>
      <c r="AC43" s="433"/>
      <c r="AD43" s="431" t="s">
        <v>15</v>
      </c>
      <c r="AE43" s="432"/>
      <c r="AF43" s="432"/>
      <c r="AG43" s="432"/>
      <c r="AH43" s="433"/>
      <c r="AI43" s="431" t="s">
        <v>23</v>
      </c>
      <c r="AJ43" s="432"/>
      <c r="AK43" s="432"/>
      <c r="AL43" s="432"/>
      <c r="AM43" s="433"/>
      <c r="AN43" s="431" t="s">
        <v>12</v>
      </c>
      <c r="AO43" s="432"/>
      <c r="AP43" s="432"/>
      <c r="AQ43" s="432"/>
      <c r="AR43" s="433"/>
      <c r="AS43" s="431" t="s">
        <v>13</v>
      </c>
      <c r="AT43" s="432"/>
      <c r="AU43" s="432"/>
      <c r="AV43" s="432"/>
      <c r="AW43" s="433"/>
      <c r="AX43" s="431" t="s">
        <v>11</v>
      </c>
      <c r="AY43" s="432"/>
      <c r="AZ43" s="432"/>
      <c r="BA43" s="432"/>
      <c r="BB43" s="433"/>
      <c r="BC43" s="431" t="s">
        <v>16</v>
      </c>
      <c r="BD43" s="432"/>
      <c r="BE43" s="432"/>
      <c r="BF43" s="432"/>
      <c r="BG43" s="433"/>
      <c r="BH43" s="431" t="s">
        <v>14</v>
      </c>
      <c r="BI43" s="432"/>
      <c r="BJ43" s="432"/>
      <c r="BK43" s="432"/>
      <c r="BL43" s="433"/>
      <c r="BT43" s="150" t="s">
        <v>106</v>
      </c>
    </row>
    <row r="44" spans="1:72" ht="29.45" customHeight="1" outlineLevel="1" thickBot="1">
      <c r="A44" s="79" t="s">
        <v>5</v>
      </c>
      <c r="B44" s="33" t="s">
        <v>7</v>
      </c>
      <c r="C44" s="33" t="s">
        <v>4</v>
      </c>
      <c r="D44" s="450" t="s">
        <v>56</v>
      </c>
      <c r="E44" s="451"/>
      <c r="F44" s="34" t="s">
        <v>9</v>
      </c>
      <c r="G44" s="34" t="s">
        <v>0</v>
      </c>
      <c r="H44" s="30" t="s">
        <v>21</v>
      </c>
      <c r="I44" s="29" t="s">
        <v>29</v>
      </c>
      <c r="J44" s="30" t="s">
        <v>28</v>
      </c>
      <c r="K44" s="29" t="s">
        <v>22</v>
      </c>
      <c r="L44" s="30" t="s">
        <v>40</v>
      </c>
      <c r="M44" s="37" t="s">
        <v>21</v>
      </c>
      <c r="N44" s="40" t="s">
        <v>29</v>
      </c>
      <c r="O44" s="37" t="s">
        <v>28</v>
      </c>
      <c r="P44" s="40" t="s">
        <v>22</v>
      </c>
      <c r="Q44" s="37" t="s">
        <v>40</v>
      </c>
      <c r="R44" s="49"/>
      <c r="S44" s="49"/>
      <c r="T44" s="49"/>
      <c r="U44" s="49"/>
      <c r="V44" s="49"/>
      <c r="W44" s="49"/>
      <c r="X44" s="49"/>
      <c r="Y44" s="71" t="s">
        <v>21</v>
      </c>
      <c r="Z44" s="43" t="s">
        <v>29</v>
      </c>
      <c r="AA44" s="43" t="s">
        <v>28</v>
      </c>
      <c r="AB44" s="43" t="s">
        <v>22</v>
      </c>
      <c r="AC44" s="67" t="s">
        <v>40</v>
      </c>
      <c r="AD44" s="71" t="s">
        <v>21</v>
      </c>
      <c r="AE44" s="43" t="s">
        <v>29</v>
      </c>
      <c r="AF44" s="43" t="s">
        <v>28</v>
      </c>
      <c r="AG44" s="43" t="s">
        <v>22</v>
      </c>
      <c r="AH44" s="67" t="s">
        <v>40</v>
      </c>
      <c r="AI44" s="71" t="s">
        <v>21</v>
      </c>
      <c r="AJ44" s="43" t="s">
        <v>29</v>
      </c>
      <c r="AK44" s="43" t="s">
        <v>28</v>
      </c>
      <c r="AL44" s="43" t="s">
        <v>22</v>
      </c>
      <c r="AM44" s="67" t="s">
        <v>40</v>
      </c>
      <c r="AN44" s="71" t="s">
        <v>21</v>
      </c>
      <c r="AO44" s="43" t="s">
        <v>29</v>
      </c>
      <c r="AP44" s="43" t="s">
        <v>28</v>
      </c>
      <c r="AQ44" s="43" t="s">
        <v>22</v>
      </c>
      <c r="AR44" s="67" t="s">
        <v>40</v>
      </c>
      <c r="AS44" s="71" t="s">
        <v>21</v>
      </c>
      <c r="AT44" s="43" t="s">
        <v>29</v>
      </c>
      <c r="AU44" s="43" t="s">
        <v>28</v>
      </c>
      <c r="AV44" s="43" t="s">
        <v>22</v>
      </c>
      <c r="AW44" s="67" t="s">
        <v>40</v>
      </c>
      <c r="AX44" s="71" t="s">
        <v>21</v>
      </c>
      <c r="AY44" s="43" t="s">
        <v>29</v>
      </c>
      <c r="AZ44" s="43" t="s">
        <v>28</v>
      </c>
      <c r="BA44" s="43" t="s">
        <v>22</v>
      </c>
      <c r="BB44" s="67"/>
      <c r="BC44" s="71" t="s">
        <v>21</v>
      </c>
      <c r="BD44" s="43" t="s">
        <v>29</v>
      </c>
      <c r="BE44" s="43" t="s">
        <v>28</v>
      </c>
      <c r="BF44" s="43" t="s">
        <v>22</v>
      </c>
      <c r="BG44" s="67"/>
      <c r="BH44" s="71" t="s">
        <v>21</v>
      </c>
      <c r="BI44" s="43" t="s">
        <v>29</v>
      </c>
      <c r="BJ44" s="43" t="s">
        <v>28</v>
      </c>
      <c r="BK44" s="43" t="s">
        <v>22</v>
      </c>
      <c r="BL44" s="67" t="s">
        <v>40</v>
      </c>
      <c r="BO44" s="150"/>
      <c r="BP44" s="150" t="s">
        <v>105</v>
      </c>
      <c r="BR44" s="150" t="s">
        <v>10</v>
      </c>
      <c r="BS44" s="150">
        <v>43</v>
      </c>
      <c r="BT44" s="149">
        <v>7.5704225352112672E-2</v>
      </c>
    </row>
    <row r="45" spans="1:72" ht="33" hidden="1" customHeight="1" outlineLevel="1" thickBot="1">
      <c r="A45" s="80"/>
      <c r="B45" s="333" t="s">
        <v>88</v>
      </c>
      <c r="C45" s="106"/>
      <c r="D45" s="463" t="s">
        <v>338</v>
      </c>
      <c r="E45" s="464"/>
      <c r="F45" s="9" t="s">
        <v>79</v>
      </c>
      <c r="G45" s="9" t="s">
        <v>80</v>
      </c>
      <c r="H45" s="35">
        <f>0.15*333869/2</f>
        <v>25040.174999999999</v>
      </c>
      <c r="I45" s="32"/>
      <c r="J45" s="31"/>
      <c r="K45" s="129">
        <f>H45</f>
        <v>25040.174999999999</v>
      </c>
      <c r="L45" s="31"/>
      <c r="M45" s="38">
        <f>0.4*333869/2</f>
        <v>66773.8</v>
      </c>
      <c r="N45" s="41"/>
      <c r="O45" s="39"/>
      <c r="P45" s="272">
        <f>M45</f>
        <v>66773.8</v>
      </c>
      <c r="Q45" s="39"/>
      <c r="R45" s="49"/>
      <c r="S45" s="49"/>
      <c r="T45" s="49"/>
      <c r="U45" s="49"/>
      <c r="V45" s="49"/>
      <c r="W45" s="49"/>
      <c r="X45" s="74"/>
      <c r="Y45" s="124">
        <f>$H$45*Y40</f>
        <v>2504.0174999999999</v>
      </c>
      <c r="Z45" s="44"/>
      <c r="AA45" s="44"/>
      <c r="AB45" s="124">
        <f>$K$45*AB40</f>
        <v>1652.65155</v>
      </c>
      <c r="AC45" s="68"/>
      <c r="AD45" s="124">
        <f>$H$45*AD40</f>
        <v>3756.0262499999999</v>
      </c>
      <c r="AE45" s="44"/>
      <c r="AF45" s="44"/>
      <c r="AG45" s="124">
        <f>$K$45*AG40</f>
        <v>3455.5441500000002</v>
      </c>
      <c r="AH45" s="68"/>
      <c r="AI45" s="124">
        <f>$H$45*AI40</f>
        <v>6510.4454999999998</v>
      </c>
      <c r="AJ45" s="44"/>
      <c r="AK45" s="44"/>
      <c r="AL45" s="124">
        <f>$K$45*AL40</f>
        <v>9365.0254499999992</v>
      </c>
      <c r="AM45" s="68"/>
      <c r="AN45" s="124">
        <f>$H$45*AN40</f>
        <v>500.80349999999999</v>
      </c>
      <c r="AO45" s="44"/>
      <c r="AP45" s="44"/>
      <c r="AQ45" s="124">
        <f>$K$45*AQ40</f>
        <v>2504.0174999999999</v>
      </c>
      <c r="AR45" s="68"/>
      <c r="AS45" s="124">
        <f>$H$45*AS40</f>
        <v>5759.2402499999998</v>
      </c>
      <c r="AT45" s="44"/>
      <c r="AU45" s="44"/>
      <c r="AV45" s="124">
        <f>$K$45*AV40</f>
        <v>1727.7720750000001</v>
      </c>
      <c r="AW45" s="68"/>
      <c r="AX45" s="124">
        <f>$H$45*AX40</f>
        <v>3004.8209999999999</v>
      </c>
      <c r="AY45" s="44"/>
      <c r="AZ45" s="44"/>
      <c r="BA45" s="124">
        <f>$K$45*BA40</f>
        <v>1702.7319</v>
      </c>
      <c r="BB45" s="68"/>
      <c r="BC45" s="124">
        <f>$H$45*BC40</f>
        <v>1752.8122500000002</v>
      </c>
      <c r="BD45" s="44"/>
      <c r="BE45" s="44"/>
      <c r="BF45" s="124">
        <f>$K$45*BF40</f>
        <v>2929.7004750000001</v>
      </c>
      <c r="BG45" s="68"/>
      <c r="BH45" s="124">
        <f>$H$45*BH40</f>
        <v>1001.607</v>
      </c>
      <c r="BI45" s="44"/>
      <c r="BJ45" s="44"/>
      <c r="BK45" s="124">
        <f>$K$45*BK40</f>
        <v>1702.7319</v>
      </c>
      <c r="BL45" s="68"/>
      <c r="BM45" s="147">
        <f>BK45+BF45+BA45+AV45+AQ45+AL45+AG45+AB45</f>
        <v>25040.174999999999</v>
      </c>
      <c r="BO45" s="148" t="s">
        <v>10</v>
      </c>
      <c r="BP45" s="149">
        <v>0.12744331508991399</v>
      </c>
      <c r="BR45" s="148" t="s">
        <v>103</v>
      </c>
      <c r="BS45" s="148">
        <v>50</v>
      </c>
      <c r="BT45" s="149">
        <v>8.8028169014084501E-2</v>
      </c>
    </row>
    <row r="46" spans="1:72" ht="33" hidden="1" customHeight="1" outlineLevel="1" thickBot="1">
      <c r="A46" s="80"/>
      <c r="B46" s="333" t="s">
        <v>89</v>
      </c>
      <c r="C46" s="106"/>
      <c r="D46" s="463" t="s">
        <v>338</v>
      </c>
      <c r="E46" s="464"/>
      <c r="F46" s="9" t="s">
        <v>79</v>
      </c>
      <c r="G46" s="9" t="s">
        <v>80</v>
      </c>
      <c r="H46" s="35">
        <f>0.2*333689*0.15/2</f>
        <v>5005.335</v>
      </c>
      <c r="I46" s="32"/>
      <c r="J46" s="31"/>
      <c r="K46" s="129">
        <f>H46</f>
        <v>5005.335</v>
      </c>
      <c r="L46" s="31"/>
      <c r="M46" s="38">
        <f>0.2*333689*0.4/2</f>
        <v>13347.560000000001</v>
      </c>
      <c r="N46" s="41"/>
      <c r="O46" s="39"/>
      <c r="P46" s="272">
        <f>M46</f>
        <v>13347.560000000001</v>
      </c>
      <c r="Q46" s="39"/>
      <c r="R46" s="49"/>
      <c r="S46" s="49"/>
      <c r="T46" s="49"/>
      <c r="U46" s="49"/>
      <c r="V46" s="49"/>
      <c r="W46" s="49"/>
      <c r="X46" s="74"/>
      <c r="Y46" s="124">
        <f>$H$46*Y40</f>
        <v>500.5335</v>
      </c>
      <c r="Z46" s="45"/>
      <c r="AA46" s="45"/>
      <c r="AB46" s="124">
        <f>$K$46*AB40</f>
        <v>330.35211000000004</v>
      </c>
      <c r="AC46" s="69"/>
      <c r="AD46" s="124">
        <f>$H$46*AD40</f>
        <v>750.80025000000001</v>
      </c>
      <c r="AE46" s="45"/>
      <c r="AF46" s="45"/>
      <c r="AG46" s="124">
        <f>$K$46*AG40</f>
        <v>690.73623000000009</v>
      </c>
      <c r="AH46" s="69"/>
      <c r="AI46" s="124">
        <f>$H$46*AI40</f>
        <v>1301.3871000000001</v>
      </c>
      <c r="AJ46" s="45"/>
      <c r="AK46" s="45"/>
      <c r="AL46" s="124">
        <f>$K$46*AL40</f>
        <v>1871.9952900000001</v>
      </c>
      <c r="AM46" s="69"/>
      <c r="AN46" s="124">
        <f>$H$46*AN40</f>
        <v>100.1067</v>
      </c>
      <c r="AO46" s="45"/>
      <c r="AP46" s="45"/>
      <c r="AQ46" s="124">
        <f>$K$46*AQ40</f>
        <v>500.5335</v>
      </c>
      <c r="AR46" s="69"/>
      <c r="AS46" s="124">
        <f>$H$46*AS40</f>
        <v>1151.22705</v>
      </c>
      <c r="AT46" s="45"/>
      <c r="AU46" s="45"/>
      <c r="AV46" s="124">
        <f>$K$46*AV40</f>
        <v>345.36811500000005</v>
      </c>
      <c r="AW46" s="69"/>
      <c r="AX46" s="124">
        <f>$H$46*AX40</f>
        <v>600.64019999999994</v>
      </c>
      <c r="AY46" s="45"/>
      <c r="AZ46" s="45"/>
      <c r="BA46" s="124">
        <f>$K$46*BA40</f>
        <v>340.36278000000004</v>
      </c>
      <c r="BB46" s="69"/>
      <c r="BC46" s="124">
        <f>$H$46*BC40</f>
        <v>350.37345000000005</v>
      </c>
      <c r="BD46" s="45"/>
      <c r="BE46" s="45"/>
      <c r="BF46" s="124">
        <f>$K$46*BF40</f>
        <v>585.62419499999999</v>
      </c>
      <c r="BG46" s="69"/>
      <c r="BH46" s="124">
        <f>$H$46*BH40</f>
        <v>200.21340000000001</v>
      </c>
      <c r="BI46" s="45"/>
      <c r="BJ46" s="45"/>
      <c r="BK46" s="124">
        <f>$K$46*BK40</f>
        <v>340.36278000000004</v>
      </c>
      <c r="BL46" s="69"/>
      <c r="BM46" s="147">
        <f>BK46+BF46+BA46+AV46+AQ46+AL46+AG46+AB46</f>
        <v>5005.335</v>
      </c>
      <c r="BO46" s="148" t="s">
        <v>103</v>
      </c>
      <c r="BP46" s="149">
        <v>8.3659108678655197E-2</v>
      </c>
      <c r="BR46" s="148" t="s">
        <v>12</v>
      </c>
      <c r="BS46" s="148">
        <v>28</v>
      </c>
      <c r="BT46" s="149">
        <v>4.9295774647887321E-2</v>
      </c>
    </row>
    <row r="47" spans="1:72" ht="33" customHeight="1" outlineLevel="1">
      <c r="A47" s="80" t="s">
        <v>17</v>
      </c>
      <c r="B47" s="106" t="s">
        <v>172</v>
      </c>
      <c r="C47" s="106"/>
      <c r="D47" s="463" t="s">
        <v>338</v>
      </c>
      <c r="E47" s="464"/>
      <c r="F47" s="9" t="s">
        <v>79</v>
      </c>
      <c r="G47" s="9" t="s">
        <v>80</v>
      </c>
      <c r="H47" s="35">
        <f>SUM(H45:H46)</f>
        <v>30045.51</v>
      </c>
      <c r="I47" s="32"/>
      <c r="J47" s="31"/>
      <c r="K47" s="129">
        <f>SUM(K45:K46)</f>
        <v>30045.51</v>
      </c>
      <c r="L47" s="31"/>
      <c r="M47" s="38">
        <f>SUM(M45:M46)</f>
        <v>80121.36</v>
      </c>
      <c r="N47" s="41"/>
      <c r="O47" s="39"/>
      <c r="P47" s="272">
        <f>SUM(P45:P46)</f>
        <v>80121.36</v>
      </c>
      <c r="Q47" s="39"/>
      <c r="R47" s="49"/>
      <c r="S47" s="49"/>
      <c r="T47" s="49"/>
      <c r="U47" s="49"/>
      <c r="V47" s="49"/>
      <c r="W47" s="49"/>
      <c r="X47" s="74" t="s">
        <v>17</v>
      </c>
      <c r="Y47" s="171">
        <f>SUM(Y45:Y46)</f>
        <v>3004.5509999999999</v>
      </c>
      <c r="Z47" s="171">
        <f t="shared" ref="Z47:BL47" si="0">SUM(Z45:Z46)</f>
        <v>0</v>
      </c>
      <c r="AA47" s="171">
        <f t="shared" si="0"/>
        <v>0</v>
      </c>
      <c r="AB47" s="171">
        <f t="shared" si="0"/>
        <v>1983.0036600000001</v>
      </c>
      <c r="AC47" s="171">
        <f t="shared" si="0"/>
        <v>0</v>
      </c>
      <c r="AD47" s="171">
        <f t="shared" si="0"/>
        <v>4506.8265000000001</v>
      </c>
      <c r="AE47" s="171">
        <f t="shared" si="0"/>
        <v>0</v>
      </c>
      <c r="AF47" s="171">
        <f t="shared" si="0"/>
        <v>0</v>
      </c>
      <c r="AG47" s="171">
        <f t="shared" si="0"/>
        <v>4146.2803800000002</v>
      </c>
      <c r="AH47" s="171">
        <f t="shared" si="0"/>
        <v>0</v>
      </c>
      <c r="AI47" s="171">
        <f t="shared" si="0"/>
        <v>7811.8325999999997</v>
      </c>
      <c r="AJ47" s="171">
        <f t="shared" si="0"/>
        <v>0</v>
      </c>
      <c r="AK47" s="171">
        <f t="shared" si="0"/>
        <v>0</v>
      </c>
      <c r="AL47" s="171">
        <f t="shared" si="0"/>
        <v>11237.02074</v>
      </c>
      <c r="AM47" s="171">
        <f t="shared" si="0"/>
        <v>0</v>
      </c>
      <c r="AN47" s="171">
        <f t="shared" si="0"/>
        <v>600.91020000000003</v>
      </c>
      <c r="AO47" s="171">
        <f t="shared" si="0"/>
        <v>0</v>
      </c>
      <c r="AP47" s="171">
        <f t="shared" si="0"/>
        <v>0</v>
      </c>
      <c r="AQ47" s="171">
        <f t="shared" si="0"/>
        <v>3004.5509999999999</v>
      </c>
      <c r="AR47" s="171">
        <f t="shared" si="0"/>
        <v>0</v>
      </c>
      <c r="AS47" s="171">
        <f t="shared" si="0"/>
        <v>6910.4673000000003</v>
      </c>
      <c r="AT47" s="171">
        <f t="shared" si="0"/>
        <v>0</v>
      </c>
      <c r="AU47" s="171">
        <f t="shared" si="0"/>
        <v>0</v>
      </c>
      <c r="AV47" s="171">
        <f t="shared" si="0"/>
        <v>2073.1401900000001</v>
      </c>
      <c r="AW47" s="171">
        <f t="shared" si="0"/>
        <v>0</v>
      </c>
      <c r="AX47" s="171">
        <f t="shared" si="0"/>
        <v>3605.4611999999997</v>
      </c>
      <c r="AY47" s="171">
        <f t="shared" si="0"/>
        <v>0</v>
      </c>
      <c r="AZ47" s="171">
        <f t="shared" si="0"/>
        <v>0</v>
      </c>
      <c r="BA47" s="171">
        <f t="shared" si="0"/>
        <v>2043.0946800000002</v>
      </c>
      <c r="BB47" s="171">
        <f t="shared" si="0"/>
        <v>0</v>
      </c>
      <c r="BC47" s="171">
        <f t="shared" si="0"/>
        <v>2103.1857</v>
      </c>
      <c r="BD47" s="171">
        <f t="shared" si="0"/>
        <v>0</v>
      </c>
      <c r="BE47" s="171">
        <f t="shared" si="0"/>
        <v>0</v>
      </c>
      <c r="BF47" s="171">
        <f t="shared" si="0"/>
        <v>3515.32467</v>
      </c>
      <c r="BG47" s="171">
        <f t="shared" si="0"/>
        <v>0</v>
      </c>
      <c r="BH47" s="171">
        <f t="shared" si="0"/>
        <v>1201.8204000000001</v>
      </c>
      <c r="BI47" s="171">
        <f t="shared" si="0"/>
        <v>0</v>
      </c>
      <c r="BJ47" s="171">
        <f t="shared" si="0"/>
        <v>0</v>
      </c>
      <c r="BK47" s="171">
        <f t="shared" si="0"/>
        <v>2043.0946800000002</v>
      </c>
      <c r="BL47" s="171">
        <f t="shared" si="0"/>
        <v>0</v>
      </c>
      <c r="BM47" s="147"/>
      <c r="BO47" s="148" t="s">
        <v>12</v>
      </c>
      <c r="BP47" s="149">
        <v>4.7693510555121187E-2</v>
      </c>
      <c r="BR47" s="148" t="s">
        <v>13</v>
      </c>
      <c r="BS47" s="148">
        <v>54</v>
      </c>
      <c r="BT47" s="149">
        <v>9.5070422535211266E-2</v>
      </c>
    </row>
    <row r="48" spans="1:72" ht="36.75" hidden="1" customHeight="1" outlineLevel="1">
      <c r="A48" s="81"/>
      <c r="B48" s="334" t="s">
        <v>90</v>
      </c>
      <c r="C48" s="107"/>
      <c r="D48" s="465" t="s">
        <v>339</v>
      </c>
      <c r="E48" s="465"/>
      <c r="F48" s="81" t="s">
        <v>79</v>
      </c>
      <c r="G48" s="10" t="s">
        <v>81</v>
      </c>
      <c r="H48" s="35" t="s">
        <v>87</v>
      </c>
      <c r="I48" s="36"/>
      <c r="J48" s="35"/>
      <c r="K48" s="129"/>
      <c r="L48" s="31">
        <f>160*0.15</f>
        <v>24</v>
      </c>
      <c r="M48" s="38" t="s">
        <v>87</v>
      </c>
      <c r="N48" s="42"/>
      <c r="O48" s="38"/>
      <c r="P48" s="42"/>
      <c r="Q48" s="38">
        <f>160*0.4</f>
        <v>64</v>
      </c>
      <c r="R48" s="49"/>
      <c r="S48" s="49"/>
      <c r="T48" s="49"/>
      <c r="U48" s="49"/>
      <c r="V48" s="49"/>
      <c r="W48" s="49"/>
      <c r="X48" s="75" t="s">
        <v>18</v>
      </c>
      <c r="Y48" s="72"/>
      <c r="Z48" s="45"/>
      <c r="AA48" s="45"/>
      <c r="AB48" s="45"/>
      <c r="AC48" s="69">
        <f>$L$48*BP45</f>
        <v>3.0586395621579356</v>
      </c>
      <c r="AD48" s="72"/>
      <c r="AE48" s="45"/>
      <c r="AF48" s="45"/>
      <c r="AG48" s="45"/>
      <c r="AH48" s="69">
        <f>$L$48*BP51</f>
        <v>4.9726348709929633</v>
      </c>
      <c r="AI48" s="72"/>
      <c r="AJ48" s="45"/>
      <c r="AK48" s="45"/>
      <c r="AL48" s="45"/>
      <c r="AM48" s="69">
        <f>$L$48*BP49</f>
        <v>5.2916340891321347</v>
      </c>
      <c r="AN48" s="72"/>
      <c r="AO48" s="45"/>
      <c r="AP48" s="45"/>
      <c r="AQ48" s="45"/>
      <c r="AR48" s="69">
        <f>$L$48*BP47</f>
        <v>1.1446442533229084</v>
      </c>
      <c r="AS48" s="72"/>
      <c r="AT48" s="45"/>
      <c r="AU48" s="45"/>
      <c r="AV48" s="45"/>
      <c r="AW48" s="69">
        <f>$L$48*BP48</f>
        <v>2.2329945269741986</v>
      </c>
      <c r="AX48" s="72"/>
      <c r="AY48" s="45"/>
      <c r="AZ48" s="45"/>
      <c r="BA48" s="45"/>
      <c r="BB48" s="69">
        <f>$L$48*BP46</f>
        <v>2.0078186082877245</v>
      </c>
      <c r="BC48" s="72"/>
      <c r="BD48" s="45"/>
      <c r="BE48" s="45"/>
      <c r="BF48" s="45"/>
      <c r="BG48" s="69">
        <f>$L$48*BP52</f>
        <v>2.8522283033620015</v>
      </c>
      <c r="BH48" s="72"/>
      <c r="BI48" s="45"/>
      <c r="BJ48" s="45"/>
      <c r="BK48" s="45"/>
      <c r="BL48" s="69">
        <f>$L$48*BP50</f>
        <v>2.4394057857701328</v>
      </c>
      <c r="BN48" s="147">
        <f>BL48+BG48+BB48+AW48+AR48+AM48+AH48+AC48</f>
        <v>24</v>
      </c>
      <c r="BO48" s="148" t="s">
        <v>13</v>
      </c>
      <c r="BP48" s="149">
        <v>9.3041438623924944E-2</v>
      </c>
      <c r="BR48" s="148" t="s">
        <v>23</v>
      </c>
      <c r="BS48" s="148">
        <v>153</v>
      </c>
      <c r="BT48" s="149">
        <v>0.26936619718309857</v>
      </c>
    </row>
    <row r="49" spans="1:72" ht="36.75" hidden="1" customHeight="1" outlineLevel="1">
      <c r="A49" s="82"/>
      <c r="B49" s="335" t="s">
        <v>175</v>
      </c>
      <c r="C49" s="11"/>
      <c r="D49" s="434" t="s">
        <v>340</v>
      </c>
      <c r="E49" s="434"/>
      <c r="F49" s="82" t="s">
        <v>79</v>
      </c>
      <c r="G49" s="11" t="s">
        <v>80</v>
      </c>
      <c r="H49" s="35" t="s">
        <v>87</v>
      </c>
      <c r="I49" s="36"/>
      <c r="J49" s="35"/>
      <c r="K49" s="129"/>
      <c r="L49" s="131">
        <f>597*0.15</f>
        <v>89.55</v>
      </c>
      <c r="M49" s="38" t="s">
        <v>87</v>
      </c>
      <c r="N49" s="42"/>
      <c r="O49" s="38"/>
      <c r="P49" s="42"/>
      <c r="Q49" s="38">
        <f>597*0.4</f>
        <v>238.8</v>
      </c>
      <c r="R49" s="49"/>
      <c r="S49" s="49"/>
      <c r="T49" s="49"/>
      <c r="U49" s="49"/>
      <c r="V49" s="49"/>
      <c r="W49" s="49"/>
      <c r="X49" s="74" t="s">
        <v>19</v>
      </c>
      <c r="Y49" s="73"/>
      <c r="Z49" s="46"/>
      <c r="AA49" s="46"/>
      <c r="AB49" s="46"/>
      <c r="AC49" s="70">
        <f>L49*BT44</f>
        <v>6.7793133802816898</v>
      </c>
      <c r="AD49" s="73"/>
      <c r="AE49" s="46"/>
      <c r="AF49" s="46"/>
      <c r="AG49" s="46"/>
      <c r="AH49" s="69">
        <f>$L$49*BT50</f>
        <v>12.455017605633802</v>
      </c>
      <c r="AI49" s="73"/>
      <c r="AJ49" s="46"/>
      <c r="AK49" s="46"/>
      <c r="AL49" s="46"/>
      <c r="AM49" s="69">
        <f>$L$49*BT48</f>
        <v>24.121742957746477</v>
      </c>
      <c r="AN49" s="73"/>
      <c r="AO49" s="46"/>
      <c r="AP49" s="46"/>
      <c r="AQ49" s="46"/>
      <c r="AR49" s="69">
        <f>$L$49*BT46</f>
        <v>4.4144366197183098</v>
      </c>
      <c r="AS49" s="73"/>
      <c r="AT49" s="46"/>
      <c r="AU49" s="46"/>
      <c r="AV49" s="46"/>
      <c r="AW49" s="69">
        <f>$L$49*BT47</f>
        <v>8.5135563380281685</v>
      </c>
      <c r="AX49" s="73"/>
      <c r="AY49" s="46"/>
      <c r="AZ49" s="46"/>
      <c r="BA49" s="46"/>
      <c r="BB49" s="69">
        <f>$L$49*BT45</f>
        <v>7.8829225352112671</v>
      </c>
      <c r="BC49" s="73"/>
      <c r="BD49" s="46"/>
      <c r="BE49" s="46"/>
      <c r="BF49" s="46"/>
      <c r="BG49" s="69">
        <f>$L$49*BT51</f>
        <v>11.351408450704225</v>
      </c>
      <c r="BH49" s="73"/>
      <c r="BI49" s="46"/>
      <c r="BJ49" s="46"/>
      <c r="BK49" s="46"/>
      <c r="BL49" s="69">
        <f>$L$49*BT49</f>
        <v>14.031602112676056</v>
      </c>
      <c r="BN49" s="147">
        <f>BL49+BG49+BB49+AW49+AR49+AM49+AH49+AC49</f>
        <v>89.55</v>
      </c>
      <c r="BO49" s="148" t="s">
        <v>23</v>
      </c>
      <c r="BP49" s="149">
        <v>0.22048475371383894</v>
      </c>
      <c r="BR49" s="148" t="s">
        <v>104</v>
      </c>
      <c r="BS49" s="148">
        <v>89</v>
      </c>
      <c r="BT49" s="149">
        <v>0.15669014084507044</v>
      </c>
    </row>
    <row r="50" spans="1:72" ht="36.75" customHeight="1" outlineLevel="1">
      <c r="A50" s="82" t="s">
        <v>18</v>
      </c>
      <c r="B50" s="106" t="s">
        <v>159</v>
      </c>
      <c r="C50" s="11"/>
      <c r="D50" s="434" t="s">
        <v>340</v>
      </c>
      <c r="E50" s="434"/>
      <c r="F50" s="82" t="s">
        <v>79</v>
      </c>
      <c r="G50" s="11" t="s">
        <v>80</v>
      </c>
      <c r="H50" s="35"/>
      <c r="I50" s="36"/>
      <c r="J50" s="35"/>
      <c r="K50" s="129"/>
      <c r="L50" s="131">
        <f>SUM(L48:L49)</f>
        <v>113.55</v>
      </c>
      <c r="M50" s="38"/>
      <c r="N50" s="42"/>
      <c r="O50" s="38"/>
      <c r="P50" s="42"/>
      <c r="Q50" s="38">
        <f>SUM(Q48:Q49)</f>
        <v>302.8</v>
      </c>
      <c r="R50" s="49"/>
      <c r="S50" s="49"/>
      <c r="T50" s="49"/>
      <c r="U50" s="49"/>
      <c r="V50" s="49"/>
      <c r="W50" s="49"/>
      <c r="X50" s="74"/>
      <c r="Y50" s="73"/>
      <c r="Z50" s="46"/>
      <c r="AA50" s="46"/>
      <c r="AB50" s="172"/>
      <c r="AC50" s="70">
        <f>SUM(AC47:AC49)</f>
        <v>9.8379529424396246</v>
      </c>
      <c r="AD50" s="70"/>
      <c r="AE50" s="70"/>
      <c r="AF50" s="70"/>
      <c r="AG50" s="70"/>
      <c r="AH50" s="70">
        <f t="shared" ref="AH50:BL50" si="1">SUM(AH47:AH49)</f>
        <v>17.427652476626765</v>
      </c>
      <c r="AI50" s="70"/>
      <c r="AJ50" s="70"/>
      <c r="AK50" s="70"/>
      <c r="AL50" s="70"/>
      <c r="AM50" s="70">
        <f t="shared" si="1"/>
        <v>29.413377046878612</v>
      </c>
      <c r="AN50" s="70"/>
      <c r="AO50" s="70"/>
      <c r="AP50" s="70"/>
      <c r="AQ50" s="70"/>
      <c r="AR50" s="70">
        <f t="shared" si="1"/>
        <v>5.5590808730412178</v>
      </c>
      <c r="AS50" s="70"/>
      <c r="AT50" s="70"/>
      <c r="AU50" s="70"/>
      <c r="AV50" s="70"/>
      <c r="AW50" s="70">
        <f t="shared" si="1"/>
        <v>10.746550865002368</v>
      </c>
      <c r="AX50" s="70"/>
      <c r="AY50" s="70"/>
      <c r="AZ50" s="70"/>
      <c r="BA50" s="70">
        <f t="shared" si="1"/>
        <v>2043.0946800000002</v>
      </c>
      <c r="BB50" s="70">
        <f t="shared" si="1"/>
        <v>9.8907411434989925</v>
      </c>
      <c r="BC50" s="70"/>
      <c r="BD50" s="70"/>
      <c r="BE50" s="70"/>
      <c r="BF50" s="70"/>
      <c r="BG50" s="70">
        <f t="shared" si="1"/>
        <v>14.203636754066228</v>
      </c>
      <c r="BH50" s="70"/>
      <c r="BI50" s="70"/>
      <c r="BJ50" s="70"/>
      <c r="BK50" s="70"/>
      <c r="BL50" s="70">
        <f t="shared" si="1"/>
        <v>16.471007898446189</v>
      </c>
      <c r="BN50" s="147"/>
      <c r="BO50" s="148" t="s">
        <v>104</v>
      </c>
      <c r="BP50" s="149">
        <v>0.1016419077404222</v>
      </c>
      <c r="BR50" s="148" t="s">
        <v>15</v>
      </c>
      <c r="BS50" s="148">
        <v>79</v>
      </c>
      <c r="BT50" s="149">
        <v>0.13908450704225353</v>
      </c>
    </row>
    <row r="51" spans="1:72" ht="36.75" customHeight="1" outlineLevel="1">
      <c r="A51" s="82" t="s">
        <v>19</v>
      </c>
      <c r="B51" s="106" t="s">
        <v>176</v>
      </c>
      <c r="C51" s="11"/>
      <c r="D51" s="434" t="s">
        <v>340</v>
      </c>
      <c r="E51" s="434"/>
      <c r="F51" s="82" t="s">
        <v>79</v>
      </c>
      <c r="G51" s="11" t="s">
        <v>80</v>
      </c>
      <c r="H51" s="35"/>
      <c r="I51" s="36"/>
      <c r="J51" s="35"/>
      <c r="K51" s="129"/>
      <c r="L51" s="131">
        <f>0.15*343</f>
        <v>51.449999999999996</v>
      </c>
      <c r="M51" s="38"/>
      <c r="N51" s="42"/>
      <c r="O51" s="38"/>
      <c r="P51" s="42"/>
      <c r="Q51" s="38">
        <f>0.4*343</f>
        <v>137.20000000000002</v>
      </c>
      <c r="R51" s="49"/>
      <c r="S51" s="49"/>
      <c r="T51" s="49"/>
      <c r="U51" s="49"/>
      <c r="V51" s="49"/>
      <c r="W51" s="49"/>
      <c r="X51" s="74"/>
      <c r="Y51" s="73"/>
      <c r="Z51" s="46"/>
      <c r="AA51" s="46"/>
      <c r="AB51" s="172"/>
      <c r="AC51" s="70">
        <f>$L$51*AB40</f>
        <v>3.3956999999999997</v>
      </c>
      <c r="AD51" s="188"/>
      <c r="AE51" s="189"/>
      <c r="AF51" s="189"/>
      <c r="AG51" s="188"/>
      <c r="AH51" s="70">
        <f>$L$51*AG40</f>
        <v>7.1001000000000003</v>
      </c>
      <c r="AI51" s="188"/>
      <c r="AJ51" s="189"/>
      <c r="AK51" s="189"/>
      <c r="AL51" s="188"/>
      <c r="AM51" s="70">
        <f>$L$51*AL40</f>
        <v>19.242299999999997</v>
      </c>
      <c r="AN51" s="188"/>
      <c r="AO51" s="189"/>
      <c r="AP51" s="189"/>
      <c r="AQ51" s="188"/>
      <c r="AR51" s="70">
        <f>$L$51*AQ40</f>
        <v>5.1449999999999996</v>
      </c>
      <c r="AS51" s="188"/>
      <c r="AT51" s="189"/>
      <c r="AU51" s="189"/>
      <c r="AV51" s="188"/>
      <c r="AW51" s="70">
        <f>$L$51*AV40</f>
        <v>3.5500500000000001</v>
      </c>
      <c r="AX51" s="188"/>
      <c r="AY51" s="189"/>
      <c r="AZ51" s="189"/>
      <c r="BA51" s="188"/>
      <c r="BB51" s="70">
        <f>$L$51*BA40</f>
        <v>3.4986000000000002</v>
      </c>
      <c r="BC51" s="188"/>
      <c r="BD51" s="189"/>
      <c r="BE51" s="189"/>
      <c r="BF51" s="188"/>
      <c r="BG51" s="70">
        <f>$L$51*BF40</f>
        <v>6.0196499999999995</v>
      </c>
      <c r="BH51" s="188"/>
      <c r="BI51" s="189"/>
      <c r="BJ51" s="189"/>
      <c r="BK51" s="188"/>
      <c r="BL51" s="70">
        <f>$L$51*BK40</f>
        <v>3.4986000000000002</v>
      </c>
      <c r="BN51" s="147"/>
      <c r="BO51" s="148" t="s">
        <v>15</v>
      </c>
      <c r="BP51" s="149">
        <v>0.2071931196247068</v>
      </c>
      <c r="BR51" s="148" t="s">
        <v>16</v>
      </c>
      <c r="BS51" s="148">
        <v>72</v>
      </c>
      <c r="BT51" s="149">
        <v>0.12676056338028169</v>
      </c>
    </row>
    <row r="52" spans="1:72" ht="45.95" customHeight="1" outlineLevel="1">
      <c r="A52" s="81" t="s">
        <v>63</v>
      </c>
      <c r="B52" s="107" t="s">
        <v>85</v>
      </c>
      <c r="C52" s="107"/>
      <c r="D52" s="465" t="s">
        <v>338</v>
      </c>
      <c r="E52" s="465"/>
      <c r="F52" s="81" t="s">
        <v>79</v>
      </c>
      <c r="G52" s="10" t="s">
        <v>62</v>
      </c>
      <c r="H52" s="35">
        <f>333869*0.15/2</f>
        <v>25040.174999999999</v>
      </c>
      <c r="I52" s="36"/>
      <c r="J52" s="35"/>
      <c r="K52" s="36">
        <f>H52</f>
        <v>25040.174999999999</v>
      </c>
      <c r="L52" s="35">
        <f>+(160+597)*0.15</f>
        <v>113.55</v>
      </c>
      <c r="M52" s="38">
        <f>333869*0.15/2</f>
        <v>25040.174999999999</v>
      </c>
      <c r="N52" s="42"/>
      <c r="O52" s="38"/>
      <c r="P52" s="42">
        <f>M52</f>
        <v>25040.174999999999</v>
      </c>
      <c r="Q52" s="38">
        <f>+(160+597)*0.4</f>
        <v>302.8</v>
      </c>
      <c r="R52" s="49"/>
      <c r="S52" s="49"/>
      <c r="T52" s="49"/>
      <c r="U52" s="49"/>
      <c r="V52" s="49"/>
      <c r="W52" s="49"/>
      <c r="X52" s="75"/>
      <c r="Y52" s="72">
        <f>$H$52*Y40</f>
        <v>2504.0174999999999</v>
      </c>
      <c r="Z52" s="45"/>
      <c r="AA52" s="45"/>
      <c r="AB52" s="72">
        <f>$K$52*AB40</f>
        <v>1652.65155</v>
      </c>
      <c r="AC52" s="69">
        <f>SUM(AC48+AC49)</f>
        <v>9.8379529424396246</v>
      </c>
      <c r="AD52" s="72">
        <f>$H$52*AD40</f>
        <v>3756.0262499999999</v>
      </c>
      <c r="AE52" s="45"/>
      <c r="AF52" s="45"/>
      <c r="AG52" s="72">
        <f>$K$52*AG40</f>
        <v>3455.5441500000002</v>
      </c>
      <c r="AH52" s="69">
        <f>SUM(AH48+AH49)</f>
        <v>17.427652476626765</v>
      </c>
      <c r="AI52" s="72">
        <f>$H$52*AI40</f>
        <v>6510.4454999999998</v>
      </c>
      <c r="AJ52" s="45"/>
      <c r="AK52" s="45"/>
      <c r="AL52" s="72">
        <f>$K$52*AL40</f>
        <v>9365.0254499999992</v>
      </c>
      <c r="AM52" s="69">
        <f>SUM(AM48+AM49)</f>
        <v>29.413377046878612</v>
      </c>
      <c r="AN52" s="72">
        <f>$H$52*AN40</f>
        <v>500.80349999999999</v>
      </c>
      <c r="AO52" s="45"/>
      <c r="AP52" s="45"/>
      <c r="AQ52" s="72">
        <f>$K$52*AQ40</f>
        <v>2504.0174999999999</v>
      </c>
      <c r="AR52" s="69">
        <f>SUM(AR48+AR49)</f>
        <v>5.5590808730412178</v>
      </c>
      <c r="AS52" s="72">
        <f>$H$52*AS40</f>
        <v>5759.2402499999998</v>
      </c>
      <c r="AT52" s="45"/>
      <c r="AU52" s="45"/>
      <c r="AV52" s="72">
        <f>$K$52*AV40</f>
        <v>1727.7720750000001</v>
      </c>
      <c r="AW52" s="69">
        <f>SUM(AW48+AW49)</f>
        <v>10.746550865002368</v>
      </c>
      <c r="AX52" s="72">
        <f>$H$52*AX40</f>
        <v>3004.8209999999999</v>
      </c>
      <c r="AY52" s="45"/>
      <c r="AZ52" s="45"/>
      <c r="BA52" s="72">
        <f>$K$52*BA40</f>
        <v>1702.7319</v>
      </c>
      <c r="BB52" s="69">
        <f>SUM(BB48+BB49)</f>
        <v>9.8907411434989925</v>
      </c>
      <c r="BC52" s="72">
        <f>$H$52*BC40</f>
        <v>1752.8122500000002</v>
      </c>
      <c r="BD52" s="45"/>
      <c r="BE52" s="45"/>
      <c r="BF52" s="72">
        <f>$K$52*BF40</f>
        <v>2929.7004750000001</v>
      </c>
      <c r="BG52" s="69">
        <f>SUM(BG48+BG49)</f>
        <v>14.203636754066228</v>
      </c>
      <c r="BH52" s="72">
        <f>$H$52*BH40</f>
        <v>1001.607</v>
      </c>
      <c r="BI52" s="45"/>
      <c r="BJ52" s="45"/>
      <c r="BK52" s="72">
        <f>$K$52*BK40</f>
        <v>1702.7319</v>
      </c>
      <c r="BL52" s="69">
        <f>SUM(BL48+BL49)</f>
        <v>16.471007898446189</v>
      </c>
      <c r="BO52" s="148" t="s">
        <v>16</v>
      </c>
      <c r="BP52" s="149">
        <v>0.11884284597341674</v>
      </c>
      <c r="BR52" s="148"/>
      <c r="BS52" s="148">
        <v>568</v>
      </c>
      <c r="BT52" s="149">
        <v>1</v>
      </c>
    </row>
    <row r="53" spans="1:72" ht="31.5" customHeight="1" outlineLevel="1">
      <c r="A53" s="49"/>
      <c r="B53" s="78"/>
      <c r="C53" s="78"/>
      <c r="H53" s="271">
        <f>H47/(H47+K47)</f>
        <v>0.5</v>
      </c>
      <c r="I53" s="78"/>
      <c r="J53" s="78"/>
      <c r="K53" s="78"/>
      <c r="L53" s="49"/>
      <c r="M53" s="271">
        <f>M47/(M47+P47)</f>
        <v>0.5</v>
      </c>
      <c r="N53" s="49"/>
      <c r="O53" s="49"/>
      <c r="P53" s="49"/>
      <c r="Q53" s="49"/>
      <c r="R53" s="7"/>
      <c r="S53" s="7"/>
      <c r="T53" s="49"/>
      <c r="U53" s="49"/>
      <c r="V53" s="49"/>
      <c r="W53" s="49"/>
      <c r="X53" s="96"/>
      <c r="Y53" s="97"/>
      <c r="Z53" s="97"/>
      <c r="AA53" s="97"/>
      <c r="AB53" s="97"/>
      <c r="AC53" s="97"/>
      <c r="AD53" s="97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7"/>
      <c r="BL53" s="77"/>
      <c r="BM53" s="77"/>
    </row>
    <row r="54" spans="1:72" ht="30" customHeight="1" outlineLevel="1">
      <c r="A54" s="444" t="s">
        <v>345</v>
      </c>
      <c r="B54" s="444"/>
      <c r="C54" s="444"/>
      <c r="D54" s="446" t="s">
        <v>56</v>
      </c>
      <c r="E54" s="447"/>
      <c r="F54" s="283" t="s">
        <v>9</v>
      </c>
      <c r="G54" s="283" t="s">
        <v>0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49"/>
      <c r="S54" s="49"/>
      <c r="T54" s="49"/>
      <c r="U54" s="49"/>
      <c r="V54" s="49"/>
      <c r="W54" s="49"/>
      <c r="X54" s="77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469"/>
      <c r="AJ54" s="469"/>
      <c r="AK54" s="469"/>
      <c r="AL54" s="469"/>
      <c r="AM54" s="469"/>
      <c r="AN54" s="469"/>
      <c r="AO54" s="469"/>
      <c r="AP54" s="469"/>
      <c r="AQ54" s="469"/>
      <c r="AR54" s="469"/>
      <c r="AS54" s="469"/>
      <c r="AT54" s="469"/>
      <c r="AU54" s="469"/>
      <c r="AV54" s="469"/>
      <c r="AW54" s="469"/>
      <c r="AX54" s="469"/>
      <c r="AY54" s="469"/>
      <c r="AZ54" s="469"/>
      <c r="BA54" s="469"/>
      <c r="BB54" s="469"/>
      <c r="BC54" s="469"/>
      <c r="BD54" s="469"/>
      <c r="BE54" s="469"/>
      <c r="BF54" s="469"/>
      <c r="BG54" s="469"/>
      <c r="BH54" s="469"/>
      <c r="BI54" s="469"/>
      <c r="BJ54" s="469"/>
      <c r="BK54" s="469"/>
      <c r="BL54" s="469"/>
      <c r="BM54" s="77"/>
    </row>
    <row r="55" spans="1:72" ht="26.1" customHeight="1">
      <c r="A55" s="110" t="s">
        <v>64</v>
      </c>
      <c r="B55" s="434" t="s">
        <v>173</v>
      </c>
      <c r="C55" s="434"/>
      <c r="D55" s="434" t="s">
        <v>346</v>
      </c>
      <c r="E55" s="434"/>
      <c r="F55" s="192" t="s">
        <v>310</v>
      </c>
      <c r="G55" s="192" t="s">
        <v>305</v>
      </c>
    </row>
    <row r="56" spans="1:72" ht="26.1" customHeight="1">
      <c r="A56" s="111" t="s">
        <v>2</v>
      </c>
      <c r="B56" s="434" t="s">
        <v>174</v>
      </c>
      <c r="C56" s="434"/>
      <c r="D56" s="434" t="s">
        <v>346</v>
      </c>
      <c r="E56" s="434"/>
      <c r="F56" s="107" t="s">
        <v>311</v>
      </c>
      <c r="G56" s="107" t="s">
        <v>305</v>
      </c>
    </row>
    <row r="57" spans="1:72" ht="26.1" customHeight="1">
      <c r="A57" s="110" t="s">
        <v>3</v>
      </c>
      <c r="B57" s="434" t="s">
        <v>347</v>
      </c>
      <c r="C57" s="434"/>
      <c r="D57" s="434" t="s">
        <v>346</v>
      </c>
      <c r="E57" s="434"/>
      <c r="F57" s="192" t="s">
        <v>312</v>
      </c>
      <c r="G57" s="192" t="s">
        <v>305</v>
      </c>
    </row>
    <row r="58" spans="1:72" ht="26.1" customHeight="1">
      <c r="A58" s="110" t="s">
        <v>65</v>
      </c>
      <c r="B58" s="434" t="s">
        <v>252</v>
      </c>
      <c r="C58" s="434"/>
      <c r="D58" s="434" t="s">
        <v>346</v>
      </c>
      <c r="E58" s="434"/>
      <c r="F58" s="192" t="s">
        <v>313</v>
      </c>
      <c r="G58" s="192" t="s">
        <v>305</v>
      </c>
    </row>
    <row r="59" spans="1:72" ht="26.1" customHeight="1">
      <c r="A59" s="111" t="s">
        <v>66</v>
      </c>
      <c r="B59" s="475" t="s">
        <v>134</v>
      </c>
      <c r="C59" s="476"/>
      <c r="D59" s="434" t="s">
        <v>346</v>
      </c>
      <c r="E59" s="434"/>
      <c r="F59" s="336" t="s">
        <v>314</v>
      </c>
      <c r="G59" s="192" t="s">
        <v>305</v>
      </c>
    </row>
    <row r="60" spans="1:72" ht="26.1" customHeight="1">
      <c r="A60" s="110" t="s">
        <v>67</v>
      </c>
      <c r="B60" s="434" t="s">
        <v>132</v>
      </c>
      <c r="C60" s="434"/>
      <c r="D60" s="434" t="s">
        <v>346</v>
      </c>
      <c r="E60" s="434"/>
      <c r="F60" s="192" t="s">
        <v>315</v>
      </c>
      <c r="G60" s="192" t="s">
        <v>305</v>
      </c>
    </row>
    <row r="61" spans="1:72" ht="26.1" customHeight="1">
      <c r="A61" s="109"/>
      <c r="B61" s="104"/>
      <c r="C61" s="104"/>
    </row>
    <row r="62" spans="1:72" s="1" customFormat="1" ht="45" customHeight="1">
      <c r="A62" s="449" t="s">
        <v>384</v>
      </c>
      <c r="B62" s="449"/>
      <c r="C62" s="449"/>
      <c r="D62" s="449"/>
      <c r="E62" s="449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3"/>
      <c r="Q62" s="313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"/>
      <c r="BJ62" s="7"/>
      <c r="BK62" s="7"/>
      <c r="BL62" s="7"/>
    </row>
    <row r="63" spans="1:72" s="12" customFormat="1" ht="27.75" customHeight="1">
      <c r="A63" s="436" t="s">
        <v>349</v>
      </c>
      <c r="B63" s="436"/>
      <c r="C63" s="436"/>
      <c r="D63" s="436"/>
      <c r="E63" s="436"/>
      <c r="F63" s="436"/>
      <c r="G63" s="437"/>
      <c r="H63" s="438" t="s">
        <v>331</v>
      </c>
      <c r="I63" s="439"/>
      <c r="J63" s="439"/>
      <c r="K63" s="439"/>
      <c r="L63" s="440"/>
      <c r="M63" s="441" t="s">
        <v>332</v>
      </c>
      <c r="N63" s="442"/>
      <c r="O63" s="442"/>
      <c r="P63" s="442"/>
      <c r="Q63" s="443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</row>
    <row r="64" spans="1:72" s="12" customFormat="1" ht="27.75" customHeight="1" thickBot="1">
      <c r="A64" s="79" t="s">
        <v>5</v>
      </c>
      <c r="B64" s="33" t="s">
        <v>326</v>
      </c>
      <c r="C64" s="33" t="s">
        <v>4</v>
      </c>
      <c r="D64" s="450" t="s">
        <v>56</v>
      </c>
      <c r="E64" s="451"/>
      <c r="F64" s="34" t="s">
        <v>9</v>
      </c>
      <c r="G64" s="34" t="s">
        <v>0</v>
      </c>
      <c r="H64" s="43" t="s">
        <v>21</v>
      </c>
      <c r="I64" s="314" t="s">
        <v>29</v>
      </c>
      <c r="J64" s="43" t="s">
        <v>28</v>
      </c>
      <c r="K64" s="314" t="s">
        <v>22</v>
      </c>
      <c r="L64" s="43" t="s">
        <v>40</v>
      </c>
      <c r="M64" s="315" t="s">
        <v>21</v>
      </c>
      <c r="N64" s="316" t="s">
        <v>29</v>
      </c>
      <c r="O64" s="315" t="s">
        <v>28</v>
      </c>
      <c r="P64" s="316" t="s">
        <v>22</v>
      </c>
      <c r="Q64" s="315" t="s">
        <v>40</v>
      </c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</row>
    <row r="65" spans="1:64" s="12" customFormat="1" ht="27.75" customHeight="1">
      <c r="A65" s="112" t="s">
        <v>17</v>
      </c>
      <c r="B65" s="106" t="s">
        <v>169</v>
      </c>
      <c r="C65" s="106"/>
      <c r="D65" s="452" t="s">
        <v>350</v>
      </c>
      <c r="E65" s="453"/>
      <c r="F65" s="106" t="s">
        <v>79</v>
      </c>
      <c r="G65" s="106" t="s">
        <v>80</v>
      </c>
      <c r="H65" s="317">
        <f>H88+H102</f>
        <v>107827.80000000002</v>
      </c>
      <c r="I65" s="318">
        <f t="shared" ref="I65:Q65" si="2">I88+I102</f>
        <v>0</v>
      </c>
      <c r="J65" s="319">
        <f t="shared" si="2"/>
        <v>0</v>
      </c>
      <c r="K65" s="317">
        <f t="shared" si="2"/>
        <v>263912.19999999995</v>
      </c>
      <c r="L65" s="319">
        <f t="shared" si="2"/>
        <v>0</v>
      </c>
      <c r="M65" s="321">
        <f t="shared" si="2"/>
        <v>67392.375</v>
      </c>
      <c r="N65" s="114">
        <f t="shared" si="2"/>
        <v>0</v>
      </c>
      <c r="O65" s="322">
        <f t="shared" si="2"/>
        <v>0</v>
      </c>
      <c r="P65" s="323">
        <f t="shared" si="2"/>
        <v>164945.125</v>
      </c>
      <c r="Q65" s="322">
        <f t="shared" si="2"/>
        <v>0</v>
      </c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64" s="12" customFormat="1" ht="27.75" customHeight="1">
      <c r="A66" s="112" t="s">
        <v>18</v>
      </c>
      <c r="B66" s="106" t="s">
        <v>168</v>
      </c>
      <c r="C66" s="106"/>
      <c r="D66" s="461" t="s">
        <v>350</v>
      </c>
      <c r="E66" s="462"/>
      <c r="F66" s="106" t="s">
        <v>79</v>
      </c>
      <c r="G66" s="106" t="s">
        <v>80</v>
      </c>
      <c r="H66" s="317"/>
      <c r="I66" s="318"/>
      <c r="J66" s="319"/>
      <c r="K66" s="326"/>
      <c r="L66" s="319"/>
      <c r="M66" s="321">
        <f>M105</f>
        <v>0</v>
      </c>
      <c r="N66" s="114"/>
      <c r="O66" s="322"/>
      <c r="P66" s="323">
        <f>P105</f>
        <v>0</v>
      </c>
      <c r="Q66" s="322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</row>
    <row r="67" spans="1:64" s="12" customFormat="1" ht="27.75" customHeight="1">
      <c r="A67" s="337"/>
      <c r="B67" s="337"/>
      <c r="C67" s="337"/>
      <c r="D67" s="337"/>
      <c r="E67" s="312"/>
      <c r="F67" s="312"/>
      <c r="G67" s="312"/>
      <c r="H67" s="100">
        <f>AVERAGE(H65:H66)</f>
        <v>107827.80000000002</v>
      </c>
      <c r="I67" s="312"/>
      <c r="J67" s="312"/>
      <c r="K67" s="100">
        <f>AVERAGE(K65:K66)</f>
        <v>263912.19999999995</v>
      </c>
      <c r="L67" s="312"/>
      <c r="M67" s="100">
        <f>AVERAGE(M65:M66)</f>
        <v>33696.1875</v>
      </c>
      <c r="N67" s="99"/>
      <c r="O67" s="99"/>
      <c r="P67" s="100">
        <f>AVERAGE(P65:P66)</f>
        <v>82472.5625</v>
      </c>
      <c r="Q67" s="313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</row>
    <row r="68" spans="1:64" s="1" customFormat="1" ht="29.25" customHeight="1" outlineLevel="1" thickBot="1">
      <c r="A68" s="49"/>
      <c r="B68" s="328" t="s">
        <v>351</v>
      </c>
      <c r="C68" s="338" t="s">
        <v>335</v>
      </c>
      <c r="D68" s="339">
        <v>2019</v>
      </c>
      <c r="E68" s="408">
        <v>2020</v>
      </c>
      <c r="F68" s="485">
        <v>2021</v>
      </c>
      <c r="G68" s="486"/>
      <c r="H68" s="352">
        <f>H67/(K67+H67)</f>
        <v>0.29006240921073873</v>
      </c>
      <c r="I68" s="352"/>
      <c r="J68" s="352"/>
      <c r="K68" s="352"/>
      <c r="L68" s="352"/>
      <c r="M68" s="352">
        <f>M67/(P67+M67)</f>
        <v>0.29006240921073867</v>
      </c>
      <c r="N68" s="7"/>
      <c r="O68" s="7"/>
      <c r="P68" s="7"/>
      <c r="Q68" s="470"/>
      <c r="R68" s="470"/>
      <c r="S68" s="470"/>
      <c r="T68" s="470"/>
      <c r="U68" s="470"/>
      <c r="V68" s="470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</row>
    <row r="69" spans="1:64" s="1" customFormat="1" ht="23.45" customHeight="1" outlineLevel="1">
      <c r="A69" s="7"/>
      <c r="B69" s="329" t="s">
        <v>334</v>
      </c>
      <c r="C69" s="90">
        <f>C74+C79</f>
        <v>51600000</v>
      </c>
      <c r="D69" s="91">
        <f t="shared" ref="D69:G69" si="3">D74+D79</f>
        <v>32250000</v>
      </c>
      <c r="E69" s="409">
        <f t="shared" si="3"/>
        <v>32250000</v>
      </c>
      <c r="F69" s="487">
        <f t="shared" si="3"/>
        <v>12900000</v>
      </c>
      <c r="G69" s="488">
        <f t="shared" si="3"/>
        <v>0</v>
      </c>
      <c r="H69" s="78"/>
      <c r="I69" s="78"/>
      <c r="J69" s="78"/>
      <c r="K69" s="78"/>
      <c r="L69" s="78"/>
      <c r="M69" s="78"/>
      <c r="N69" s="7"/>
      <c r="O69" s="7"/>
      <c r="P69" s="410"/>
      <c r="Q69" s="410"/>
      <c r="R69" s="410"/>
      <c r="S69" s="410"/>
      <c r="T69" s="410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</row>
    <row r="70" spans="1:64" s="1" customFormat="1" ht="23.45" customHeight="1" outlineLevel="1">
      <c r="A70" s="49"/>
      <c r="B70" s="93" t="s">
        <v>24</v>
      </c>
      <c r="C70" s="94">
        <f>H68</f>
        <v>0.29006240921073873</v>
      </c>
      <c r="D70" s="95">
        <f>M68</f>
        <v>0.29006240921073867</v>
      </c>
      <c r="E70" s="407" t="s">
        <v>39</v>
      </c>
      <c r="F70" s="489" t="s">
        <v>39</v>
      </c>
      <c r="G70" s="490"/>
      <c r="H70" s="78"/>
      <c r="I70" s="78"/>
      <c r="J70" s="78"/>
      <c r="K70" s="78"/>
      <c r="L70" s="78"/>
      <c r="M70" s="78"/>
      <c r="N70" s="78"/>
      <c r="O70" s="78"/>
      <c r="P70" s="78"/>
      <c r="Q70" s="7"/>
      <c r="R70" s="7"/>
      <c r="S70" s="7"/>
      <c r="T70" s="410"/>
      <c r="U70" s="410"/>
      <c r="V70" s="410"/>
      <c r="W70" s="410"/>
      <c r="X70" s="410"/>
      <c r="Y70" s="410"/>
      <c r="Z70" s="410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</row>
    <row r="71" spans="1:64" s="1" customFormat="1" ht="23.45" customHeight="1" outlineLevel="1" thickBot="1">
      <c r="A71" s="49"/>
      <c r="B71" s="93" t="s">
        <v>25</v>
      </c>
      <c r="C71" s="94">
        <f>1-C70</f>
        <v>0.70993759078926133</v>
      </c>
      <c r="D71" s="95">
        <f>1-D70</f>
        <v>0.70993759078926133</v>
      </c>
      <c r="E71" s="407" t="s">
        <v>39</v>
      </c>
      <c r="F71" s="489" t="s">
        <v>39</v>
      </c>
      <c r="G71" s="490"/>
      <c r="H71" s="78"/>
      <c r="I71" s="78"/>
      <c r="J71" s="78"/>
      <c r="K71" s="78"/>
      <c r="L71" s="78"/>
      <c r="M71" s="78"/>
      <c r="N71" s="78"/>
      <c r="O71" s="78"/>
      <c r="P71" s="78"/>
      <c r="Q71" s="7"/>
      <c r="R71" s="7"/>
      <c r="S71" s="7"/>
      <c r="T71" s="410"/>
      <c r="U71" s="410"/>
      <c r="V71" s="410"/>
      <c r="W71" s="410"/>
      <c r="X71" s="410"/>
      <c r="Y71" s="132">
        <v>0.1</v>
      </c>
      <c r="Z71" s="7"/>
      <c r="AA71" s="7"/>
      <c r="AB71" s="132">
        <v>6.6000000000000003E-2</v>
      </c>
      <c r="AC71" s="7"/>
      <c r="AD71" s="132">
        <v>0.15</v>
      </c>
      <c r="AE71" s="7"/>
      <c r="AF71" s="7"/>
      <c r="AG71" s="132">
        <v>0.13800000000000001</v>
      </c>
      <c r="AH71" s="7"/>
      <c r="AI71" s="132">
        <v>0.26</v>
      </c>
      <c r="AJ71" s="7"/>
      <c r="AK71" s="7"/>
      <c r="AL71" s="132">
        <v>0.374</v>
      </c>
      <c r="AM71" s="7"/>
      <c r="AN71" s="132">
        <v>0.02</v>
      </c>
      <c r="AO71" s="7"/>
      <c r="AP71" s="7"/>
      <c r="AQ71" s="132">
        <v>0.1</v>
      </c>
      <c r="AR71" s="7"/>
      <c r="AS71" s="132">
        <v>0.23</v>
      </c>
      <c r="AT71" s="7"/>
      <c r="AU71" s="7"/>
      <c r="AV71" s="132">
        <v>6.9000000000000006E-2</v>
      </c>
      <c r="AW71" s="7"/>
      <c r="AX71" s="132">
        <v>0.12</v>
      </c>
      <c r="AY71" s="7"/>
      <c r="AZ71" s="7"/>
      <c r="BA71" s="132">
        <v>6.8000000000000005E-2</v>
      </c>
      <c r="BB71" s="7"/>
      <c r="BC71" s="132">
        <v>7.0000000000000007E-2</v>
      </c>
      <c r="BD71" s="7"/>
      <c r="BE71" s="7"/>
      <c r="BF71" s="132">
        <v>0.11700000000000001</v>
      </c>
      <c r="BG71" s="7"/>
      <c r="BH71" s="132">
        <v>0.04</v>
      </c>
      <c r="BK71" s="132">
        <v>6.8000000000000005E-2</v>
      </c>
      <c r="BL71" s="7"/>
    </row>
    <row r="72" spans="1:64" s="1" customFormat="1" ht="19.5" customHeight="1" outlineLevel="1">
      <c r="A72" s="49"/>
      <c r="B72" s="3"/>
      <c r="C72" s="3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"/>
      <c r="R72" s="7"/>
      <c r="S72" s="7"/>
      <c r="T72" s="7"/>
      <c r="U72" s="7"/>
      <c r="V72" s="7"/>
      <c r="W72" s="7"/>
      <c r="X72" s="86" t="s">
        <v>336</v>
      </c>
      <c r="Y72" s="6"/>
      <c r="Z72" s="6"/>
      <c r="AA72" s="6"/>
      <c r="AB72" s="6"/>
      <c r="AC72" s="6"/>
      <c r="AD72" s="6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</row>
    <row r="73" spans="1:64" s="383" customFormat="1" ht="19.5" customHeight="1" outlineLevel="1" thickBot="1">
      <c r="A73" s="374"/>
      <c r="B73" s="375" t="s">
        <v>8</v>
      </c>
      <c r="C73" s="376" t="s">
        <v>335</v>
      </c>
      <c r="D73" s="377">
        <v>2019</v>
      </c>
      <c r="E73" s="378">
        <v>2020</v>
      </c>
      <c r="F73" s="479">
        <v>2021</v>
      </c>
      <c r="G73" s="480"/>
      <c r="H73" s="379"/>
      <c r="I73" s="379"/>
      <c r="J73" s="379"/>
      <c r="K73" s="379"/>
      <c r="L73" s="379"/>
      <c r="M73" s="379"/>
      <c r="N73" s="379"/>
      <c r="O73" s="379"/>
      <c r="P73" s="379"/>
      <c r="Q73" s="380"/>
      <c r="R73" s="380"/>
      <c r="S73" s="380"/>
      <c r="T73" s="380"/>
      <c r="U73" s="380"/>
      <c r="V73" s="380"/>
      <c r="W73" s="380"/>
      <c r="X73" s="381"/>
      <c r="Y73" s="382"/>
      <c r="Z73" s="382"/>
      <c r="AA73" s="382"/>
      <c r="AB73" s="382"/>
      <c r="AC73" s="382"/>
      <c r="AD73" s="382"/>
      <c r="AE73" s="380"/>
      <c r="AF73" s="380"/>
      <c r="AG73" s="380"/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380"/>
      <c r="AW73" s="380"/>
      <c r="AX73" s="380"/>
      <c r="AY73" s="380"/>
      <c r="AZ73" s="380"/>
      <c r="BA73" s="380"/>
      <c r="BB73" s="380"/>
      <c r="BC73" s="380"/>
      <c r="BD73" s="380"/>
      <c r="BE73" s="380"/>
      <c r="BF73" s="380"/>
      <c r="BG73" s="380"/>
      <c r="BH73" s="380"/>
      <c r="BI73" s="380"/>
      <c r="BJ73" s="380"/>
      <c r="BK73" s="380"/>
      <c r="BL73" s="380"/>
    </row>
    <row r="74" spans="1:64" s="383" customFormat="1" ht="19.5" customHeight="1" outlineLevel="1">
      <c r="A74" s="374"/>
      <c r="B74" s="384" t="s">
        <v>26</v>
      </c>
      <c r="C74" s="385">
        <f>14000000*0.4</f>
        <v>5600000</v>
      </c>
      <c r="D74" s="386">
        <f>14000000*0.25</f>
        <v>3500000</v>
      </c>
      <c r="E74" s="404">
        <f>D74</f>
        <v>3500000</v>
      </c>
      <c r="F74" s="481">
        <f>1400000</f>
        <v>1400000</v>
      </c>
      <c r="G74" s="481"/>
      <c r="H74" s="379"/>
      <c r="I74" s="379"/>
      <c r="J74" s="379"/>
      <c r="K74" s="379"/>
      <c r="L74" s="379"/>
      <c r="M74" s="379"/>
      <c r="N74" s="379"/>
      <c r="O74" s="379"/>
      <c r="P74" s="379"/>
      <c r="Q74" s="380"/>
      <c r="R74" s="380"/>
      <c r="S74" s="380"/>
      <c r="T74" s="380"/>
      <c r="U74" s="380"/>
      <c r="V74" s="380"/>
      <c r="W74" s="380"/>
      <c r="X74" s="381"/>
      <c r="Y74" s="382"/>
      <c r="Z74" s="382"/>
      <c r="AA74" s="382"/>
      <c r="AB74" s="382"/>
      <c r="AC74" s="382"/>
      <c r="AD74" s="382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380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380"/>
      <c r="BJ74" s="380"/>
      <c r="BK74" s="380"/>
      <c r="BL74" s="380"/>
    </row>
    <row r="75" spans="1:64" s="383" customFormat="1" ht="19.5" customHeight="1" outlineLevel="1">
      <c r="A75" s="374"/>
      <c r="B75" s="388" t="s">
        <v>24</v>
      </c>
      <c r="C75" s="389">
        <f>H89</f>
        <v>0.34883720930232559</v>
      </c>
      <c r="D75" s="390">
        <f>M89</f>
        <v>0.34883720930232559</v>
      </c>
      <c r="E75" s="406" t="s">
        <v>39</v>
      </c>
      <c r="F75" s="482" t="s">
        <v>39</v>
      </c>
      <c r="G75" s="482"/>
      <c r="H75" s="379"/>
      <c r="I75" s="379"/>
      <c r="J75" s="379"/>
      <c r="K75" s="379"/>
      <c r="L75" s="379"/>
      <c r="M75" s="379"/>
      <c r="N75" s="379"/>
      <c r="O75" s="379"/>
      <c r="P75" s="379"/>
      <c r="Q75" s="380"/>
      <c r="R75" s="380"/>
      <c r="S75" s="380"/>
      <c r="T75" s="380"/>
      <c r="U75" s="380"/>
      <c r="V75" s="380"/>
      <c r="W75" s="380"/>
      <c r="X75" s="381"/>
      <c r="Y75" s="382"/>
      <c r="Z75" s="382"/>
      <c r="AA75" s="382"/>
      <c r="AB75" s="382"/>
      <c r="AC75" s="382"/>
      <c r="AD75" s="382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380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380"/>
      <c r="BJ75" s="380"/>
      <c r="BK75" s="380"/>
      <c r="BL75" s="380"/>
    </row>
    <row r="76" spans="1:64" s="383" customFormat="1" ht="19.5" customHeight="1" outlineLevel="1">
      <c r="A76" s="374"/>
      <c r="B76" s="388" t="s">
        <v>25</v>
      </c>
      <c r="C76" s="389">
        <f>1-C75</f>
        <v>0.65116279069767447</v>
      </c>
      <c r="D76" s="390">
        <f>1-D75</f>
        <v>0.65116279069767447</v>
      </c>
      <c r="E76" s="406" t="s">
        <v>39</v>
      </c>
      <c r="F76" s="482" t="s">
        <v>39</v>
      </c>
      <c r="G76" s="482"/>
      <c r="H76" s="379"/>
      <c r="I76" s="379"/>
      <c r="J76" s="379"/>
      <c r="K76" s="379"/>
      <c r="L76" s="379"/>
      <c r="M76" s="379"/>
      <c r="N76" s="379"/>
      <c r="O76" s="379"/>
      <c r="P76" s="379"/>
      <c r="Q76" s="380"/>
      <c r="R76" s="380"/>
      <c r="S76" s="380"/>
      <c r="T76" s="380"/>
      <c r="U76" s="380"/>
      <c r="V76" s="380"/>
      <c r="W76" s="380"/>
      <c r="X76" s="381"/>
      <c r="Y76" s="382"/>
      <c r="Z76" s="382"/>
      <c r="AA76" s="382"/>
      <c r="AB76" s="382"/>
      <c r="AC76" s="382"/>
      <c r="AD76" s="382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380"/>
      <c r="BJ76" s="380"/>
      <c r="BK76" s="380"/>
      <c r="BL76" s="380"/>
    </row>
    <row r="77" spans="1:64" s="383" customFormat="1" ht="19.5" customHeight="1" outlineLevel="1">
      <c r="A77" s="374"/>
      <c r="B77" s="392"/>
      <c r="C77" s="392"/>
      <c r="D77" s="393"/>
      <c r="E77" s="393"/>
      <c r="F77" s="393"/>
      <c r="G77" s="393"/>
      <c r="H77" s="379"/>
      <c r="I77" s="379"/>
      <c r="J77" s="379"/>
      <c r="K77" s="379"/>
      <c r="L77" s="379"/>
      <c r="M77" s="379"/>
      <c r="N77" s="379"/>
      <c r="O77" s="379"/>
      <c r="P77" s="379"/>
      <c r="Q77" s="380"/>
      <c r="R77" s="380"/>
      <c r="S77" s="380"/>
      <c r="T77" s="380"/>
      <c r="U77" s="380"/>
      <c r="V77" s="380"/>
      <c r="W77" s="380"/>
      <c r="X77" s="381"/>
      <c r="Y77" s="382"/>
      <c r="Z77" s="382"/>
      <c r="AA77" s="382"/>
      <c r="AB77" s="382"/>
      <c r="AC77" s="382"/>
      <c r="AD77" s="382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380"/>
      <c r="AY77" s="380"/>
      <c r="AZ77" s="380"/>
      <c r="BA77" s="380"/>
      <c r="BB77" s="380"/>
      <c r="BC77" s="380"/>
      <c r="BD77" s="380"/>
      <c r="BE77" s="380"/>
      <c r="BF77" s="380"/>
      <c r="BG77" s="380"/>
      <c r="BH77" s="380"/>
      <c r="BI77" s="380"/>
      <c r="BJ77" s="380"/>
      <c r="BK77" s="380"/>
      <c r="BL77" s="380"/>
    </row>
    <row r="78" spans="1:64" s="383" customFormat="1" ht="19.5" customHeight="1" outlineLevel="1" thickBot="1">
      <c r="A78" s="374"/>
      <c r="B78" s="394" t="s">
        <v>8</v>
      </c>
      <c r="C78" s="376" t="s">
        <v>335</v>
      </c>
      <c r="D78" s="377">
        <v>2019</v>
      </c>
      <c r="E78" s="378">
        <v>2020</v>
      </c>
      <c r="F78" s="479">
        <v>2021</v>
      </c>
      <c r="G78" s="480"/>
      <c r="H78" s="379"/>
      <c r="I78" s="379"/>
      <c r="J78" s="379"/>
      <c r="K78" s="379"/>
      <c r="L78" s="379"/>
      <c r="M78" s="379"/>
      <c r="N78" s="379"/>
      <c r="O78" s="379"/>
      <c r="P78" s="379"/>
      <c r="Q78" s="380"/>
      <c r="R78" s="380"/>
      <c r="S78" s="380"/>
      <c r="T78" s="380"/>
      <c r="U78" s="380"/>
      <c r="V78" s="380"/>
      <c r="W78" s="380"/>
      <c r="X78" s="381"/>
      <c r="Y78" s="382"/>
      <c r="Z78" s="382"/>
      <c r="AA78" s="382"/>
      <c r="AB78" s="382"/>
      <c r="AC78" s="382"/>
      <c r="AD78" s="382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380"/>
      <c r="AY78" s="380"/>
      <c r="AZ78" s="380"/>
      <c r="BA78" s="380"/>
      <c r="BB78" s="380"/>
      <c r="BC78" s="380"/>
      <c r="BD78" s="380"/>
      <c r="BE78" s="380"/>
      <c r="BF78" s="380"/>
      <c r="BG78" s="380"/>
      <c r="BH78" s="380"/>
      <c r="BI78" s="380"/>
      <c r="BJ78" s="380"/>
      <c r="BK78" s="380"/>
      <c r="BL78" s="380"/>
    </row>
    <row r="79" spans="1:64" s="383" customFormat="1" ht="19.5" customHeight="1" outlineLevel="1">
      <c r="A79" s="374"/>
      <c r="B79" s="395" t="s">
        <v>26</v>
      </c>
      <c r="C79" s="396">
        <f>115000000*0.4</f>
        <v>46000000</v>
      </c>
      <c r="D79" s="397">
        <f>115000000*0.25</f>
        <v>28750000</v>
      </c>
      <c r="E79" s="405">
        <f>D79</f>
        <v>28750000</v>
      </c>
      <c r="F79" s="483">
        <f>115000000*0.1</f>
        <v>11500000</v>
      </c>
      <c r="G79" s="484"/>
      <c r="H79" s="379"/>
      <c r="I79" s="379"/>
      <c r="J79" s="379"/>
      <c r="K79" s="379"/>
      <c r="L79" s="379"/>
      <c r="M79" s="379"/>
      <c r="N79" s="379"/>
      <c r="O79" s="379"/>
      <c r="P79" s="379"/>
      <c r="Q79" s="380"/>
      <c r="R79" s="380"/>
      <c r="S79" s="380"/>
      <c r="T79" s="380"/>
      <c r="U79" s="380"/>
      <c r="V79" s="380"/>
      <c r="W79" s="380"/>
      <c r="X79" s="381"/>
      <c r="Y79" s="382"/>
      <c r="Z79" s="382"/>
      <c r="AA79" s="382"/>
      <c r="AB79" s="382"/>
      <c r="AC79" s="382"/>
      <c r="AD79" s="382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380"/>
      <c r="AY79" s="380"/>
      <c r="AZ79" s="380"/>
      <c r="BA79" s="380"/>
      <c r="BB79" s="380"/>
      <c r="BC79" s="380"/>
      <c r="BD79" s="380"/>
      <c r="BE79" s="380"/>
      <c r="BF79" s="380"/>
      <c r="BG79" s="380"/>
      <c r="BH79" s="380"/>
      <c r="BI79" s="380"/>
      <c r="BJ79" s="380"/>
      <c r="BK79" s="380"/>
      <c r="BL79" s="380"/>
    </row>
    <row r="80" spans="1:64" s="383" customFormat="1" ht="19.5" customHeight="1" outlineLevel="1">
      <c r="A80" s="374"/>
      <c r="B80" s="399" t="s">
        <v>24</v>
      </c>
      <c r="C80" s="400">
        <f>H103</f>
        <v>0.27000000000000007</v>
      </c>
      <c r="D80" s="401">
        <f>M103</f>
        <v>0.27</v>
      </c>
      <c r="E80" s="406" t="s">
        <v>39</v>
      </c>
      <c r="F80" s="477" t="s">
        <v>39</v>
      </c>
      <c r="G80" s="478"/>
      <c r="H80" s="379"/>
      <c r="I80" s="379"/>
      <c r="J80" s="379"/>
      <c r="K80" s="379"/>
      <c r="L80" s="379"/>
      <c r="M80" s="379"/>
      <c r="N80" s="379"/>
      <c r="O80" s="379"/>
      <c r="P80" s="379"/>
      <c r="Q80" s="380"/>
      <c r="R80" s="380"/>
      <c r="S80" s="380"/>
      <c r="T80" s="380"/>
      <c r="U80" s="380"/>
      <c r="V80" s="380"/>
      <c r="W80" s="380"/>
      <c r="X80" s="381"/>
      <c r="Y80" s="382"/>
      <c r="Z80" s="382"/>
      <c r="AA80" s="382"/>
      <c r="AB80" s="382"/>
      <c r="AC80" s="382"/>
      <c r="AD80" s="382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0"/>
      <c r="BI80" s="380"/>
      <c r="BJ80" s="380"/>
      <c r="BK80" s="380"/>
      <c r="BL80" s="380"/>
    </row>
    <row r="81" spans="1:72" s="383" customFormat="1" ht="19.5" customHeight="1" outlineLevel="1">
      <c r="A81" s="374"/>
      <c r="B81" s="399" t="s">
        <v>25</v>
      </c>
      <c r="C81" s="400">
        <f>1-C80</f>
        <v>0.73</v>
      </c>
      <c r="D81" s="401">
        <f>1-D80</f>
        <v>0.73</v>
      </c>
      <c r="E81" s="406" t="s">
        <v>39</v>
      </c>
      <c r="F81" s="477" t="s">
        <v>39</v>
      </c>
      <c r="G81" s="478"/>
      <c r="H81" s="379"/>
      <c r="I81" s="379"/>
      <c r="J81" s="379"/>
      <c r="K81" s="379"/>
      <c r="L81" s="379"/>
      <c r="M81" s="379"/>
      <c r="N81" s="379"/>
      <c r="O81" s="379"/>
      <c r="P81" s="379"/>
      <c r="Q81" s="380"/>
      <c r="R81" s="380"/>
      <c r="S81" s="380"/>
      <c r="T81" s="380"/>
      <c r="U81" s="380"/>
      <c r="V81" s="380"/>
      <c r="W81" s="380"/>
      <c r="X81" s="381"/>
      <c r="Y81" s="382"/>
      <c r="Z81" s="382"/>
      <c r="AA81" s="382"/>
      <c r="AB81" s="382"/>
      <c r="AC81" s="382"/>
      <c r="AD81" s="382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  <c r="AT81" s="380"/>
      <c r="AU81" s="380"/>
      <c r="AV81" s="380"/>
      <c r="AW81" s="380"/>
      <c r="AX81" s="380"/>
      <c r="AY81" s="380"/>
      <c r="AZ81" s="380"/>
      <c r="BA81" s="380"/>
      <c r="BB81" s="380"/>
      <c r="BC81" s="380"/>
      <c r="BD81" s="380"/>
      <c r="BE81" s="380"/>
      <c r="BF81" s="380"/>
      <c r="BG81" s="380"/>
      <c r="BH81" s="380"/>
      <c r="BI81" s="380"/>
      <c r="BJ81" s="380"/>
      <c r="BK81" s="380"/>
      <c r="BL81" s="380"/>
    </row>
    <row r="82" spans="1:72" s="1" customFormat="1" ht="19.5" customHeight="1" outlineLevel="1">
      <c r="A82" s="49"/>
      <c r="B82" s="3"/>
      <c r="C82" s="3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"/>
      <c r="R82" s="7"/>
      <c r="S82" s="7"/>
      <c r="T82" s="7"/>
      <c r="U82" s="7"/>
      <c r="V82" s="7"/>
      <c r="W82" s="7"/>
      <c r="X82" s="86"/>
      <c r="Y82" s="6"/>
      <c r="Z82" s="6"/>
      <c r="AA82" s="6"/>
      <c r="AB82" s="6"/>
      <c r="AC82" s="6"/>
      <c r="AD82" s="6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72" s="1" customFormat="1" ht="19.5" customHeight="1" outlineLevel="1">
      <c r="A83" s="435" t="s">
        <v>383</v>
      </c>
      <c r="B83" s="435"/>
      <c r="C83" s="435"/>
      <c r="D83" s="435"/>
      <c r="E83" s="435"/>
      <c r="F83" s="435"/>
      <c r="G83" s="435"/>
      <c r="H83" s="78"/>
      <c r="I83" s="78"/>
      <c r="J83" s="78"/>
      <c r="K83" s="78"/>
      <c r="L83" s="78"/>
      <c r="M83" s="78"/>
      <c r="N83" s="78"/>
      <c r="O83" s="78"/>
      <c r="P83" s="78"/>
      <c r="Q83" s="7"/>
      <c r="R83" s="7"/>
      <c r="S83" s="7"/>
      <c r="T83" s="7"/>
      <c r="U83" s="7"/>
      <c r="V83" s="7"/>
      <c r="W83" s="7"/>
      <c r="X83" s="86"/>
      <c r="Y83" s="6"/>
      <c r="Z83" s="6"/>
      <c r="AA83" s="6"/>
      <c r="AB83" s="6"/>
      <c r="AC83" s="6"/>
      <c r="AD83" s="6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72" ht="21" outlineLevel="1">
      <c r="A84" s="436" t="s">
        <v>352</v>
      </c>
      <c r="B84" s="436"/>
      <c r="C84" s="436"/>
      <c r="D84" s="436"/>
      <c r="E84" s="436"/>
      <c r="F84" s="436"/>
      <c r="G84" s="437"/>
      <c r="H84" s="438" t="s">
        <v>331</v>
      </c>
      <c r="I84" s="439"/>
      <c r="J84" s="439"/>
      <c r="K84" s="439"/>
      <c r="L84" s="440"/>
      <c r="M84" s="441" t="s">
        <v>332</v>
      </c>
      <c r="N84" s="442"/>
      <c r="O84" s="442"/>
      <c r="P84" s="442"/>
      <c r="Q84" s="443"/>
      <c r="R84" s="49"/>
      <c r="S84" s="49"/>
      <c r="T84" s="49"/>
      <c r="U84" s="49"/>
      <c r="V84" s="49"/>
      <c r="W84" s="49"/>
      <c r="X84" s="49"/>
      <c r="Y84" s="431" t="s">
        <v>10</v>
      </c>
      <c r="Z84" s="432"/>
      <c r="AA84" s="432"/>
      <c r="AB84" s="432"/>
      <c r="AC84" s="433"/>
      <c r="AD84" s="431" t="s">
        <v>15</v>
      </c>
      <c r="AE84" s="432"/>
      <c r="AF84" s="432"/>
      <c r="AG84" s="432"/>
      <c r="AH84" s="433"/>
      <c r="AI84" s="431" t="s">
        <v>23</v>
      </c>
      <c r="AJ84" s="432"/>
      <c r="AK84" s="432"/>
      <c r="AL84" s="432"/>
      <c r="AM84" s="433"/>
      <c r="AN84" s="431" t="s">
        <v>12</v>
      </c>
      <c r="AO84" s="432"/>
      <c r="AP84" s="432"/>
      <c r="AQ84" s="432"/>
      <c r="AR84" s="433"/>
      <c r="AS84" s="431" t="s">
        <v>13</v>
      </c>
      <c r="AT84" s="432"/>
      <c r="AU84" s="432"/>
      <c r="AV84" s="432"/>
      <c r="AW84" s="433"/>
      <c r="AX84" s="431" t="s">
        <v>11</v>
      </c>
      <c r="AY84" s="432"/>
      <c r="AZ84" s="432"/>
      <c r="BA84" s="432"/>
      <c r="BB84" s="433"/>
      <c r="BC84" s="431" t="s">
        <v>16</v>
      </c>
      <c r="BD84" s="432"/>
      <c r="BE84" s="432"/>
      <c r="BF84" s="432"/>
      <c r="BG84" s="433"/>
      <c r="BH84" s="431" t="s">
        <v>14</v>
      </c>
      <c r="BI84" s="432"/>
      <c r="BJ84" s="432"/>
      <c r="BK84" s="432"/>
      <c r="BL84" s="433"/>
    </row>
    <row r="85" spans="1:72" ht="29.45" customHeight="1" outlineLevel="1" thickBot="1">
      <c r="A85" s="79" t="s">
        <v>5</v>
      </c>
      <c r="B85" s="33" t="s">
        <v>7</v>
      </c>
      <c r="C85" s="33" t="s">
        <v>4</v>
      </c>
      <c r="D85" s="450" t="s">
        <v>56</v>
      </c>
      <c r="E85" s="451"/>
      <c r="F85" s="34" t="s">
        <v>9</v>
      </c>
      <c r="G85" s="34" t="s">
        <v>0</v>
      </c>
      <c r="H85" s="30" t="s">
        <v>21</v>
      </c>
      <c r="I85" s="29" t="s">
        <v>29</v>
      </c>
      <c r="J85" s="30" t="s">
        <v>28</v>
      </c>
      <c r="K85" s="29" t="s">
        <v>22</v>
      </c>
      <c r="L85" s="30" t="s">
        <v>40</v>
      </c>
      <c r="M85" s="37" t="s">
        <v>21</v>
      </c>
      <c r="N85" s="40" t="s">
        <v>29</v>
      </c>
      <c r="O85" s="37" t="s">
        <v>28</v>
      </c>
      <c r="P85" s="40" t="s">
        <v>22</v>
      </c>
      <c r="Q85" s="37" t="s">
        <v>40</v>
      </c>
      <c r="R85" s="49"/>
      <c r="S85" s="49"/>
      <c r="T85" s="49"/>
      <c r="U85" s="49"/>
      <c r="V85" s="49"/>
      <c r="W85" s="49"/>
      <c r="X85" s="49"/>
      <c r="Y85" s="71" t="s">
        <v>21</v>
      </c>
      <c r="Z85" s="43" t="s">
        <v>29</v>
      </c>
      <c r="AA85" s="43" t="s">
        <v>28</v>
      </c>
      <c r="AB85" s="43" t="s">
        <v>22</v>
      </c>
      <c r="AC85" s="67" t="s">
        <v>40</v>
      </c>
      <c r="AD85" s="71" t="s">
        <v>21</v>
      </c>
      <c r="AE85" s="43" t="s">
        <v>29</v>
      </c>
      <c r="AF85" s="43" t="s">
        <v>28</v>
      </c>
      <c r="AG85" s="43" t="s">
        <v>22</v>
      </c>
      <c r="AH85" s="67" t="s">
        <v>40</v>
      </c>
      <c r="AI85" s="71" t="s">
        <v>21</v>
      </c>
      <c r="AJ85" s="43" t="s">
        <v>29</v>
      </c>
      <c r="AK85" s="43" t="s">
        <v>28</v>
      </c>
      <c r="AL85" s="43" t="s">
        <v>22</v>
      </c>
      <c r="AM85" s="67" t="s">
        <v>40</v>
      </c>
      <c r="AN85" s="71" t="s">
        <v>21</v>
      </c>
      <c r="AO85" s="43" t="s">
        <v>29</v>
      </c>
      <c r="AP85" s="43" t="s">
        <v>28</v>
      </c>
      <c r="AQ85" s="43" t="s">
        <v>22</v>
      </c>
      <c r="AR85" s="67" t="s">
        <v>40</v>
      </c>
      <c r="AS85" s="71" t="s">
        <v>21</v>
      </c>
      <c r="AT85" s="43" t="s">
        <v>29</v>
      </c>
      <c r="AU85" s="43" t="s">
        <v>28</v>
      </c>
      <c r="AV85" s="43" t="s">
        <v>22</v>
      </c>
      <c r="AW85" s="67" t="s">
        <v>40</v>
      </c>
      <c r="AX85" s="71" t="s">
        <v>21</v>
      </c>
      <c r="AY85" s="43" t="s">
        <v>29</v>
      </c>
      <c r="AZ85" s="43" t="s">
        <v>28</v>
      </c>
      <c r="BA85" s="43" t="s">
        <v>22</v>
      </c>
      <c r="BB85" s="67"/>
      <c r="BC85" s="71" t="s">
        <v>21</v>
      </c>
      <c r="BD85" s="43" t="s">
        <v>29</v>
      </c>
      <c r="BE85" s="43" t="s">
        <v>28</v>
      </c>
      <c r="BF85" s="43" t="s">
        <v>22</v>
      </c>
      <c r="BG85" s="67"/>
      <c r="BH85" s="71" t="s">
        <v>21</v>
      </c>
      <c r="BI85" s="43" t="s">
        <v>29</v>
      </c>
      <c r="BJ85" s="43" t="s">
        <v>28</v>
      </c>
      <c r="BK85" s="43" t="s">
        <v>22</v>
      </c>
      <c r="BL85" s="67" t="s">
        <v>40</v>
      </c>
    </row>
    <row r="86" spans="1:72" ht="51" hidden="1" customHeight="1" outlineLevel="1">
      <c r="A86" s="82"/>
      <c r="B86" s="349" t="s">
        <v>170</v>
      </c>
      <c r="C86" s="118"/>
      <c r="D86" s="457" t="s">
        <v>82</v>
      </c>
      <c r="E86" s="457"/>
      <c r="F86" s="80" t="s">
        <v>79</v>
      </c>
      <c r="G86" s="11" t="s">
        <v>81</v>
      </c>
      <c r="H86" s="36">
        <f>7*5000*0.3*5*0.4</f>
        <v>21000</v>
      </c>
      <c r="I86" s="36"/>
      <c r="J86" s="35"/>
      <c r="K86" s="36">
        <f>7*5000*0.7*4*0.4</f>
        <v>39200</v>
      </c>
      <c r="L86" s="35"/>
      <c r="M86" s="38">
        <f>7*5000*0.3*5*0.25</f>
        <v>13125</v>
      </c>
      <c r="N86" s="42"/>
      <c r="O86" s="38"/>
      <c r="P86" s="42">
        <f>7*5000*0.7*4*0.25</f>
        <v>24500</v>
      </c>
      <c r="Q86" s="38"/>
      <c r="R86" s="7"/>
      <c r="S86" s="7"/>
      <c r="T86" s="7"/>
      <c r="U86" s="7"/>
      <c r="V86" s="7"/>
      <c r="W86" s="7"/>
      <c r="X86" s="7"/>
      <c r="Y86" s="73">
        <f>$H$86*Y71</f>
        <v>2100</v>
      </c>
      <c r="Z86" s="46"/>
      <c r="AA86" s="46"/>
      <c r="AB86" s="73">
        <f>$K$86*AB71</f>
        <v>2587.2000000000003</v>
      </c>
      <c r="AC86" s="70"/>
      <c r="AD86" s="73">
        <f>$H$86*AD71</f>
        <v>3150</v>
      </c>
      <c r="AE86" s="46"/>
      <c r="AF86" s="46"/>
      <c r="AG86" s="73">
        <f>$K$86*AG71</f>
        <v>5409.6</v>
      </c>
      <c r="AH86" s="70"/>
      <c r="AI86" s="73">
        <f>$H$86*AI71</f>
        <v>5460</v>
      </c>
      <c r="AJ86" s="46"/>
      <c r="AK86" s="46"/>
      <c r="AL86" s="73">
        <f>$K$86*AL71</f>
        <v>14660.8</v>
      </c>
      <c r="AM86" s="70"/>
      <c r="AN86" s="73">
        <f>$H$86*AN71</f>
        <v>420</v>
      </c>
      <c r="AO86" s="46"/>
      <c r="AP86" s="46"/>
      <c r="AQ86" s="73">
        <f>$K$86*AQ71</f>
        <v>3920</v>
      </c>
      <c r="AR86" s="70"/>
      <c r="AS86" s="73">
        <f>$H$86*AS71</f>
        <v>4830</v>
      </c>
      <c r="AT86" s="46"/>
      <c r="AU86" s="46"/>
      <c r="AV86" s="73">
        <f>$K$86*AV71</f>
        <v>2704.8</v>
      </c>
      <c r="AW86" s="70"/>
      <c r="AX86" s="73">
        <f>$H$86*AX71</f>
        <v>2520</v>
      </c>
      <c r="AY86" s="46"/>
      <c r="AZ86" s="46"/>
      <c r="BA86" s="73">
        <f>$K$86*BA71</f>
        <v>2665.6000000000004</v>
      </c>
      <c r="BB86" s="70"/>
      <c r="BC86" s="73">
        <f>$H$86*BC71</f>
        <v>1470.0000000000002</v>
      </c>
      <c r="BD86" s="46"/>
      <c r="BE86" s="46"/>
      <c r="BF86" s="73">
        <f>$K$86*BF71</f>
        <v>4586.4000000000005</v>
      </c>
      <c r="BG86" s="70"/>
      <c r="BH86" s="73">
        <f>$H$86*BH71</f>
        <v>840</v>
      </c>
      <c r="BI86" s="46"/>
      <c r="BJ86" s="46"/>
      <c r="BK86" s="73">
        <f>$K$86*BK71</f>
        <v>2665.6000000000004</v>
      </c>
      <c r="BL86" s="70"/>
    </row>
    <row r="87" spans="1:72" s="170" customFormat="1" ht="51" hidden="1" customHeight="1" outlineLevel="1">
      <c r="A87" s="81"/>
      <c r="B87" s="350" t="s">
        <v>171</v>
      </c>
      <c r="C87" s="10"/>
      <c r="D87" s="455" t="s">
        <v>83</v>
      </c>
      <c r="E87" s="456"/>
      <c r="F87" s="81" t="s">
        <v>79</v>
      </c>
      <c r="G87" s="10" t="s">
        <v>81</v>
      </c>
      <c r="H87" s="36">
        <f>2*10000*0.3*5*0.4</f>
        <v>12000</v>
      </c>
      <c r="I87" s="36"/>
      <c r="J87" s="35"/>
      <c r="K87" s="36">
        <f>2*10000*0.7*4*0.4</f>
        <v>22400</v>
      </c>
      <c r="L87" s="35"/>
      <c r="M87" s="38">
        <f>2*10000*0.3*5*0.25</f>
        <v>7500</v>
      </c>
      <c r="N87" s="42"/>
      <c r="O87" s="38"/>
      <c r="P87" s="42">
        <f>2*10000*0.7*4*0.25</f>
        <v>14000</v>
      </c>
      <c r="Q87" s="38"/>
      <c r="R87" s="7"/>
      <c r="S87" s="7"/>
      <c r="T87" s="7"/>
      <c r="U87" s="7"/>
      <c r="V87" s="7"/>
      <c r="W87" s="7"/>
      <c r="X87" s="7"/>
      <c r="Y87" s="73">
        <f>$H$87*Y71</f>
        <v>1200</v>
      </c>
      <c r="Z87" s="46"/>
      <c r="AA87" s="46"/>
      <c r="AB87" s="73">
        <f>$K$87*AB71</f>
        <v>1478.4</v>
      </c>
      <c r="AC87" s="70"/>
      <c r="AD87" s="73">
        <f>$H$87*AD71</f>
        <v>1800</v>
      </c>
      <c r="AE87" s="46"/>
      <c r="AF87" s="46"/>
      <c r="AG87" s="73">
        <f>$K$87*AG71</f>
        <v>3091.2000000000003</v>
      </c>
      <c r="AH87" s="70"/>
      <c r="AI87" s="73">
        <f>$H$87*AI71</f>
        <v>3120</v>
      </c>
      <c r="AJ87" s="46"/>
      <c r="AK87" s="46"/>
      <c r="AL87" s="73">
        <f>$K$87*AL71</f>
        <v>8377.6</v>
      </c>
      <c r="AM87" s="70"/>
      <c r="AN87" s="73">
        <f>$H$87*AN71</f>
        <v>240</v>
      </c>
      <c r="AO87" s="46"/>
      <c r="AP87" s="46"/>
      <c r="AQ87" s="73">
        <f>$K$87*AQ71</f>
        <v>2240</v>
      </c>
      <c r="AR87" s="70"/>
      <c r="AS87" s="73">
        <f>$H$87*AS71</f>
        <v>2760</v>
      </c>
      <c r="AT87" s="46"/>
      <c r="AU87" s="46"/>
      <c r="AV87" s="73">
        <f>$K$87*AV71</f>
        <v>1545.6000000000001</v>
      </c>
      <c r="AW87" s="70"/>
      <c r="AX87" s="73">
        <f>$H$87*AX71</f>
        <v>1440</v>
      </c>
      <c r="AY87" s="46"/>
      <c r="AZ87" s="46"/>
      <c r="BA87" s="73">
        <f>$K$87*BA71</f>
        <v>1523.2</v>
      </c>
      <c r="BB87" s="70"/>
      <c r="BC87" s="73">
        <f>$H$87*BC71</f>
        <v>840.00000000000011</v>
      </c>
      <c r="BD87" s="46"/>
      <c r="BE87" s="46"/>
      <c r="BF87" s="73">
        <f>$K$87*BF71</f>
        <v>2620.8000000000002</v>
      </c>
      <c r="BG87" s="70"/>
      <c r="BH87" s="73">
        <f>$H$87*BH71</f>
        <v>480</v>
      </c>
      <c r="BI87" s="46"/>
      <c r="BJ87" s="46"/>
      <c r="BK87" s="73">
        <f>$K$87*BK71</f>
        <v>1523.2</v>
      </c>
      <c r="BL87" s="70"/>
    </row>
    <row r="88" spans="1:72" s="170" customFormat="1" ht="51" customHeight="1" outlineLevel="1">
      <c r="A88" s="81" t="s">
        <v>17</v>
      </c>
      <c r="B88" s="169" t="s">
        <v>169</v>
      </c>
      <c r="C88" s="117"/>
      <c r="D88" s="455" t="s">
        <v>83</v>
      </c>
      <c r="E88" s="456"/>
      <c r="F88" s="81" t="s">
        <v>79</v>
      </c>
      <c r="G88" s="10" t="s">
        <v>81</v>
      </c>
      <c r="H88" s="35">
        <f>SUM(H86:H87)</f>
        <v>33000</v>
      </c>
      <c r="I88" s="36"/>
      <c r="J88" s="35"/>
      <c r="K88" s="35">
        <f>SUM(K86:K87)</f>
        <v>61600</v>
      </c>
      <c r="L88" s="35"/>
      <c r="M88" s="38">
        <f>SUM(M86:M87)</f>
        <v>20625</v>
      </c>
      <c r="N88" s="42"/>
      <c r="O88" s="38"/>
      <c r="P88" s="42">
        <f>SUM(P86:P87)</f>
        <v>38500</v>
      </c>
      <c r="Q88" s="38"/>
      <c r="R88" s="7"/>
      <c r="S88" s="7"/>
      <c r="T88" s="7"/>
      <c r="U88" s="7"/>
      <c r="V88" s="7"/>
      <c r="W88" s="7"/>
      <c r="X88" s="7"/>
      <c r="Y88" s="73">
        <f>SUM(Y86:Y87)</f>
        <v>3300</v>
      </c>
      <c r="Z88" s="73">
        <f t="shared" ref="Z88:BL88" si="4">SUM(Z86:Z87)</f>
        <v>0</v>
      </c>
      <c r="AA88" s="73">
        <f t="shared" si="4"/>
        <v>0</v>
      </c>
      <c r="AB88" s="73">
        <f t="shared" si="4"/>
        <v>4065.6000000000004</v>
      </c>
      <c r="AC88" s="73">
        <f t="shared" si="4"/>
        <v>0</v>
      </c>
      <c r="AD88" s="73">
        <f t="shared" si="4"/>
        <v>4950</v>
      </c>
      <c r="AE88" s="73">
        <f t="shared" si="4"/>
        <v>0</v>
      </c>
      <c r="AF88" s="73">
        <f t="shared" si="4"/>
        <v>0</v>
      </c>
      <c r="AG88" s="73">
        <f t="shared" si="4"/>
        <v>8500.8000000000011</v>
      </c>
      <c r="AH88" s="73">
        <f t="shared" si="4"/>
        <v>0</v>
      </c>
      <c r="AI88" s="73">
        <f t="shared" si="4"/>
        <v>8580</v>
      </c>
      <c r="AJ88" s="73">
        <f t="shared" si="4"/>
        <v>0</v>
      </c>
      <c r="AK88" s="73">
        <f t="shared" si="4"/>
        <v>0</v>
      </c>
      <c r="AL88" s="73">
        <f t="shared" si="4"/>
        <v>23038.400000000001</v>
      </c>
      <c r="AM88" s="73">
        <f t="shared" si="4"/>
        <v>0</v>
      </c>
      <c r="AN88" s="73">
        <f t="shared" si="4"/>
        <v>660</v>
      </c>
      <c r="AO88" s="73">
        <f t="shared" si="4"/>
        <v>0</v>
      </c>
      <c r="AP88" s="73">
        <f t="shared" si="4"/>
        <v>0</v>
      </c>
      <c r="AQ88" s="73">
        <f t="shared" si="4"/>
        <v>6160</v>
      </c>
      <c r="AR88" s="73">
        <f t="shared" si="4"/>
        <v>0</v>
      </c>
      <c r="AS88" s="73">
        <f t="shared" si="4"/>
        <v>7590</v>
      </c>
      <c r="AT88" s="73">
        <f t="shared" si="4"/>
        <v>0</v>
      </c>
      <c r="AU88" s="73">
        <f t="shared" si="4"/>
        <v>0</v>
      </c>
      <c r="AV88" s="73">
        <f t="shared" si="4"/>
        <v>4250.4000000000005</v>
      </c>
      <c r="AW88" s="73">
        <f t="shared" si="4"/>
        <v>0</v>
      </c>
      <c r="AX88" s="73">
        <f t="shared" si="4"/>
        <v>3960</v>
      </c>
      <c r="AY88" s="73">
        <f t="shared" si="4"/>
        <v>0</v>
      </c>
      <c r="AZ88" s="73">
        <f t="shared" si="4"/>
        <v>0</v>
      </c>
      <c r="BA88" s="73">
        <f t="shared" si="4"/>
        <v>4188.8</v>
      </c>
      <c r="BB88" s="73">
        <f t="shared" si="4"/>
        <v>0</v>
      </c>
      <c r="BC88" s="73">
        <f t="shared" si="4"/>
        <v>2310.0000000000005</v>
      </c>
      <c r="BD88" s="73">
        <f t="shared" si="4"/>
        <v>0</v>
      </c>
      <c r="BE88" s="73">
        <f t="shared" si="4"/>
        <v>0</v>
      </c>
      <c r="BF88" s="73">
        <f t="shared" si="4"/>
        <v>7207.2000000000007</v>
      </c>
      <c r="BG88" s="73">
        <f t="shared" si="4"/>
        <v>0</v>
      </c>
      <c r="BH88" s="73">
        <f t="shared" si="4"/>
        <v>1320</v>
      </c>
      <c r="BI88" s="73">
        <f t="shared" si="4"/>
        <v>0</v>
      </c>
      <c r="BJ88" s="73">
        <f t="shared" si="4"/>
        <v>0</v>
      </c>
      <c r="BK88" s="73">
        <f t="shared" si="4"/>
        <v>4188.8</v>
      </c>
      <c r="BL88" s="73">
        <f t="shared" si="4"/>
        <v>0</v>
      </c>
    </row>
    <row r="89" spans="1:72" ht="31.5" customHeight="1" outlineLevel="1">
      <c r="A89" s="49"/>
      <c r="B89" s="78"/>
      <c r="C89" s="78"/>
      <c r="H89" s="271">
        <f>H88/(K88+H88)</f>
        <v>0.34883720930232559</v>
      </c>
      <c r="I89" s="78"/>
      <c r="J89" s="78"/>
      <c r="K89" s="78"/>
      <c r="L89" s="49"/>
      <c r="M89" s="271">
        <f>M88/(P88+M88)</f>
        <v>0.34883720930232559</v>
      </c>
      <c r="N89" s="49"/>
      <c r="O89" s="49"/>
      <c r="P89" s="49"/>
      <c r="Q89" s="49"/>
      <c r="R89" s="7"/>
      <c r="S89" s="7"/>
      <c r="T89" s="7"/>
      <c r="U89" s="7"/>
      <c r="V89" s="7"/>
      <c r="W89" s="7"/>
      <c r="X89" s="7"/>
      <c r="Y89" s="97"/>
      <c r="Z89" s="97"/>
      <c r="AA89" s="97"/>
      <c r="AB89" s="97"/>
      <c r="AC89" s="97"/>
      <c r="AD89" s="97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7"/>
      <c r="BL89" s="77"/>
      <c r="BM89" s="77"/>
    </row>
    <row r="90" spans="1:72" ht="21.75" outlineLevel="1" thickBot="1">
      <c r="A90" s="471" t="s">
        <v>372</v>
      </c>
      <c r="B90" s="471"/>
      <c r="C90" s="471"/>
      <c r="D90" s="450" t="s">
        <v>56</v>
      </c>
      <c r="E90" s="451"/>
      <c r="F90" s="283" t="s">
        <v>9</v>
      </c>
      <c r="G90" s="283" t="s">
        <v>0</v>
      </c>
      <c r="I90" s="102"/>
      <c r="J90" s="101"/>
      <c r="K90" s="101"/>
      <c r="L90" s="101"/>
      <c r="M90" s="101"/>
      <c r="N90" s="101"/>
      <c r="O90" s="101"/>
      <c r="P90" s="101"/>
      <c r="Q90" s="101"/>
      <c r="R90" s="49"/>
      <c r="S90" s="49"/>
      <c r="T90" s="49"/>
      <c r="U90" s="49"/>
      <c r="V90" s="49"/>
      <c r="W90" s="49"/>
      <c r="X90" s="77"/>
      <c r="Y90" s="469"/>
      <c r="Z90" s="469"/>
      <c r="AA90" s="469"/>
      <c r="AB90" s="469"/>
      <c r="AC90" s="469"/>
      <c r="AD90" s="469"/>
      <c r="AE90" s="469"/>
      <c r="AF90" s="469"/>
      <c r="AG90" s="469"/>
      <c r="AH90" s="469"/>
      <c r="AI90" s="469"/>
      <c r="AJ90" s="469"/>
      <c r="AK90" s="469"/>
      <c r="AL90" s="469"/>
      <c r="AM90" s="469"/>
      <c r="AN90" s="469"/>
      <c r="AO90" s="469"/>
      <c r="AP90" s="469"/>
      <c r="AQ90" s="469"/>
      <c r="AR90" s="469"/>
      <c r="AS90" s="469"/>
      <c r="AT90" s="469"/>
      <c r="AU90" s="469"/>
      <c r="AV90" s="469"/>
      <c r="AW90" s="469"/>
      <c r="AX90" s="469"/>
      <c r="AY90" s="469"/>
      <c r="AZ90" s="469"/>
      <c r="BA90" s="469"/>
      <c r="BB90" s="469"/>
      <c r="BC90" s="469"/>
      <c r="BD90" s="469"/>
      <c r="BE90" s="469"/>
      <c r="BF90" s="469"/>
      <c r="BG90" s="469"/>
      <c r="BH90" s="469"/>
      <c r="BI90" s="469"/>
      <c r="BJ90" s="469"/>
      <c r="BK90" s="469"/>
      <c r="BL90" s="469"/>
      <c r="BM90" s="77"/>
    </row>
    <row r="91" spans="1:72" ht="24.6" customHeight="1" outlineLevel="1">
      <c r="A91" s="110" t="s">
        <v>64</v>
      </c>
      <c r="B91" s="458" t="s">
        <v>143</v>
      </c>
      <c r="C91" s="458"/>
      <c r="D91" s="457" t="s">
        <v>82</v>
      </c>
      <c r="E91" s="457"/>
      <c r="F91" s="11" t="s">
        <v>316</v>
      </c>
      <c r="G91" s="107" t="s">
        <v>81</v>
      </c>
      <c r="H91" s="102"/>
      <c r="I91" s="102"/>
      <c r="J91" s="103"/>
      <c r="K91" s="49"/>
      <c r="L91" s="49"/>
      <c r="M91" s="49"/>
      <c r="N91" s="49"/>
      <c r="O91" s="49"/>
      <c r="P91" s="49"/>
      <c r="Q91" s="98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77"/>
    </row>
    <row r="92" spans="1:72" ht="24.6" customHeight="1" outlineLevel="1">
      <c r="A92" s="111" t="s">
        <v>2</v>
      </c>
      <c r="B92" s="458" t="s">
        <v>141</v>
      </c>
      <c r="C92" s="458"/>
      <c r="D92" s="455" t="s">
        <v>83</v>
      </c>
      <c r="E92" s="456"/>
      <c r="F92" s="11" t="s">
        <v>316</v>
      </c>
      <c r="G92" s="107" t="s">
        <v>81</v>
      </c>
      <c r="H92" s="102"/>
      <c r="I92" s="102"/>
      <c r="J92" s="102"/>
      <c r="K92" s="49"/>
      <c r="L92" s="49"/>
      <c r="M92" s="49"/>
      <c r="N92" s="49"/>
      <c r="O92" s="49"/>
      <c r="P92" s="49"/>
      <c r="Q92" s="98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77"/>
    </row>
    <row r="93" spans="1:72" ht="24.6" customHeight="1" outlineLevel="1">
      <c r="A93" s="110" t="s">
        <v>3</v>
      </c>
      <c r="B93" s="458" t="s">
        <v>144</v>
      </c>
      <c r="C93" s="458"/>
      <c r="D93" s="455" t="s">
        <v>83</v>
      </c>
      <c r="E93" s="456"/>
      <c r="F93" s="11" t="s">
        <v>316</v>
      </c>
      <c r="G93" s="107" t="s">
        <v>81</v>
      </c>
      <c r="H93" s="102"/>
      <c r="I93" s="102"/>
      <c r="J93" s="102"/>
      <c r="K93" s="49"/>
      <c r="L93" s="49"/>
      <c r="M93" s="49"/>
      <c r="N93" s="49"/>
      <c r="O93" s="49"/>
      <c r="P93" s="49"/>
      <c r="Q93" s="98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77"/>
    </row>
    <row r="94" spans="1:72" ht="24.6" customHeight="1" outlineLevel="1">
      <c r="A94" s="111" t="s">
        <v>65</v>
      </c>
      <c r="B94" s="458" t="s">
        <v>142</v>
      </c>
      <c r="C94" s="458"/>
      <c r="D94" s="455" t="s">
        <v>83</v>
      </c>
      <c r="E94" s="456"/>
      <c r="F94" s="11" t="s">
        <v>316</v>
      </c>
      <c r="G94" s="107" t="s">
        <v>81</v>
      </c>
      <c r="H94" s="102"/>
      <c r="I94" s="102"/>
      <c r="J94" s="102"/>
      <c r="K94" s="49"/>
      <c r="L94" s="49"/>
      <c r="M94" s="49"/>
      <c r="N94" s="49"/>
      <c r="O94" s="49"/>
      <c r="P94" s="49"/>
      <c r="Q94" s="98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77"/>
    </row>
    <row r="95" spans="1:72" ht="24.6" customHeight="1" outlineLevel="1">
      <c r="A95" s="111" t="s">
        <v>66</v>
      </c>
      <c r="B95" s="458" t="s">
        <v>145</v>
      </c>
      <c r="C95" s="458"/>
      <c r="D95" s="455" t="s">
        <v>83</v>
      </c>
      <c r="E95" s="456"/>
      <c r="F95" s="11" t="s">
        <v>309</v>
      </c>
      <c r="G95" s="107" t="s">
        <v>81</v>
      </c>
      <c r="H95" s="102"/>
      <c r="I95" s="102"/>
      <c r="J95" s="102"/>
      <c r="K95" s="49"/>
      <c r="L95" s="49"/>
      <c r="M95" s="49"/>
      <c r="N95" s="49"/>
      <c r="O95" s="49"/>
      <c r="P95" s="49"/>
      <c r="Q95" s="98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77"/>
    </row>
    <row r="96" spans="1:72" s="1" customFormat="1" ht="23.45" customHeight="1" outlineLevel="1" thickBot="1">
      <c r="A96" s="49"/>
      <c r="B96" s="49"/>
      <c r="C96" s="49"/>
      <c r="D96" s="49"/>
      <c r="E96" s="49"/>
      <c r="F96" s="49"/>
      <c r="G96" s="49"/>
      <c r="H96" s="78"/>
      <c r="I96" s="78"/>
      <c r="J96" s="78"/>
      <c r="K96" s="78"/>
      <c r="L96" s="78"/>
      <c r="M96" s="78"/>
      <c r="N96" s="78"/>
      <c r="O96" s="78"/>
      <c r="P96" s="78"/>
      <c r="Q96" s="7"/>
      <c r="R96" s="7"/>
      <c r="S96" s="7"/>
      <c r="T96" s="410"/>
      <c r="U96" s="410"/>
      <c r="V96" s="410"/>
      <c r="W96" s="410"/>
      <c r="X96" s="410"/>
      <c r="Y96" s="132">
        <v>0.1</v>
      </c>
      <c r="Z96" s="7"/>
      <c r="AA96" s="7"/>
      <c r="AB96" s="132">
        <v>6.6000000000000003E-2</v>
      </c>
      <c r="AC96" s="7"/>
      <c r="AD96" s="132">
        <v>0.15</v>
      </c>
      <c r="AE96" s="7"/>
      <c r="AF96" s="7"/>
      <c r="AG96" s="132">
        <v>0.13800000000000001</v>
      </c>
      <c r="AH96" s="7"/>
      <c r="AI96" s="132">
        <v>0.26</v>
      </c>
      <c r="AJ96" s="7"/>
      <c r="AK96" s="7"/>
      <c r="AL96" s="132">
        <v>0.374</v>
      </c>
      <c r="AM96" s="7"/>
      <c r="AN96" s="132">
        <v>0.02</v>
      </c>
      <c r="AO96" s="7"/>
      <c r="AP96" s="7"/>
      <c r="AQ96" s="132">
        <v>0.1</v>
      </c>
      <c r="AR96" s="7"/>
      <c r="AS96" s="132">
        <v>0.23</v>
      </c>
      <c r="AT96" s="7"/>
      <c r="AU96" s="7"/>
      <c r="AV96" s="132">
        <v>6.9000000000000006E-2</v>
      </c>
      <c r="AW96" s="7"/>
      <c r="AX96" s="132">
        <v>0.12</v>
      </c>
      <c r="AY96" s="7"/>
      <c r="AZ96" s="7"/>
      <c r="BA96" s="132">
        <v>6.8000000000000005E-2</v>
      </c>
      <c r="BB96" s="7"/>
      <c r="BC96" s="132">
        <v>7.0000000000000007E-2</v>
      </c>
      <c r="BD96" s="7"/>
      <c r="BE96" s="7"/>
      <c r="BF96" s="132">
        <v>0.11700000000000001</v>
      </c>
      <c r="BG96" s="7"/>
      <c r="BH96" s="132">
        <v>0.04</v>
      </c>
      <c r="BK96" s="132">
        <v>6.8000000000000005E-2</v>
      </c>
      <c r="BL96" s="7"/>
      <c r="BO96"/>
      <c r="BP96" s="152"/>
      <c r="BQ96" s="152">
        <v>2017</v>
      </c>
      <c r="BR96" s="152"/>
      <c r="BS96" s="152"/>
      <c r="BT96" s="152"/>
    </row>
    <row r="97" spans="1:72" s="1" customFormat="1" ht="27.95" customHeight="1" outlineLevel="1">
      <c r="A97" s="435" t="s">
        <v>382</v>
      </c>
      <c r="B97" s="435"/>
      <c r="C97" s="435"/>
      <c r="D97" s="435"/>
      <c r="E97" s="435"/>
      <c r="F97" s="435"/>
      <c r="G97" s="435"/>
      <c r="H97" s="78"/>
      <c r="I97" s="78"/>
      <c r="J97" s="78"/>
      <c r="K97" s="78"/>
      <c r="L97" s="78"/>
      <c r="M97" s="78"/>
      <c r="N97" s="78"/>
      <c r="O97" s="78"/>
      <c r="P97" s="78"/>
      <c r="Q97" s="7"/>
      <c r="R97" s="7"/>
      <c r="S97" s="7"/>
      <c r="T97" s="7"/>
      <c r="U97" s="7"/>
      <c r="V97" s="7"/>
      <c r="W97" s="7"/>
      <c r="X97" s="86" t="s">
        <v>336</v>
      </c>
      <c r="Y97" s="6"/>
      <c r="Z97" s="6"/>
      <c r="AA97" s="6"/>
      <c r="AB97" s="6"/>
      <c r="AC97" s="6"/>
      <c r="AD97" s="6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O97" s="154" t="s">
        <v>109</v>
      </c>
      <c r="BP97" s="154" t="s">
        <v>110</v>
      </c>
      <c r="BQ97" s="154" t="s">
        <v>111</v>
      </c>
      <c r="BR97" s="154" t="s">
        <v>112</v>
      </c>
      <c r="BS97" s="154" t="s">
        <v>108</v>
      </c>
    </row>
    <row r="98" spans="1:72" ht="21" outlineLevel="1">
      <c r="A98" s="436" t="s">
        <v>353</v>
      </c>
      <c r="B98" s="436"/>
      <c r="C98" s="436"/>
      <c r="D98" s="436"/>
      <c r="E98" s="436"/>
      <c r="F98" s="436"/>
      <c r="G98" s="437"/>
      <c r="H98" s="438" t="s">
        <v>331</v>
      </c>
      <c r="I98" s="439"/>
      <c r="J98" s="439"/>
      <c r="K98" s="439"/>
      <c r="L98" s="440"/>
      <c r="M98" s="441" t="s">
        <v>332</v>
      </c>
      <c r="N98" s="442"/>
      <c r="O98" s="442"/>
      <c r="P98" s="442"/>
      <c r="Q98" s="443"/>
      <c r="X98" s="49"/>
      <c r="Y98" s="431" t="s">
        <v>10</v>
      </c>
      <c r="Z98" s="432"/>
      <c r="AA98" s="432"/>
      <c r="AB98" s="432"/>
      <c r="AC98" s="433"/>
      <c r="AD98" s="431" t="s">
        <v>15</v>
      </c>
      <c r="AE98" s="432"/>
      <c r="AF98" s="432"/>
      <c r="AG98" s="432"/>
      <c r="AH98" s="433"/>
      <c r="AI98" s="431" t="s">
        <v>23</v>
      </c>
      <c r="AJ98" s="432"/>
      <c r="AK98" s="432"/>
      <c r="AL98" s="432"/>
      <c r="AM98" s="433"/>
      <c r="AN98" s="431" t="s">
        <v>12</v>
      </c>
      <c r="AO98" s="432"/>
      <c r="AP98" s="432"/>
      <c r="AQ98" s="432"/>
      <c r="AR98" s="433"/>
      <c r="AS98" s="431" t="s">
        <v>13</v>
      </c>
      <c r="AT98" s="432"/>
      <c r="AU98" s="432"/>
      <c r="AV98" s="432"/>
      <c r="AW98" s="433"/>
      <c r="AX98" s="431" t="s">
        <v>11</v>
      </c>
      <c r="AY98" s="432"/>
      <c r="AZ98" s="432"/>
      <c r="BA98" s="432"/>
      <c r="BB98" s="433"/>
      <c r="BC98" s="431" t="s">
        <v>16</v>
      </c>
      <c r="BD98" s="432"/>
      <c r="BE98" s="432"/>
      <c r="BF98" s="432"/>
      <c r="BG98" s="433"/>
      <c r="BH98" s="431" t="s">
        <v>14</v>
      </c>
      <c r="BI98" s="432"/>
      <c r="BJ98" s="432"/>
      <c r="BK98" s="432"/>
      <c r="BL98" s="433"/>
      <c r="BN98" s="148" t="s">
        <v>10</v>
      </c>
      <c r="BO98" s="154">
        <v>20.172924355277598</v>
      </c>
      <c r="BP98" s="154">
        <v>44.236341264787306</v>
      </c>
      <c r="BQ98" s="154">
        <v>0.83732045306084391</v>
      </c>
      <c r="BR98" s="154">
        <v>0.45086485934045434</v>
      </c>
      <c r="BS98" s="154">
        <v>3309216.9435506254</v>
      </c>
    </row>
    <row r="99" spans="1:72" ht="29.45" customHeight="1" outlineLevel="1" thickBot="1">
      <c r="A99" s="79" t="s">
        <v>5</v>
      </c>
      <c r="B99" s="33" t="s">
        <v>7</v>
      </c>
      <c r="C99" s="33" t="s">
        <v>4</v>
      </c>
      <c r="D99" s="446" t="s">
        <v>56</v>
      </c>
      <c r="E99" s="447"/>
      <c r="F99" s="34" t="s">
        <v>9</v>
      </c>
      <c r="G99" s="34" t="s">
        <v>0</v>
      </c>
      <c r="H99" s="30" t="s">
        <v>21</v>
      </c>
      <c r="I99" s="29" t="s">
        <v>29</v>
      </c>
      <c r="J99" s="30" t="s">
        <v>28</v>
      </c>
      <c r="K99" s="29" t="s">
        <v>22</v>
      </c>
      <c r="L99" s="30" t="s">
        <v>40</v>
      </c>
      <c r="M99" s="37" t="s">
        <v>21</v>
      </c>
      <c r="N99" s="40" t="s">
        <v>29</v>
      </c>
      <c r="O99" s="37" t="s">
        <v>28</v>
      </c>
      <c r="P99" s="40" t="s">
        <v>22</v>
      </c>
      <c r="Q99" s="37" t="s">
        <v>40</v>
      </c>
      <c r="X99" s="49"/>
      <c r="Y99" s="71" t="s">
        <v>21</v>
      </c>
      <c r="Z99" s="43" t="s">
        <v>29</v>
      </c>
      <c r="AA99" s="43" t="s">
        <v>28</v>
      </c>
      <c r="AB99" s="43" t="s">
        <v>22</v>
      </c>
      <c r="AC99" s="67" t="s">
        <v>40</v>
      </c>
      <c r="AD99" s="71" t="s">
        <v>21</v>
      </c>
      <c r="AE99" s="43" t="s">
        <v>29</v>
      </c>
      <c r="AF99" s="43" t="s">
        <v>28</v>
      </c>
      <c r="AG99" s="43" t="s">
        <v>22</v>
      </c>
      <c r="AH99" s="67" t="s">
        <v>40</v>
      </c>
      <c r="AI99" s="71" t="s">
        <v>21</v>
      </c>
      <c r="AJ99" s="43" t="s">
        <v>29</v>
      </c>
      <c r="AK99" s="43" t="s">
        <v>28</v>
      </c>
      <c r="AL99" s="43" t="s">
        <v>22</v>
      </c>
      <c r="AM99" s="67" t="s">
        <v>40</v>
      </c>
      <c r="AN99" s="71" t="s">
        <v>21</v>
      </c>
      <c r="AO99" s="43" t="s">
        <v>29</v>
      </c>
      <c r="AP99" s="43" t="s">
        <v>28</v>
      </c>
      <c r="AQ99" s="43" t="s">
        <v>22</v>
      </c>
      <c r="AR99" s="67" t="s">
        <v>40</v>
      </c>
      <c r="AS99" s="71" t="s">
        <v>21</v>
      </c>
      <c r="AT99" s="43" t="s">
        <v>29</v>
      </c>
      <c r="AU99" s="43" t="s">
        <v>28</v>
      </c>
      <c r="AV99" s="43" t="s">
        <v>22</v>
      </c>
      <c r="AW99" s="67" t="s">
        <v>40</v>
      </c>
      <c r="AX99" s="71" t="s">
        <v>21</v>
      </c>
      <c r="AY99" s="43" t="s">
        <v>29</v>
      </c>
      <c r="AZ99" s="43" t="s">
        <v>28</v>
      </c>
      <c r="BA99" s="43" t="s">
        <v>22</v>
      </c>
      <c r="BB99" s="67"/>
      <c r="BC99" s="71" t="s">
        <v>21</v>
      </c>
      <c r="BD99" s="43" t="s">
        <v>29</v>
      </c>
      <c r="BE99" s="43" t="s">
        <v>28</v>
      </c>
      <c r="BF99" s="43" t="s">
        <v>22</v>
      </c>
      <c r="BG99" s="67"/>
      <c r="BH99" s="71" t="s">
        <v>21</v>
      </c>
      <c r="BI99" s="43" t="s">
        <v>29</v>
      </c>
      <c r="BJ99" s="43" t="s">
        <v>28</v>
      </c>
      <c r="BK99" s="43" t="s">
        <v>22</v>
      </c>
      <c r="BL99" s="67" t="s">
        <v>40</v>
      </c>
      <c r="BN99" s="148" t="s">
        <v>103</v>
      </c>
      <c r="BO99" s="154">
        <v>39.525469239390453</v>
      </c>
      <c r="BP99" s="154">
        <v>86.673707546377642</v>
      </c>
      <c r="BQ99" s="154">
        <v>1.6405892982149854</v>
      </c>
      <c r="BR99" s="154">
        <v>0.8833942375003766</v>
      </c>
      <c r="BS99" s="154">
        <v>6483856.7877027085</v>
      </c>
    </row>
    <row r="100" spans="1:72" ht="33" hidden="1" customHeight="1" outlineLevel="1">
      <c r="A100" s="80"/>
      <c r="B100" s="349" t="s">
        <v>107</v>
      </c>
      <c r="C100" s="119"/>
      <c r="D100" s="457" t="s">
        <v>82</v>
      </c>
      <c r="E100" s="457"/>
      <c r="F100" s="80" t="s">
        <v>79</v>
      </c>
      <c r="G100" s="9" t="s">
        <v>80</v>
      </c>
      <c r="H100" s="35">
        <f>BP106*310*0.27</f>
        <v>51391.8</v>
      </c>
      <c r="I100" s="32">
        <v>0</v>
      </c>
      <c r="J100" s="31">
        <v>0</v>
      </c>
      <c r="K100" s="124">
        <f>614*310*0.73</f>
        <v>138948.19999999998</v>
      </c>
      <c r="L100" s="125"/>
      <c r="M100" s="38">
        <f>'Kamal Original'!N67*310*0.27</f>
        <v>32119.875000000004</v>
      </c>
      <c r="N100" s="41">
        <v>0</v>
      </c>
      <c r="O100" s="39">
        <v>0</v>
      </c>
      <c r="P100" s="272">
        <f>'Kamal Original'!N67*310*0.73</f>
        <v>86842.625</v>
      </c>
      <c r="Q100" s="126"/>
      <c r="X100" s="74" t="s">
        <v>17</v>
      </c>
      <c r="Y100" s="158">
        <f>$H$100*Y96</f>
        <v>5139.18</v>
      </c>
      <c r="Z100" s="44"/>
      <c r="AA100" s="44"/>
      <c r="AB100" s="158">
        <f>$K$100*AB96</f>
        <v>9170.5811999999987</v>
      </c>
      <c r="AC100" s="68"/>
      <c r="AD100" s="158">
        <f t="shared" ref="AD100" si="5">$H$100*AD96</f>
        <v>7708.77</v>
      </c>
      <c r="AE100" s="44"/>
      <c r="AF100" s="44"/>
      <c r="AG100" s="158">
        <f t="shared" ref="AG100" si="6">$K$100*AG96</f>
        <v>19174.851599999998</v>
      </c>
      <c r="AH100" s="68"/>
      <c r="AI100" s="158">
        <f t="shared" ref="AI100" si="7">$H$100*AI96</f>
        <v>13361.868</v>
      </c>
      <c r="AJ100" s="44"/>
      <c r="AK100" s="44"/>
      <c r="AL100" s="158">
        <f t="shared" ref="AL100" si="8">$K$100*AL96</f>
        <v>51966.626799999991</v>
      </c>
      <c r="AM100" s="68"/>
      <c r="AN100" s="158">
        <f t="shared" ref="AN100" si="9">$H$100*AN96</f>
        <v>1027.836</v>
      </c>
      <c r="AO100" s="44"/>
      <c r="AP100" s="44"/>
      <c r="AQ100" s="158">
        <f t="shared" ref="AQ100" si="10">$K$100*AQ96</f>
        <v>13894.82</v>
      </c>
      <c r="AR100" s="68"/>
      <c r="AS100" s="158">
        <f t="shared" ref="AS100" si="11">$H$100*AS96</f>
        <v>11820.114000000001</v>
      </c>
      <c r="AT100" s="44"/>
      <c r="AU100" s="44"/>
      <c r="AV100" s="158">
        <f t="shared" ref="AV100" si="12">$K$100*AV96</f>
        <v>9587.4257999999991</v>
      </c>
      <c r="AW100" s="68"/>
      <c r="AX100" s="158">
        <f t="shared" ref="AX100" si="13">$H$100*AX96</f>
        <v>6167.0160000000005</v>
      </c>
      <c r="AY100" s="44"/>
      <c r="AZ100" s="44"/>
      <c r="BA100" s="158">
        <f t="shared" ref="BA100" si="14">$K$100*BA96</f>
        <v>9448.4776000000002</v>
      </c>
      <c r="BB100" s="68"/>
      <c r="BC100" s="158">
        <f t="shared" ref="BC100" si="15">$H$100*BC96</f>
        <v>3597.4260000000004</v>
      </c>
      <c r="BD100" s="44"/>
      <c r="BE100" s="44"/>
      <c r="BF100" s="158">
        <f t="shared" ref="BF100" si="16">$K$100*BF96</f>
        <v>16256.939399999999</v>
      </c>
      <c r="BG100" s="68"/>
      <c r="BH100" s="158">
        <f t="shared" ref="BH100" si="17">$H$100*BH96</f>
        <v>2055.672</v>
      </c>
      <c r="BI100" s="44"/>
      <c r="BJ100" s="44"/>
      <c r="BK100" s="158">
        <f t="shared" ref="BK100" si="18">$K$100*BK96</f>
        <v>9448.4776000000002</v>
      </c>
      <c r="BL100" s="68"/>
      <c r="BN100" s="148" t="s">
        <v>12</v>
      </c>
      <c r="BO100" s="154">
        <v>31.668019915250888</v>
      </c>
      <c r="BP100" s="154">
        <v>69.443443671300159</v>
      </c>
      <c r="BQ100" s="154">
        <v>1.3144490266251638</v>
      </c>
      <c r="BR100" s="154">
        <v>0.70778024510585735</v>
      </c>
      <c r="BS100" s="154">
        <v>5194901.1569475438</v>
      </c>
    </row>
    <row r="101" spans="1:72" ht="33" hidden="1" customHeight="1" outlineLevel="1">
      <c r="A101" s="80"/>
      <c r="B101" s="349" t="s">
        <v>117</v>
      </c>
      <c r="C101" s="119"/>
      <c r="D101" s="457" t="s">
        <v>82</v>
      </c>
      <c r="E101" s="457"/>
      <c r="F101" s="80" t="s">
        <v>79</v>
      </c>
      <c r="G101" s="9" t="s">
        <v>80</v>
      </c>
      <c r="H101" s="35">
        <f>BO106*310*0.27</f>
        <v>23436.000000000007</v>
      </c>
      <c r="I101" s="32"/>
      <c r="J101" s="31"/>
      <c r="K101" s="124">
        <f>BO106*310*0.73</f>
        <v>63364.000000000007</v>
      </c>
      <c r="L101" s="125"/>
      <c r="M101" s="38">
        <f>'Kamal Original'!M67*310*0.27</f>
        <v>14647.500000000002</v>
      </c>
      <c r="N101" s="41"/>
      <c r="O101" s="39"/>
      <c r="P101" s="272">
        <f>'Kamal Original'!M67*310*0.73</f>
        <v>39602.5</v>
      </c>
      <c r="Q101" s="126"/>
      <c r="X101" s="74"/>
      <c r="Y101" s="158">
        <f>$H$101*Y96</f>
        <v>2343.6000000000008</v>
      </c>
      <c r="Z101" s="44"/>
      <c r="AA101" s="44"/>
      <c r="AB101" s="158">
        <f>$K$101*AB96</f>
        <v>4182.0240000000003</v>
      </c>
      <c r="AC101" s="68"/>
      <c r="AD101" s="158">
        <f t="shared" ref="AD101" si="19">$H$101*AD96</f>
        <v>3515.400000000001</v>
      </c>
      <c r="AE101" s="44"/>
      <c r="AF101" s="44"/>
      <c r="AG101" s="158">
        <f t="shared" ref="AG101" si="20">$K$101*AG96</f>
        <v>8744.2320000000018</v>
      </c>
      <c r="AH101" s="68"/>
      <c r="AI101" s="158">
        <f t="shared" ref="AI101" si="21">$H$101*AI96</f>
        <v>6093.3600000000024</v>
      </c>
      <c r="AJ101" s="44"/>
      <c r="AK101" s="44"/>
      <c r="AL101" s="158">
        <f t="shared" ref="AL101" si="22">$K$101*AL96</f>
        <v>23698.136000000002</v>
      </c>
      <c r="AM101" s="68"/>
      <c r="AN101" s="158">
        <f t="shared" ref="AN101" si="23">$H$101*AN96</f>
        <v>468.72000000000014</v>
      </c>
      <c r="AO101" s="44"/>
      <c r="AP101" s="44"/>
      <c r="AQ101" s="158">
        <f t="shared" ref="AQ101" si="24">$K$101*AQ96</f>
        <v>6336.4000000000015</v>
      </c>
      <c r="AR101" s="68"/>
      <c r="AS101" s="158">
        <f t="shared" ref="AS101" si="25">$H$101*AS96</f>
        <v>5390.2800000000016</v>
      </c>
      <c r="AT101" s="44"/>
      <c r="AU101" s="44"/>
      <c r="AV101" s="158">
        <f t="shared" ref="AV101" si="26">$K$101*AV96</f>
        <v>4372.1160000000009</v>
      </c>
      <c r="AW101" s="68"/>
      <c r="AX101" s="158">
        <f t="shared" ref="AX101" si="27">$H$101*AX96</f>
        <v>2812.3200000000006</v>
      </c>
      <c r="AY101" s="44"/>
      <c r="AZ101" s="44"/>
      <c r="BA101" s="158">
        <f t="shared" ref="BA101" si="28">$K$101*BA96</f>
        <v>4308.7520000000004</v>
      </c>
      <c r="BB101" s="68"/>
      <c r="BC101" s="158">
        <f t="shared" ref="BC101" si="29">$H$101*BC96</f>
        <v>1640.5200000000007</v>
      </c>
      <c r="BD101" s="44"/>
      <c r="BE101" s="44"/>
      <c r="BF101" s="158">
        <f t="shared" ref="BF101" si="30">$K$101*BF96</f>
        <v>7413.5880000000016</v>
      </c>
      <c r="BG101" s="68"/>
      <c r="BH101" s="158">
        <f t="shared" ref="BH101" si="31">$H$101*BH96</f>
        <v>937.44000000000028</v>
      </c>
      <c r="BI101" s="44"/>
      <c r="BJ101" s="44"/>
      <c r="BK101" s="158">
        <f t="shared" ref="BK101" si="32">$K$101*BK96</f>
        <v>4308.7520000000004</v>
      </c>
      <c r="BL101" s="68"/>
      <c r="BN101" s="148" t="s">
        <v>13</v>
      </c>
      <c r="BO101" s="154">
        <v>22.614508753185586</v>
      </c>
      <c r="BP101" s="154">
        <v>49.59038705162839</v>
      </c>
      <c r="BQ101" s="154">
        <v>0.93866364546258185</v>
      </c>
      <c r="BR101" s="154">
        <v>0.50543427063369784</v>
      </c>
      <c r="BS101" s="154">
        <v>3709740.5521444464</v>
      </c>
    </row>
    <row r="102" spans="1:72" ht="36" customHeight="1" outlineLevel="1">
      <c r="A102" s="80" t="s">
        <v>17</v>
      </c>
      <c r="B102" s="169" t="s">
        <v>168</v>
      </c>
      <c r="C102" s="119"/>
      <c r="D102" s="457" t="s">
        <v>82</v>
      </c>
      <c r="E102" s="457"/>
      <c r="F102" s="80" t="s">
        <v>79</v>
      </c>
      <c r="G102" s="9" t="s">
        <v>80</v>
      </c>
      <c r="H102" s="35">
        <f>SUM(H100:H101)</f>
        <v>74827.800000000017</v>
      </c>
      <c r="I102" s="32"/>
      <c r="J102" s="31"/>
      <c r="K102" s="124">
        <f>SUM(K100:K101)</f>
        <v>202312.19999999998</v>
      </c>
      <c r="L102" s="125"/>
      <c r="M102" s="38">
        <f>SUM(M100:M101)</f>
        <v>46767.375000000007</v>
      </c>
      <c r="N102" s="41"/>
      <c r="O102" s="39"/>
      <c r="P102" s="272">
        <f>SUM(P100:P101)</f>
        <v>126445.125</v>
      </c>
      <c r="Q102" s="126"/>
      <c r="X102" s="74"/>
      <c r="Y102" s="158">
        <f>SUM(Y100:Y101)</f>
        <v>7482.7800000000007</v>
      </c>
      <c r="Z102" s="158">
        <f t="shared" ref="Z102:BL102" si="33">SUM(Z100:Z101)</f>
        <v>0</v>
      </c>
      <c r="AA102" s="158">
        <f t="shared" si="33"/>
        <v>0</v>
      </c>
      <c r="AB102" s="158">
        <f t="shared" si="33"/>
        <v>13352.605199999998</v>
      </c>
      <c r="AC102" s="158">
        <f t="shared" si="33"/>
        <v>0</v>
      </c>
      <c r="AD102" s="158">
        <f t="shared" si="33"/>
        <v>11224.170000000002</v>
      </c>
      <c r="AE102" s="158">
        <f t="shared" si="33"/>
        <v>0</v>
      </c>
      <c r="AF102" s="158">
        <f t="shared" si="33"/>
        <v>0</v>
      </c>
      <c r="AG102" s="158">
        <f t="shared" si="33"/>
        <v>27919.083599999998</v>
      </c>
      <c r="AH102" s="158">
        <f t="shared" si="33"/>
        <v>0</v>
      </c>
      <c r="AI102" s="158">
        <f t="shared" si="33"/>
        <v>19455.228000000003</v>
      </c>
      <c r="AJ102" s="158">
        <f t="shared" si="33"/>
        <v>0</v>
      </c>
      <c r="AK102" s="158">
        <f t="shared" si="33"/>
        <v>0</v>
      </c>
      <c r="AL102" s="158">
        <f t="shared" si="33"/>
        <v>75664.762799999997</v>
      </c>
      <c r="AM102" s="158">
        <f t="shared" si="33"/>
        <v>0</v>
      </c>
      <c r="AN102" s="158">
        <f t="shared" si="33"/>
        <v>1496.556</v>
      </c>
      <c r="AO102" s="158">
        <f t="shared" si="33"/>
        <v>0</v>
      </c>
      <c r="AP102" s="158">
        <f t="shared" si="33"/>
        <v>0</v>
      </c>
      <c r="AQ102" s="158">
        <f t="shared" si="33"/>
        <v>20231.22</v>
      </c>
      <c r="AR102" s="158">
        <f t="shared" si="33"/>
        <v>0</v>
      </c>
      <c r="AS102" s="158">
        <f t="shared" si="33"/>
        <v>17210.394000000004</v>
      </c>
      <c r="AT102" s="158">
        <f t="shared" si="33"/>
        <v>0</v>
      </c>
      <c r="AU102" s="158">
        <f t="shared" si="33"/>
        <v>0</v>
      </c>
      <c r="AV102" s="158">
        <f t="shared" si="33"/>
        <v>13959.541799999999</v>
      </c>
      <c r="AW102" s="158">
        <f t="shared" si="33"/>
        <v>0</v>
      </c>
      <c r="AX102" s="158">
        <f t="shared" si="33"/>
        <v>8979.3360000000011</v>
      </c>
      <c r="AY102" s="158">
        <f t="shared" si="33"/>
        <v>0</v>
      </c>
      <c r="AZ102" s="158">
        <f t="shared" si="33"/>
        <v>0</v>
      </c>
      <c r="BA102" s="158">
        <f t="shared" si="33"/>
        <v>13757.229600000001</v>
      </c>
      <c r="BB102" s="158">
        <f t="shared" si="33"/>
        <v>0</v>
      </c>
      <c r="BC102" s="158">
        <f t="shared" si="33"/>
        <v>5237.9460000000008</v>
      </c>
      <c r="BD102" s="158">
        <f t="shared" si="33"/>
        <v>0</v>
      </c>
      <c r="BE102" s="158">
        <f t="shared" si="33"/>
        <v>0</v>
      </c>
      <c r="BF102" s="158">
        <f t="shared" si="33"/>
        <v>23670.527399999999</v>
      </c>
      <c r="BG102" s="158">
        <f t="shared" si="33"/>
        <v>0</v>
      </c>
      <c r="BH102" s="158">
        <f t="shared" si="33"/>
        <v>2993.1120000000001</v>
      </c>
      <c r="BI102" s="158">
        <f t="shared" si="33"/>
        <v>0</v>
      </c>
      <c r="BJ102" s="158">
        <f t="shared" si="33"/>
        <v>0</v>
      </c>
      <c r="BK102" s="158">
        <f t="shared" si="33"/>
        <v>13757.229600000001</v>
      </c>
      <c r="BL102" s="158">
        <f t="shared" si="33"/>
        <v>0</v>
      </c>
      <c r="BN102" s="148" t="s">
        <v>23</v>
      </c>
      <c r="BO102" s="154">
        <v>22.406545791062815</v>
      </c>
      <c r="BP102" s="154">
        <v>49.134353984687742</v>
      </c>
      <c r="BQ102" s="154">
        <v>0.93003169708475741</v>
      </c>
      <c r="BR102" s="154">
        <v>0.50078629843025391</v>
      </c>
      <c r="BS102" s="154">
        <v>3675625.787930422</v>
      </c>
    </row>
    <row r="103" spans="1:72" ht="31.5" customHeight="1" outlineLevel="1">
      <c r="A103" s="49"/>
      <c r="B103" s="78"/>
      <c r="C103" s="78"/>
      <c r="H103" s="271">
        <f>H102/(K102+H102)</f>
        <v>0.27000000000000007</v>
      </c>
      <c r="I103" s="123"/>
      <c r="J103" s="123"/>
      <c r="K103" s="123"/>
      <c r="L103" s="121"/>
      <c r="M103" s="271">
        <f>M102/(P102+M102)</f>
        <v>0.27</v>
      </c>
      <c r="N103" s="49"/>
      <c r="O103" s="49"/>
      <c r="P103" s="49"/>
      <c r="Q103" s="49"/>
      <c r="X103" s="96"/>
      <c r="Y103" s="97"/>
      <c r="Z103" s="97"/>
      <c r="AA103" s="97"/>
      <c r="AB103" s="97"/>
      <c r="AC103" s="97"/>
      <c r="AD103" s="97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7"/>
      <c r="BL103" s="77"/>
      <c r="BM103" s="77"/>
      <c r="BN103" s="148" t="s">
        <v>104</v>
      </c>
      <c r="BO103" s="154">
        <v>96.82972399580521</v>
      </c>
      <c r="BP103" s="154">
        <v>212.33375190508713</v>
      </c>
      <c r="BQ103" s="154">
        <v>4.0191251867116007</v>
      </c>
      <c r="BR103" s="154">
        <v>2.1641443313062463</v>
      </c>
      <c r="BS103" s="154">
        <v>15884189.998581875</v>
      </c>
    </row>
    <row r="104" spans="1:72" ht="21" outlineLevel="1">
      <c r="A104" s="444" t="s">
        <v>354</v>
      </c>
      <c r="B104" s="444"/>
      <c r="C104" s="444"/>
      <c r="D104" s="446" t="s">
        <v>56</v>
      </c>
      <c r="E104" s="447"/>
      <c r="F104" s="283" t="s">
        <v>9</v>
      </c>
      <c r="G104" s="283" t="s">
        <v>0</v>
      </c>
      <c r="L104" s="121"/>
      <c r="M104" s="122"/>
      <c r="N104" s="101"/>
      <c r="O104" s="101"/>
      <c r="P104" s="101"/>
      <c r="Q104" s="101"/>
      <c r="X104" s="77"/>
      <c r="Y104" s="469"/>
      <c r="Z104" s="469"/>
      <c r="AA104" s="469"/>
      <c r="AB104" s="469"/>
      <c r="AC104" s="469"/>
      <c r="AD104" s="469"/>
      <c r="AE104" s="469"/>
      <c r="AF104" s="469"/>
      <c r="AG104" s="469"/>
      <c r="AH104" s="469"/>
      <c r="AI104" s="469"/>
      <c r="AJ104" s="469"/>
      <c r="AK104" s="469"/>
      <c r="AL104" s="469"/>
      <c r="AM104" s="469"/>
      <c r="AN104" s="469"/>
      <c r="AO104" s="469"/>
      <c r="AP104" s="469"/>
      <c r="AQ104" s="469"/>
      <c r="AR104" s="469"/>
      <c r="AS104" s="469"/>
      <c r="AT104" s="469"/>
      <c r="AU104" s="469"/>
      <c r="AV104" s="469"/>
      <c r="AW104" s="469"/>
      <c r="AX104" s="469"/>
      <c r="AY104" s="469"/>
      <c r="AZ104" s="469"/>
      <c r="BA104" s="469"/>
      <c r="BB104" s="469"/>
      <c r="BC104" s="469"/>
      <c r="BD104" s="469"/>
      <c r="BE104" s="469"/>
      <c r="BF104" s="469"/>
      <c r="BG104" s="469"/>
      <c r="BH104" s="469"/>
      <c r="BI104" s="469"/>
      <c r="BJ104" s="469"/>
      <c r="BK104" s="469"/>
      <c r="BL104" s="469"/>
      <c r="BM104" s="77"/>
      <c r="BN104" s="148" t="s">
        <v>15</v>
      </c>
      <c r="BO104" s="154">
        <v>29.42808552854439</v>
      </c>
      <c r="BP104" s="154">
        <v>64.531587551879483</v>
      </c>
      <c r="BQ104" s="154">
        <v>1.2214757500455105</v>
      </c>
      <c r="BR104" s="154">
        <v>0.6577177115629671</v>
      </c>
      <c r="BS104" s="154">
        <v>4827456.7203162434</v>
      </c>
    </row>
    <row r="105" spans="1:72" ht="24.6" customHeight="1" outlineLevel="1">
      <c r="A105" s="151" t="s">
        <v>64</v>
      </c>
      <c r="B105" s="434" t="s">
        <v>148</v>
      </c>
      <c r="C105" s="434"/>
      <c r="D105" s="459" t="s">
        <v>355</v>
      </c>
      <c r="E105" s="460"/>
      <c r="F105" s="192" t="s">
        <v>316</v>
      </c>
      <c r="G105" s="351" t="s">
        <v>80</v>
      </c>
      <c r="L105" s="121"/>
      <c r="M105" s="122"/>
      <c r="N105" s="49"/>
      <c r="O105" s="49"/>
      <c r="P105" s="49"/>
      <c r="Q105" s="98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77"/>
      <c r="BN105" s="148" t="s">
        <v>16</v>
      </c>
      <c r="BO105" s="154">
        <v>17.354722421483054</v>
      </c>
      <c r="BP105" s="154">
        <v>38.056427024252123</v>
      </c>
      <c r="BQ105" s="154">
        <v>0.72034494279455741</v>
      </c>
      <c r="BR105" s="154">
        <v>0.3878780461201462</v>
      </c>
      <c r="BS105" s="154">
        <v>2846912.0528261336</v>
      </c>
    </row>
    <row r="106" spans="1:72" ht="24.6" customHeight="1" outlineLevel="1">
      <c r="A106" s="151" t="s">
        <v>2</v>
      </c>
      <c r="B106" s="141" t="s">
        <v>147</v>
      </c>
      <c r="C106" s="141"/>
      <c r="D106" s="459" t="s">
        <v>355</v>
      </c>
      <c r="E106" s="460"/>
      <c r="F106" s="192" t="s">
        <v>316</v>
      </c>
      <c r="G106" s="351" t="s">
        <v>80</v>
      </c>
      <c r="N106" s="49"/>
      <c r="O106" s="49"/>
      <c r="P106" s="49"/>
      <c r="Q106" s="98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77"/>
      <c r="BO106" s="154">
        <v>280.00000000000006</v>
      </c>
      <c r="BP106" s="154">
        <v>614</v>
      </c>
      <c r="BQ106" s="154">
        <v>11.622000000000002</v>
      </c>
      <c r="BR106" s="154">
        <v>6.2579999999999991</v>
      </c>
      <c r="BS106" s="154">
        <v>45931900</v>
      </c>
    </row>
    <row r="107" spans="1:72" ht="24.6" customHeight="1" outlineLevel="1">
      <c r="A107" s="151" t="s">
        <v>3</v>
      </c>
      <c r="B107" s="434" t="s">
        <v>149</v>
      </c>
      <c r="C107" s="434"/>
      <c r="D107" s="459" t="s">
        <v>355</v>
      </c>
      <c r="E107" s="460"/>
      <c r="F107" s="192" t="s">
        <v>316</v>
      </c>
      <c r="G107" s="351" t="s">
        <v>80</v>
      </c>
      <c r="H107" s="102"/>
      <c r="I107" s="102"/>
      <c r="J107" s="102"/>
      <c r="K107" s="49"/>
      <c r="L107" s="49"/>
      <c r="M107" s="49"/>
      <c r="N107" s="49"/>
      <c r="O107" s="49"/>
      <c r="P107" s="49"/>
      <c r="Q107" s="98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77"/>
      <c r="BO107" s="155" t="s">
        <v>113</v>
      </c>
      <c r="BP107" s="155" t="s">
        <v>114</v>
      </c>
    </row>
    <row r="108" spans="1:72" ht="24.6" customHeight="1" outlineLevel="1">
      <c r="A108" s="151" t="s">
        <v>66</v>
      </c>
      <c r="B108" s="434" t="s">
        <v>322</v>
      </c>
      <c r="C108" s="434"/>
      <c r="D108" s="459" t="s">
        <v>355</v>
      </c>
      <c r="E108" s="460"/>
      <c r="F108" s="192" t="s">
        <v>323</v>
      </c>
      <c r="G108" s="351" t="s">
        <v>80</v>
      </c>
      <c r="H108" s="102"/>
      <c r="I108" s="102"/>
      <c r="J108" s="102"/>
      <c r="K108" s="49"/>
      <c r="L108" s="49"/>
      <c r="M108" s="49"/>
      <c r="N108" s="49"/>
      <c r="O108" s="49"/>
      <c r="P108" s="49"/>
      <c r="Q108" s="98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77"/>
      <c r="BO108" s="251">
        <v>0.72727480990145166</v>
      </c>
      <c r="BP108" s="251">
        <v>0.27272519009854834</v>
      </c>
      <c r="BQ108" s="153"/>
      <c r="BR108" s="153"/>
      <c r="BS108" s="153"/>
      <c r="BT108" s="153"/>
    </row>
    <row r="109" spans="1:72">
      <c r="BO109" s="157">
        <f>4000000/18200</f>
        <v>219.78021978021977</v>
      </c>
      <c r="BP109" s="153" t="s">
        <v>115</v>
      </c>
      <c r="BQ109" s="153"/>
      <c r="BR109" s="153"/>
      <c r="BS109" s="153"/>
      <c r="BT109" s="153"/>
    </row>
    <row r="110" spans="1:72">
      <c r="BO110" s="157">
        <f>5850000/(18200+700)</f>
        <v>309.52380952380952</v>
      </c>
      <c r="BP110" t="s">
        <v>116</v>
      </c>
    </row>
    <row r="111" spans="1:72" ht="23.25">
      <c r="A111" s="448" t="s">
        <v>356</v>
      </c>
      <c r="B111" s="449"/>
      <c r="C111" s="449"/>
      <c r="D111" s="449"/>
      <c r="E111" s="449"/>
      <c r="F111" s="449"/>
      <c r="G111" s="312"/>
      <c r="H111" s="312"/>
      <c r="I111" s="312"/>
      <c r="J111" s="312"/>
      <c r="K111" s="312"/>
      <c r="L111" s="312"/>
      <c r="M111" s="312"/>
      <c r="N111" s="312"/>
      <c r="O111" s="312"/>
      <c r="P111" s="313"/>
      <c r="Q111" s="313"/>
      <c r="R111" s="313"/>
      <c r="S111" s="313"/>
      <c r="T111" s="313"/>
      <c r="U111" s="313"/>
      <c r="V111" s="313"/>
      <c r="BO111" s="157"/>
    </row>
    <row r="112" spans="1:72" ht="21">
      <c r="A112" s="436" t="s">
        <v>357</v>
      </c>
      <c r="B112" s="436"/>
      <c r="C112" s="436"/>
      <c r="D112" s="436"/>
      <c r="E112" s="436"/>
      <c r="F112" s="436"/>
      <c r="G112" s="437"/>
      <c r="H112" s="438" t="s">
        <v>36</v>
      </c>
      <c r="I112" s="439"/>
      <c r="J112" s="439"/>
      <c r="K112" s="439"/>
      <c r="L112" s="440"/>
      <c r="M112" s="441" t="s">
        <v>41</v>
      </c>
      <c r="N112" s="442"/>
      <c r="O112" s="442"/>
      <c r="P112" s="442"/>
      <c r="Q112" s="443"/>
      <c r="R112" s="313"/>
      <c r="S112" s="313"/>
      <c r="T112" s="313"/>
      <c r="U112" s="313"/>
      <c r="V112" s="313"/>
      <c r="BO112" s="157"/>
    </row>
    <row r="113" spans="1:67" ht="15.75" thickBot="1">
      <c r="A113" s="79" t="s">
        <v>5</v>
      </c>
      <c r="B113" s="33" t="s">
        <v>326</v>
      </c>
      <c r="C113" s="33" t="s">
        <v>4</v>
      </c>
      <c r="D113" s="450" t="s">
        <v>56</v>
      </c>
      <c r="E113" s="451"/>
      <c r="F113" s="34" t="s">
        <v>9</v>
      </c>
      <c r="G113" s="34" t="s">
        <v>0</v>
      </c>
      <c r="H113" s="43" t="s">
        <v>21</v>
      </c>
      <c r="I113" s="314" t="s">
        <v>29</v>
      </c>
      <c r="J113" s="43" t="s">
        <v>28</v>
      </c>
      <c r="K113" s="314" t="s">
        <v>22</v>
      </c>
      <c r="L113" s="43" t="s">
        <v>40</v>
      </c>
      <c r="M113" s="315" t="s">
        <v>21</v>
      </c>
      <c r="N113" s="316" t="s">
        <v>29</v>
      </c>
      <c r="O113" s="315" t="s">
        <v>28</v>
      </c>
      <c r="P113" s="316" t="s">
        <v>22</v>
      </c>
      <c r="Q113" s="315" t="s">
        <v>40</v>
      </c>
      <c r="R113" s="122"/>
      <c r="S113" s="122"/>
      <c r="T113" s="122"/>
      <c r="U113" s="122"/>
      <c r="V113" s="122"/>
      <c r="BO113" s="157"/>
    </row>
    <row r="114" spans="1:67" ht="30">
      <c r="A114" s="112" t="s">
        <v>17</v>
      </c>
      <c r="B114" s="106" t="s">
        <v>358</v>
      </c>
      <c r="C114" s="106" t="s">
        <v>359</v>
      </c>
      <c r="D114" s="452" t="s">
        <v>78</v>
      </c>
      <c r="E114" s="453"/>
      <c r="F114" s="106" t="s">
        <v>360</v>
      </c>
      <c r="G114" s="106" t="s">
        <v>330</v>
      </c>
      <c r="H114" s="354"/>
      <c r="I114" s="355"/>
      <c r="J114" s="355"/>
      <c r="K114" s="356"/>
      <c r="L114" s="355"/>
      <c r="M114" s="354"/>
      <c r="N114" s="355"/>
      <c r="O114" s="355"/>
      <c r="P114" s="356"/>
      <c r="Q114" s="355"/>
      <c r="R114" s="122"/>
      <c r="S114" s="122"/>
      <c r="T114" s="122"/>
      <c r="U114" s="122"/>
      <c r="V114" s="122"/>
      <c r="BO114" s="157"/>
    </row>
    <row r="115" spans="1:67" ht="23.25">
      <c r="A115" s="337"/>
      <c r="B115" s="337"/>
      <c r="C115" s="337"/>
      <c r="D115" s="337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3"/>
      <c r="Q115" s="313"/>
      <c r="R115" s="313"/>
      <c r="S115" s="313"/>
      <c r="T115" s="313"/>
      <c r="U115" s="313"/>
      <c r="V115" s="313"/>
      <c r="BO115" s="157"/>
    </row>
    <row r="116" spans="1:67" ht="24" thickBot="1">
      <c r="A116" s="122"/>
      <c r="B116" s="328" t="s">
        <v>361</v>
      </c>
      <c r="C116" s="87" t="s">
        <v>335</v>
      </c>
      <c r="D116" s="88">
        <v>2019</v>
      </c>
      <c r="E116" s="89">
        <v>2020</v>
      </c>
      <c r="F116" s="353">
        <v>2021</v>
      </c>
      <c r="G116" s="348"/>
      <c r="H116" s="348"/>
      <c r="I116" s="348"/>
      <c r="J116" s="348"/>
      <c r="K116" s="348"/>
      <c r="L116" s="348"/>
      <c r="M116" s="348"/>
      <c r="N116" s="115"/>
      <c r="O116" s="115"/>
      <c r="P116" s="115"/>
      <c r="Q116" s="454"/>
      <c r="R116" s="454"/>
      <c r="S116" s="454"/>
      <c r="T116" s="454"/>
      <c r="U116" s="454"/>
      <c r="V116" s="454"/>
      <c r="BO116" s="157"/>
    </row>
    <row r="117" spans="1:67" ht="23.25">
      <c r="A117" s="115"/>
      <c r="B117" s="329" t="s">
        <v>334</v>
      </c>
      <c r="C117" s="341">
        <v>1000000</v>
      </c>
      <c r="D117" s="342">
        <v>1000000</v>
      </c>
      <c r="E117" s="343">
        <f>D117</f>
        <v>1000000</v>
      </c>
      <c r="F117" s="364">
        <v>1000000</v>
      </c>
      <c r="G117" s="348"/>
      <c r="H117" s="348"/>
      <c r="I117" s="348"/>
      <c r="J117" s="348"/>
      <c r="K117" s="348"/>
      <c r="L117" s="348"/>
      <c r="M117" s="348"/>
      <c r="N117" s="115"/>
      <c r="O117" s="115"/>
      <c r="P117" s="403"/>
      <c r="Q117" s="403"/>
      <c r="R117" s="403"/>
      <c r="S117" s="403"/>
      <c r="T117" s="403"/>
      <c r="U117" s="115"/>
      <c r="V117" s="115"/>
      <c r="BO117" s="157"/>
    </row>
    <row r="118" spans="1:67" ht="23.25">
      <c r="A118" s="122"/>
      <c r="B118" s="344" t="s">
        <v>24</v>
      </c>
      <c r="C118" s="345">
        <v>0</v>
      </c>
      <c r="D118" s="346">
        <v>0</v>
      </c>
      <c r="E118" s="407" t="s">
        <v>39</v>
      </c>
      <c r="F118" s="407" t="s">
        <v>39</v>
      </c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  <c r="Q118" s="115"/>
      <c r="R118" s="115"/>
      <c r="S118" s="115"/>
      <c r="T118" s="403"/>
      <c r="U118" s="403"/>
      <c r="V118" s="403"/>
      <c r="BO118" s="157"/>
    </row>
    <row r="119" spans="1:67" ht="23.25">
      <c r="A119" s="122"/>
      <c r="B119" s="344" t="s">
        <v>25</v>
      </c>
      <c r="C119" s="345">
        <f>1-C118</f>
        <v>1</v>
      </c>
      <c r="D119" s="346">
        <v>1</v>
      </c>
      <c r="E119" s="407" t="s">
        <v>39</v>
      </c>
      <c r="F119" s="407" t="s">
        <v>39</v>
      </c>
      <c r="G119" s="348"/>
      <c r="H119" s="348"/>
      <c r="I119" s="348"/>
      <c r="J119" s="348"/>
      <c r="K119" s="348"/>
      <c r="L119" s="348"/>
      <c r="M119" s="348"/>
      <c r="N119" s="348"/>
      <c r="O119" s="348"/>
      <c r="P119" s="348"/>
      <c r="Q119" s="115"/>
      <c r="R119" s="115"/>
      <c r="S119" s="115"/>
      <c r="T119" s="403"/>
      <c r="U119" s="403"/>
      <c r="V119" s="403"/>
      <c r="BO119" s="157"/>
    </row>
    <row r="120" spans="1:67" ht="23.25">
      <c r="A120" s="122"/>
      <c r="B120" s="347"/>
      <c r="C120" s="347"/>
      <c r="D120" s="348"/>
      <c r="E120" s="348"/>
      <c r="F120" s="348"/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  <c r="Q120" s="115"/>
      <c r="R120" s="115"/>
      <c r="S120" s="115"/>
      <c r="T120" s="115"/>
      <c r="U120" s="115"/>
      <c r="V120" s="115"/>
      <c r="BO120" s="157"/>
    </row>
    <row r="121" spans="1:67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BO121" s="157"/>
    </row>
    <row r="122" spans="1:67" ht="23.25">
      <c r="A122" s="435" t="s">
        <v>381</v>
      </c>
      <c r="B122" s="435"/>
      <c r="C122" s="435"/>
      <c r="D122" s="435"/>
      <c r="E122" s="435"/>
      <c r="F122" s="435"/>
      <c r="G122" s="435"/>
      <c r="H122" s="348"/>
      <c r="I122" s="348"/>
      <c r="J122" s="348"/>
      <c r="K122" s="348"/>
      <c r="L122" s="348"/>
      <c r="M122" s="348"/>
      <c r="N122" s="348"/>
      <c r="O122" s="348"/>
      <c r="P122" s="348"/>
      <c r="Q122" s="115"/>
      <c r="R122" s="115"/>
      <c r="S122" s="115"/>
      <c r="T122" s="115"/>
      <c r="U122" s="115"/>
      <c r="V122" s="115"/>
      <c r="BO122" s="157"/>
    </row>
    <row r="123" spans="1:67" ht="21">
      <c r="A123" s="436" t="s">
        <v>362</v>
      </c>
      <c r="B123" s="436"/>
      <c r="C123" s="436"/>
      <c r="D123" s="436"/>
      <c r="E123" s="436"/>
      <c r="F123" s="436"/>
      <c r="G123" s="437"/>
      <c r="H123" s="438" t="s">
        <v>331</v>
      </c>
      <c r="I123" s="439"/>
      <c r="J123" s="439"/>
      <c r="K123" s="439"/>
      <c r="L123" s="440"/>
      <c r="M123" s="441" t="s">
        <v>332</v>
      </c>
      <c r="N123" s="442"/>
      <c r="O123" s="442"/>
      <c r="P123" s="442"/>
      <c r="Q123" s="443"/>
      <c r="R123" s="181"/>
      <c r="S123" s="181"/>
      <c r="T123" s="181"/>
      <c r="U123" s="181"/>
      <c r="V123" s="181"/>
      <c r="X123" s="122"/>
      <c r="Y123" s="431" t="s">
        <v>10</v>
      </c>
      <c r="Z123" s="432"/>
      <c r="AA123" s="432"/>
      <c r="AB123" s="432"/>
      <c r="AC123" s="433"/>
      <c r="AD123" s="431" t="s">
        <v>15</v>
      </c>
      <c r="AE123" s="432"/>
      <c r="AF123" s="432"/>
      <c r="AG123" s="432"/>
      <c r="AH123" s="433"/>
      <c r="AI123" s="431" t="s">
        <v>23</v>
      </c>
      <c r="AJ123" s="432"/>
      <c r="AK123" s="432"/>
      <c r="AL123" s="432"/>
      <c r="AM123" s="433"/>
      <c r="AN123" s="431" t="s">
        <v>12</v>
      </c>
      <c r="AO123" s="432"/>
      <c r="AP123" s="432"/>
      <c r="AQ123" s="432"/>
      <c r="AR123" s="433"/>
      <c r="AS123" s="431" t="s">
        <v>13</v>
      </c>
      <c r="AT123" s="432"/>
      <c r="AU123" s="432"/>
      <c r="AV123" s="432"/>
      <c r="AW123" s="433"/>
      <c r="AX123" s="431" t="s">
        <v>11</v>
      </c>
      <c r="AY123" s="432"/>
      <c r="AZ123" s="432"/>
      <c r="BA123" s="432"/>
      <c r="BB123" s="433"/>
      <c r="BC123" s="431" t="s">
        <v>16</v>
      </c>
      <c r="BD123" s="432"/>
      <c r="BE123" s="432"/>
      <c r="BF123" s="432"/>
      <c r="BG123" s="433"/>
      <c r="BH123" s="431" t="s">
        <v>14</v>
      </c>
      <c r="BI123" s="432"/>
      <c r="BJ123" s="432"/>
      <c r="BK123" s="432"/>
      <c r="BL123" s="433"/>
      <c r="BO123" s="157"/>
    </row>
    <row r="124" spans="1:67" ht="15.75" thickBot="1">
      <c r="A124" s="79" t="s">
        <v>5</v>
      </c>
      <c r="B124" s="33" t="s">
        <v>7</v>
      </c>
      <c r="C124" s="33" t="s">
        <v>4</v>
      </c>
      <c r="D124" s="33" t="s">
        <v>56</v>
      </c>
      <c r="E124" s="33"/>
      <c r="F124" s="34" t="s">
        <v>9</v>
      </c>
      <c r="G124" s="34" t="s">
        <v>0</v>
      </c>
      <c r="H124" s="43" t="s">
        <v>21</v>
      </c>
      <c r="I124" s="314" t="s">
        <v>29</v>
      </c>
      <c r="J124" s="43" t="s">
        <v>28</v>
      </c>
      <c r="K124" s="314" t="s">
        <v>22</v>
      </c>
      <c r="L124" s="43" t="s">
        <v>40</v>
      </c>
      <c r="M124" s="315" t="s">
        <v>21</v>
      </c>
      <c r="N124" s="316" t="s">
        <v>29</v>
      </c>
      <c r="O124" s="315" t="s">
        <v>28</v>
      </c>
      <c r="P124" s="316" t="s">
        <v>22</v>
      </c>
      <c r="Q124" s="315" t="s">
        <v>40</v>
      </c>
      <c r="R124" s="181"/>
      <c r="S124" s="181"/>
      <c r="T124" s="181"/>
      <c r="U124" s="181"/>
      <c r="V124" s="181"/>
      <c r="X124" s="122"/>
      <c r="Y124" s="71" t="s">
        <v>21</v>
      </c>
      <c r="Z124" s="43" t="s">
        <v>29</v>
      </c>
      <c r="AA124" s="43" t="s">
        <v>28</v>
      </c>
      <c r="AB124" s="43" t="s">
        <v>22</v>
      </c>
      <c r="AC124" s="67" t="s">
        <v>40</v>
      </c>
      <c r="AD124" s="71" t="s">
        <v>21</v>
      </c>
      <c r="AE124" s="43" t="s">
        <v>29</v>
      </c>
      <c r="AF124" s="43" t="s">
        <v>28</v>
      </c>
      <c r="AG124" s="43" t="s">
        <v>22</v>
      </c>
      <c r="AH124" s="67" t="s">
        <v>40</v>
      </c>
      <c r="AI124" s="71" t="s">
        <v>21</v>
      </c>
      <c r="AJ124" s="43" t="s">
        <v>29</v>
      </c>
      <c r="AK124" s="43" t="s">
        <v>28</v>
      </c>
      <c r="AL124" s="43" t="s">
        <v>22</v>
      </c>
      <c r="AM124" s="67" t="s">
        <v>40</v>
      </c>
      <c r="AN124" s="71" t="s">
        <v>21</v>
      </c>
      <c r="AO124" s="43" t="s">
        <v>29</v>
      </c>
      <c r="AP124" s="43" t="s">
        <v>28</v>
      </c>
      <c r="AQ124" s="43" t="s">
        <v>22</v>
      </c>
      <c r="AR124" s="67" t="s">
        <v>40</v>
      </c>
      <c r="AS124" s="71" t="s">
        <v>21</v>
      </c>
      <c r="AT124" s="43" t="s">
        <v>29</v>
      </c>
      <c r="AU124" s="43" t="s">
        <v>28</v>
      </c>
      <c r="AV124" s="43" t="s">
        <v>22</v>
      </c>
      <c r="AW124" s="67" t="s">
        <v>40</v>
      </c>
      <c r="AX124" s="71" t="s">
        <v>21</v>
      </c>
      <c r="AY124" s="43" t="s">
        <v>29</v>
      </c>
      <c r="AZ124" s="43" t="s">
        <v>28</v>
      </c>
      <c r="BA124" s="43" t="s">
        <v>22</v>
      </c>
      <c r="BB124" s="67"/>
      <c r="BC124" s="71" t="s">
        <v>21</v>
      </c>
      <c r="BD124" s="43" t="s">
        <v>29</v>
      </c>
      <c r="BE124" s="43" t="s">
        <v>28</v>
      </c>
      <c r="BF124" s="43" t="s">
        <v>22</v>
      </c>
      <c r="BG124" s="67"/>
      <c r="BH124" s="71" t="s">
        <v>21</v>
      </c>
      <c r="BI124" s="43" t="s">
        <v>29</v>
      </c>
      <c r="BJ124" s="43" t="s">
        <v>28</v>
      </c>
      <c r="BK124" s="43" t="s">
        <v>22</v>
      </c>
      <c r="BL124" s="67" t="s">
        <v>40</v>
      </c>
      <c r="BO124" s="157"/>
    </row>
    <row r="125" spans="1:67" ht="30">
      <c r="A125" s="112" t="s">
        <v>17</v>
      </c>
      <c r="B125" s="358" t="s">
        <v>363</v>
      </c>
      <c r="C125" s="113"/>
      <c r="D125" s="434" t="s">
        <v>346</v>
      </c>
      <c r="E125" s="434"/>
      <c r="F125" s="112" t="s">
        <v>364</v>
      </c>
      <c r="G125" s="106" t="s">
        <v>62</v>
      </c>
      <c r="H125" s="317"/>
      <c r="I125" s="318"/>
      <c r="J125" s="319"/>
      <c r="K125" s="326">
        <v>0</v>
      </c>
      <c r="L125" s="327">
        <v>8</v>
      </c>
      <c r="M125" s="321"/>
      <c r="N125" s="114"/>
      <c r="O125" s="322"/>
      <c r="P125" s="323"/>
      <c r="Q125" s="359">
        <v>8</v>
      </c>
      <c r="R125" s="181"/>
      <c r="S125" s="181"/>
      <c r="T125" s="181"/>
      <c r="U125" s="181"/>
      <c r="V125" s="181"/>
      <c r="X125" s="325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>
        <v>8</v>
      </c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O125" s="157"/>
    </row>
    <row r="126" spans="1:67" ht="23.25">
      <c r="A126" s="122"/>
      <c r="B126" s="348"/>
      <c r="C126" s="348"/>
      <c r="D126" s="181"/>
      <c r="E126" s="181"/>
      <c r="F126" s="181"/>
      <c r="G126" s="181"/>
      <c r="H126" s="360"/>
      <c r="I126" s="123"/>
      <c r="J126" s="123"/>
      <c r="K126" s="123"/>
      <c r="L126" s="121"/>
      <c r="M126" s="360"/>
      <c r="N126" s="122"/>
      <c r="O126" s="122"/>
      <c r="P126" s="122"/>
      <c r="Q126" s="122"/>
      <c r="R126" s="181"/>
      <c r="S126" s="181"/>
      <c r="T126" s="181"/>
      <c r="U126" s="181"/>
      <c r="V126" s="181"/>
      <c r="BO126" s="157"/>
    </row>
    <row r="127" spans="1:67" ht="21">
      <c r="A127" s="444" t="s">
        <v>365</v>
      </c>
      <c r="B127" s="445"/>
      <c r="C127" s="445"/>
      <c r="D127" s="446" t="s">
        <v>56</v>
      </c>
      <c r="E127" s="447"/>
      <c r="F127" s="283" t="s">
        <v>9</v>
      </c>
      <c r="G127" s="283" t="s">
        <v>0</v>
      </c>
      <c r="H127" s="181"/>
      <c r="I127" s="181"/>
      <c r="J127" s="181"/>
      <c r="K127" s="181"/>
      <c r="L127" s="121"/>
      <c r="M127" s="122"/>
      <c r="N127" s="101"/>
      <c r="O127" s="101"/>
      <c r="P127" s="101"/>
      <c r="Q127" s="101"/>
      <c r="R127" s="181"/>
      <c r="S127" s="181"/>
      <c r="T127" s="181"/>
      <c r="U127" s="181"/>
      <c r="V127" s="181"/>
      <c r="BO127" s="157"/>
    </row>
    <row r="128" spans="1:67" ht="15.75">
      <c r="A128" s="361" t="s">
        <v>64</v>
      </c>
      <c r="B128" s="434" t="s">
        <v>366</v>
      </c>
      <c r="C128" s="434"/>
      <c r="D128" s="434" t="s">
        <v>346</v>
      </c>
      <c r="E128" s="434"/>
      <c r="F128" s="112" t="s">
        <v>364</v>
      </c>
      <c r="G128" s="106" t="s">
        <v>62</v>
      </c>
      <c r="H128" s="181"/>
      <c r="I128" s="181"/>
      <c r="J128" s="181"/>
      <c r="K128" s="181"/>
      <c r="L128" s="121"/>
      <c r="M128" s="122"/>
      <c r="N128" s="122"/>
      <c r="O128" s="122"/>
      <c r="P128" s="122"/>
      <c r="Q128" s="362"/>
      <c r="R128" s="181"/>
      <c r="S128" s="181"/>
      <c r="T128" s="181"/>
      <c r="U128" s="181"/>
      <c r="V128" s="181"/>
      <c r="BO128" s="157"/>
    </row>
    <row r="129" spans="1:72">
      <c r="A129" s="361" t="s">
        <v>2</v>
      </c>
      <c r="B129" s="434" t="s">
        <v>367</v>
      </c>
      <c r="C129" s="434"/>
      <c r="D129" s="434" t="s">
        <v>346</v>
      </c>
      <c r="E129" s="434"/>
      <c r="F129" s="112" t="s">
        <v>364</v>
      </c>
      <c r="G129" s="106" t="s">
        <v>62</v>
      </c>
      <c r="H129" s="181"/>
      <c r="I129" s="181"/>
      <c r="J129" s="181"/>
      <c r="K129" s="181"/>
      <c r="L129" s="181"/>
      <c r="M129" s="181"/>
      <c r="N129" s="122"/>
      <c r="O129" s="122"/>
      <c r="P129" s="122"/>
      <c r="Q129" s="362"/>
      <c r="R129" s="181"/>
      <c r="S129" s="181"/>
      <c r="T129" s="181"/>
      <c r="U129" s="181"/>
      <c r="V129" s="181"/>
      <c r="BO129" s="157"/>
    </row>
    <row r="130" spans="1:72">
      <c r="A130" s="361" t="s">
        <v>3</v>
      </c>
      <c r="B130" s="434" t="s">
        <v>368</v>
      </c>
      <c r="C130" s="434"/>
      <c r="D130" s="434" t="s">
        <v>346</v>
      </c>
      <c r="E130" s="434"/>
      <c r="F130" s="112" t="s">
        <v>364</v>
      </c>
      <c r="G130" s="106" t="s">
        <v>62</v>
      </c>
      <c r="H130" s="363"/>
      <c r="I130" s="363"/>
      <c r="J130" s="363"/>
      <c r="K130" s="122"/>
      <c r="L130" s="122"/>
      <c r="M130" s="122"/>
      <c r="N130" s="122"/>
      <c r="O130" s="122"/>
      <c r="P130" s="122"/>
      <c r="Q130" s="362"/>
      <c r="R130" s="181"/>
      <c r="S130" s="181"/>
      <c r="T130" s="181"/>
      <c r="U130" s="181"/>
      <c r="V130" s="181"/>
      <c r="BO130" s="157"/>
    </row>
    <row r="131" spans="1:72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BO131" s="157"/>
    </row>
    <row r="132" spans="1:72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BO132" s="157"/>
    </row>
    <row r="133" spans="1:72">
      <c r="BO133" s="157"/>
    </row>
    <row r="134" spans="1:72" ht="24" thickBot="1">
      <c r="B134" s="328" t="s">
        <v>118</v>
      </c>
      <c r="C134" s="87" t="s">
        <v>335</v>
      </c>
      <c r="D134" s="88">
        <v>2019</v>
      </c>
      <c r="E134" s="89">
        <v>2020</v>
      </c>
      <c r="F134" s="353">
        <v>2021</v>
      </c>
      <c r="G134" s="348"/>
      <c r="BP134" s="153"/>
      <c r="BQ134" s="153"/>
      <c r="BR134" s="153"/>
      <c r="BS134" s="153"/>
      <c r="BT134" s="153"/>
    </row>
    <row r="135" spans="1:72" ht="23.25">
      <c r="B135" s="329" t="s">
        <v>369</v>
      </c>
      <c r="C135" s="341">
        <f>C117+C69+C38+C13</f>
        <v>99238750</v>
      </c>
      <c r="D135" s="342">
        <f t="shared" ref="D135:F135" si="34">D117+D69+D38+D13</f>
        <v>126527500</v>
      </c>
      <c r="E135" s="343">
        <f t="shared" si="34"/>
        <v>126527500</v>
      </c>
      <c r="F135" s="364">
        <f t="shared" si="34"/>
        <v>91631250</v>
      </c>
      <c r="G135" s="348"/>
      <c r="H135" s="159">
        <f>SUM(C135:G135)</f>
        <v>443925000</v>
      </c>
      <c r="BP135" s="153"/>
      <c r="BQ135" s="153"/>
      <c r="BR135" s="153"/>
      <c r="BS135" s="153"/>
      <c r="BT135" s="153"/>
    </row>
    <row r="136" spans="1:72" ht="23.25">
      <c r="B136" s="344" t="s">
        <v>24</v>
      </c>
      <c r="C136" s="345">
        <f>AVERAGE(C118,C70,C39,C14)</f>
        <v>0.33640449119157356</v>
      </c>
      <c r="D136" s="346">
        <f>AVERAGE(D118,D70,D39,D14)</f>
        <v>0.33640449119157356</v>
      </c>
      <c r="E136" s="407" t="s">
        <v>39</v>
      </c>
      <c r="F136" s="407" t="s">
        <v>39</v>
      </c>
      <c r="G136" s="348"/>
      <c r="H136" s="130"/>
    </row>
    <row r="137" spans="1:72" ht="23.25">
      <c r="B137" s="344" t="s">
        <v>25</v>
      </c>
      <c r="C137" s="345">
        <f>AVERAGE(C119,C71,C40,C15)</f>
        <v>0.66359550880842644</v>
      </c>
      <c r="D137" s="346">
        <f>AVERAGE(D119,D71,D40,D15)</f>
        <v>0.66359550880842644</v>
      </c>
      <c r="E137" s="407" t="s">
        <v>39</v>
      </c>
      <c r="F137" s="407" t="s">
        <v>39</v>
      </c>
      <c r="G137" s="348"/>
    </row>
    <row r="139" spans="1:72">
      <c r="BP139" s="153"/>
      <c r="BQ139" s="153"/>
      <c r="BR139" s="153"/>
      <c r="BS139" s="153"/>
      <c r="BT139" s="153"/>
    </row>
    <row r="140" spans="1:72">
      <c r="BP140" s="153"/>
      <c r="BQ140" s="153"/>
      <c r="BR140" s="153"/>
      <c r="BS140" s="153"/>
      <c r="BT140" s="153"/>
    </row>
    <row r="141" spans="1:72">
      <c r="BP141" s="153"/>
      <c r="BQ141" s="153"/>
      <c r="BR141" s="153"/>
      <c r="BS141" s="153"/>
      <c r="BT141" s="153"/>
    </row>
    <row r="142" spans="1:72">
      <c r="BP142" s="153"/>
      <c r="BQ142" s="153"/>
      <c r="BR142" s="153"/>
      <c r="BS142" s="153"/>
      <c r="BT142" s="153"/>
    </row>
    <row r="143" spans="1:72" ht="15.75">
      <c r="H143" s="120">
        <f>H102+H88+H52*5+H47*5+H21+H20</f>
        <v>492464.47499999998</v>
      </c>
      <c r="I143" s="120"/>
      <c r="J143" s="120"/>
      <c r="K143" s="120">
        <f>K102+K88+K52*5+K47*5+K20</f>
        <v>626707.22499999998</v>
      </c>
      <c r="M143" s="120">
        <f>M102+M88+M52*5+M47*5+M21+M20</f>
        <v>884422.05</v>
      </c>
      <c r="N143" s="120"/>
      <c r="O143" s="120"/>
      <c r="P143" s="120">
        <f>P102+P88+P52*5+P47*5+P20</f>
        <v>923730.4</v>
      </c>
      <c r="BP143" s="153"/>
      <c r="BQ143" s="153"/>
      <c r="BR143" s="153"/>
      <c r="BS143" s="153"/>
      <c r="BT143" s="153"/>
    </row>
    <row r="144" spans="1:72" ht="15.75">
      <c r="H144" s="182">
        <f>H143/1500000</f>
        <v>0.32830965000000001</v>
      </c>
      <c r="I144" s="120"/>
      <c r="J144" s="120"/>
      <c r="K144" s="183">
        <f>K143/1500000</f>
        <v>0.41780481666666663</v>
      </c>
      <c r="BP144" s="153"/>
      <c r="BQ144" s="153"/>
      <c r="BR144" s="153"/>
      <c r="BS144" s="153"/>
      <c r="BT144" s="153"/>
    </row>
    <row r="146" spans="68:72">
      <c r="BP146" s="153"/>
      <c r="BQ146" s="153"/>
      <c r="BR146" s="153"/>
      <c r="BS146" s="153"/>
      <c r="BT146" s="153"/>
    </row>
    <row r="147" spans="68:72">
      <c r="BP147" s="153"/>
      <c r="BQ147" s="153"/>
      <c r="BR147" s="153"/>
      <c r="BS147" s="153"/>
      <c r="BT147" s="153"/>
    </row>
    <row r="148" spans="68:72">
      <c r="BP148" s="153"/>
      <c r="BQ148" s="153"/>
      <c r="BR148" s="153"/>
      <c r="BS148" s="153"/>
      <c r="BT148" s="153"/>
    </row>
    <row r="150" spans="68:72">
      <c r="BP150" s="153"/>
      <c r="BQ150" s="153"/>
      <c r="BR150" s="153"/>
      <c r="BS150" s="153"/>
      <c r="BT150" s="153"/>
    </row>
    <row r="151" spans="68:72">
      <c r="BP151" s="153"/>
      <c r="BQ151" s="153"/>
      <c r="BR151" s="153"/>
      <c r="BS151" s="153"/>
      <c r="BT151" s="153"/>
    </row>
    <row r="152" spans="68:72">
      <c r="BP152" s="153"/>
      <c r="BQ152" s="153"/>
      <c r="BR152" s="153"/>
      <c r="BS152" s="153"/>
      <c r="BT152" s="153"/>
    </row>
    <row r="153" spans="68:72">
      <c r="BP153" s="153"/>
      <c r="BQ153" s="153"/>
      <c r="BR153" s="153"/>
      <c r="BS153" s="153"/>
      <c r="BT153" s="153"/>
    </row>
  </sheetData>
  <mergeCells count="225">
    <mergeCell ref="D4:E4"/>
    <mergeCell ref="D5:E5"/>
    <mergeCell ref="A7:D7"/>
    <mergeCell ref="A8:G8"/>
    <mergeCell ref="H8:L8"/>
    <mergeCell ref="M8:Q8"/>
    <mergeCell ref="A1:W1"/>
    <mergeCell ref="H2:K2"/>
    <mergeCell ref="L2:O2"/>
    <mergeCell ref="P2:S2"/>
    <mergeCell ref="T2:W2"/>
    <mergeCell ref="D3:E3"/>
    <mergeCell ref="F15:G15"/>
    <mergeCell ref="A17:G17"/>
    <mergeCell ref="A18:G18"/>
    <mergeCell ref="H18:L18"/>
    <mergeCell ref="M18:Q18"/>
    <mergeCell ref="Y18:AC18"/>
    <mergeCell ref="D9:E9"/>
    <mergeCell ref="D10:E10"/>
    <mergeCell ref="F12:G12"/>
    <mergeCell ref="Q12:V12"/>
    <mergeCell ref="F13:G13"/>
    <mergeCell ref="F14:G14"/>
    <mergeCell ref="BH18:BL18"/>
    <mergeCell ref="D19:E19"/>
    <mergeCell ref="D20:E20"/>
    <mergeCell ref="D21:E21"/>
    <mergeCell ref="D22:E22"/>
    <mergeCell ref="D23:E23"/>
    <mergeCell ref="AD18:AH18"/>
    <mergeCell ref="AI18:AM18"/>
    <mergeCell ref="AN18:AR18"/>
    <mergeCell ref="AS18:AW18"/>
    <mergeCell ref="AX18:BB18"/>
    <mergeCell ref="BC18:BG18"/>
    <mergeCell ref="BH25:BL25"/>
    <mergeCell ref="B26:C26"/>
    <mergeCell ref="D26:E26"/>
    <mergeCell ref="A25:C25"/>
    <mergeCell ref="D25:E25"/>
    <mergeCell ref="Y25:AC25"/>
    <mergeCell ref="AD25:AH25"/>
    <mergeCell ref="AI25:AM25"/>
    <mergeCell ref="AN25:AR25"/>
    <mergeCell ref="B27:C27"/>
    <mergeCell ref="D27:E27"/>
    <mergeCell ref="B28:C28"/>
    <mergeCell ref="D28:E28"/>
    <mergeCell ref="B29:C29"/>
    <mergeCell ref="D29:E29"/>
    <mergeCell ref="AS25:AW25"/>
    <mergeCell ref="AX25:BB25"/>
    <mergeCell ref="BC25:BG25"/>
    <mergeCell ref="F37:G37"/>
    <mergeCell ref="Q37:V37"/>
    <mergeCell ref="F38:G38"/>
    <mergeCell ref="F39:G39"/>
    <mergeCell ref="F40:G40"/>
    <mergeCell ref="A42:G42"/>
    <mergeCell ref="A32:D32"/>
    <mergeCell ref="A33:G33"/>
    <mergeCell ref="H33:L33"/>
    <mergeCell ref="M33:Q33"/>
    <mergeCell ref="D34:E34"/>
    <mergeCell ref="D35:E35"/>
    <mergeCell ref="BC43:BG43"/>
    <mergeCell ref="BH43:BL43"/>
    <mergeCell ref="D44:E44"/>
    <mergeCell ref="A43:G43"/>
    <mergeCell ref="H43:L43"/>
    <mergeCell ref="M43:Q43"/>
    <mergeCell ref="Y43:AC43"/>
    <mergeCell ref="AD43:AH43"/>
    <mergeCell ref="AI43:AM43"/>
    <mergeCell ref="D45:E45"/>
    <mergeCell ref="D46:E46"/>
    <mergeCell ref="D47:E47"/>
    <mergeCell ref="D48:E48"/>
    <mergeCell ref="D49:E49"/>
    <mergeCell ref="D50:E50"/>
    <mergeCell ref="AN43:AR43"/>
    <mergeCell ref="AS43:AW43"/>
    <mergeCell ref="AX43:BB43"/>
    <mergeCell ref="AI54:AM54"/>
    <mergeCell ref="AN54:AR54"/>
    <mergeCell ref="AS54:AW54"/>
    <mergeCell ref="AX54:BB54"/>
    <mergeCell ref="BC54:BG54"/>
    <mergeCell ref="BH54:BL54"/>
    <mergeCell ref="D51:E51"/>
    <mergeCell ref="D52:E52"/>
    <mergeCell ref="A54:C54"/>
    <mergeCell ref="D54:E54"/>
    <mergeCell ref="Y54:AC54"/>
    <mergeCell ref="AD54:AH54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D66:E66"/>
    <mergeCell ref="F68:G68"/>
    <mergeCell ref="Q68:V68"/>
    <mergeCell ref="F69:G69"/>
    <mergeCell ref="F70:G70"/>
    <mergeCell ref="F71:G71"/>
    <mergeCell ref="A62:E62"/>
    <mergeCell ref="A63:G63"/>
    <mergeCell ref="H63:L63"/>
    <mergeCell ref="M63:Q63"/>
    <mergeCell ref="D64:E64"/>
    <mergeCell ref="D65:E65"/>
    <mergeCell ref="F80:G80"/>
    <mergeCell ref="F81:G81"/>
    <mergeCell ref="A83:G83"/>
    <mergeCell ref="A84:G84"/>
    <mergeCell ref="H84:L84"/>
    <mergeCell ref="M84:Q84"/>
    <mergeCell ref="F73:G73"/>
    <mergeCell ref="F74:G74"/>
    <mergeCell ref="F75:G75"/>
    <mergeCell ref="F76:G76"/>
    <mergeCell ref="F78:G78"/>
    <mergeCell ref="F79:G79"/>
    <mergeCell ref="BC84:BG84"/>
    <mergeCell ref="BH84:BL84"/>
    <mergeCell ref="D85:E85"/>
    <mergeCell ref="D86:E86"/>
    <mergeCell ref="D87:E87"/>
    <mergeCell ref="D88:E88"/>
    <mergeCell ref="Y84:AC84"/>
    <mergeCell ref="AD84:AH84"/>
    <mergeCell ref="AI84:AM84"/>
    <mergeCell ref="AN84:AR84"/>
    <mergeCell ref="AS84:AW84"/>
    <mergeCell ref="AX84:BB84"/>
    <mergeCell ref="AS90:AW90"/>
    <mergeCell ref="AX90:BB90"/>
    <mergeCell ref="BC90:BG90"/>
    <mergeCell ref="BH90:BL90"/>
    <mergeCell ref="B91:C91"/>
    <mergeCell ref="D91:E91"/>
    <mergeCell ref="A90:C90"/>
    <mergeCell ref="D90:E90"/>
    <mergeCell ref="Y90:AC90"/>
    <mergeCell ref="AD90:AH90"/>
    <mergeCell ref="AI90:AM90"/>
    <mergeCell ref="AN90:AR90"/>
    <mergeCell ref="B95:C95"/>
    <mergeCell ref="D95:E95"/>
    <mergeCell ref="A97:G97"/>
    <mergeCell ref="A98:G98"/>
    <mergeCell ref="H98:L98"/>
    <mergeCell ref="M98:Q98"/>
    <mergeCell ref="B92:C92"/>
    <mergeCell ref="D92:E92"/>
    <mergeCell ref="B93:C93"/>
    <mergeCell ref="D93:E93"/>
    <mergeCell ref="B94:C94"/>
    <mergeCell ref="D94:E94"/>
    <mergeCell ref="BC98:BG98"/>
    <mergeCell ref="BH98:BL98"/>
    <mergeCell ref="D99:E99"/>
    <mergeCell ref="D100:E100"/>
    <mergeCell ref="D101:E101"/>
    <mergeCell ref="D102:E102"/>
    <mergeCell ref="Y98:AC98"/>
    <mergeCell ref="AD98:AH98"/>
    <mergeCell ref="AI98:AM98"/>
    <mergeCell ref="AN98:AR98"/>
    <mergeCell ref="AS98:AW98"/>
    <mergeCell ref="AX98:BB98"/>
    <mergeCell ref="AS104:AW104"/>
    <mergeCell ref="AX104:BB104"/>
    <mergeCell ref="BC104:BG104"/>
    <mergeCell ref="BH104:BL104"/>
    <mergeCell ref="B105:C105"/>
    <mergeCell ref="D105:E105"/>
    <mergeCell ref="A104:C104"/>
    <mergeCell ref="D104:E104"/>
    <mergeCell ref="Y104:AC104"/>
    <mergeCell ref="AD104:AH104"/>
    <mergeCell ref="AI104:AM104"/>
    <mergeCell ref="AN104:AR104"/>
    <mergeCell ref="A112:G112"/>
    <mergeCell ref="H112:L112"/>
    <mergeCell ref="M112:Q112"/>
    <mergeCell ref="D113:E113"/>
    <mergeCell ref="D114:E114"/>
    <mergeCell ref="Q116:V116"/>
    <mergeCell ref="D106:E106"/>
    <mergeCell ref="B107:C107"/>
    <mergeCell ref="D107:E107"/>
    <mergeCell ref="B108:C108"/>
    <mergeCell ref="D108:E108"/>
    <mergeCell ref="A111:F111"/>
    <mergeCell ref="AI123:AM123"/>
    <mergeCell ref="AN123:AR123"/>
    <mergeCell ref="AS123:AW123"/>
    <mergeCell ref="AX123:BB123"/>
    <mergeCell ref="BC123:BG123"/>
    <mergeCell ref="BH123:BL123"/>
    <mergeCell ref="A122:G122"/>
    <mergeCell ref="A123:G123"/>
    <mergeCell ref="H123:L123"/>
    <mergeCell ref="M123:Q123"/>
    <mergeCell ref="Y123:AC123"/>
    <mergeCell ref="AD123:AH123"/>
    <mergeCell ref="B130:C130"/>
    <mergeCell ref="D130:E130"/>
    <mergeCell ref="D125:E125"/>
    <mergeCell ref="A127:C127"/>
    <mergeCell ref="D127:E127"/>
    <mergeCell ref="B128:C128"/>
    <mergeCell ref="D128:E128"/>
    <mergeCell ref="B129:C129"/>
    <mergeCell ref="D129:E129"/>
  </mergeCells>
  <pageMargins left="0.7" right="0.7" top="0.75" bottom="0.75" header="0.3" footer="0.3"/>
  <pageSetup paperSize="9" scale="37" fitToWidth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54"/>
  <sheetViews>
    <sheetView topLeftCell="I125" zoomScale="90" zoomScaleNormal="90" zoomScalePageLayoutView="90" workbookViewId="0">
      <selection activeCell="J136" sqref="J136"/>
    </sheetView>
  </sheetViews>
  <sheetFormatPr defaultColWidth="11.42578125" defaultRowHeight="15"/>
  <cols>
    <col min="1" max="1" width="10.42578125" customWidth="1"/>
    <col min="2" max="3" width="27.28515625" customWidth="1"/>
    <col min="4" max="4" width="23" customWidth="1"/>
  </cols>
  <sheetData>
    <row r="1" spans="1:46" ht="21">
      <c r="A1" s="471" t="s">
        <v>70</v>
      </c>
      <c r="B1" s="471"/>
      <c r="C1" s="471"/>
      <c r="D1" s="283" t="s">
        <v>9</v>
      </c>
      <c r="E1" s="283" t="s">
        <v>0</v>
      </c>
      <c r="F1" s="438" t="s">
        <v>36</v>
      </c>
      <c r="G1" s="439"/>
      <c r="H1" s="440"/>
      <c r="J1" s="438" t="s">
        <v>10</v>
      </c>
      <c r="K1" s="439"/>
      <c r="L1" s="440"/>
      <c r="O1" s="438" t="s">
        <v>15</v>
      </c>
      <c r="P1" s="439"/>
      <c r="Q1" s="440"/>
      <c r="T1" s="438" t="s">
        <v>23</v>
      </c>
      <c r="U1" s="439"/>
      <c r="V1" s="440"/>
      <c r="X1" s="438" t="s">
        <v>12</v>
      </c>
      <c r="Y1" s="439"/>
      <c r="Z1" s="440"/>
      <c r="AC1" s="438" t="s">
        <v>13</v>
      </c>
      <c r="AD1" s="439"/>
      <c r="AE1" s="440"/>
      <c r="AH1" s="438" t="s">
        <v>11</v>
      </c>
      <c r="AI1" s="439"/>
      <c r="AJ1" s="440"/>
      <c r="AM1" s="438" t="s">
        <v>16</v>
      </c>
      <c r="AN1" s="439"/>
      <c r="AO1" s="440"/>
      <c r="AR1" s="438" t="s">
        <v>14</v>
      </c>
      <c r="AS1" s="439"/>
      <c r="AT1" s="440"/>
    </row>
    <row r="2" spans="1:46" ht="21.75" thickBot="1">
      <c r="A2" s="184"/>
      <c r="B2" s="285"/>
      <c r="C2" s="285"/>
      <c r="D2" s="283"/>
      <c r="E2" s="283"/>
      <c r="F2" s="30" t="s">
        <v>21</v>
      </c>
      <c r="G2" s="29" t="s">
        <v>22</v>
      </c>
      <c r="H2" s="30" t="s">
        <v>40</v>
      </c>
      <c r="J2" s="30" t="s">
        <v>21</v>
      </c>
      <c r="K2" s="29" t="s">
        <v>22</v>
      </c>
      <c r="L2" s="30" t="s">
        <v>40</v>
      </c>
      <c r="O2" s="30" t="s">
        <v>21</v>
      </c>
      <c r="P2" s="29" t="s">
        <v>22</v>
      </c>
      <c r="Q2" s="30" t="s">
        <v>40</v>
      </c>
      <c r="T2" s="30" t="s">
        <v>21</v>
      </c>
      <c r="U2" s="29" t="s">
        <v>22</v>
      </c>
      <c r="V2" s="30" t="s">
        <v>40</v>
      </c>
      <c r="X2" s="30" t="s">
        <v>21</v>
      </c>
      <c r="Y2" s="29" t="s">
        <v>22</v>
      </c>
      <c r="Z2" s="30" t="s">
        <v>40</v>
      </c>
      <c r="AC2" s="30" t="s">
        <v>21</v>
      </c>
      <c r="AD2" s="29" t="s">
        <v>22</v>
      </c>
      <c r="AE2" s="30" t="s">
        <v>40</v>
      </c>
      <c r="AH2" s="30" t="s">
        <v>21</v>
      </c>
      <c r="AI2" s="29" t="s">
        <v>22</v>
      </c>
      <c r="AJ2" s="30"/>
      <c r="AM2" s="30" t="s">
        <v>21</v>
      </c>
      <c r="AN2" s="29" t="s">
        <v>22</v>
      </c>
      <c r="AO2" s="30"/>
      <c r="AR2" s="30" t="s">
        <v>21</v>
      </c>
      <c r="AS2" s="29" t="s">
        <v>22</v>
      </c>
      <c r="AT2" s="30" t="s">
        <v>40</v>
      </c>
    </row>
    <row r="3" spans="1:46" ht="30">
      <c r="A3" s="110" t="s">
        <v>64</v>
      </c>
      <c r="B3" s="458" t="s">
        <v>128</v>
      </c>
      <c r="C3" s="458"/>
      <c r="D3" s="11" t="s">
        <v>304</v>
      </c>
      <c r="E3" s="11" t="s">
        <v>305</v>
      </c>
      <c r="F3" s="35">
        <f>291222*0.5*0.15*5</f>
        <v>109208.24999999999</v>
      </c>
      <c r="G3" s="124">
        <f>291222*0.5*0.15*4</f>
        <v>87366.599999999991</v>
      </c>
      <c r="H3" s="31"/>
      <c r="J3" s="289">
        <v>10920.824999999999</v>
      </c>
      <c r="K3" s="290">
        <v>5766.1956</v>
      </c>
      <c r="L3" s="31"/>
      <c r="O3" s="35">
        <v>16381.237499999997</v>
      </c>
      <c r="P3" s="124">
        <v>12056.5908</v>
      </c>
      <c r="Q3" s="31"/>
      <c r="T3" s="35">
        <v>28394.144999999997</v>
      </c>
      <c r="U3" s="124">
        <v>32675.108399999997</v>
      </c>
      <c r="V3" s="31"/>
      <c r="X3" s="289">
        <v>2184.165</v>
      </c>
      <c r="Y3" s="290">
        <v>8736.66</v>
      </c>
      <c r="Z3" s="31"/>
      <c r="AC3" s="35">
        <v>25117.897499999999</v>
      </c>
      <c r="AD3" s="124">
        <v>6028.2954</v>
      </c>
      <c r="AE3" s="31"/>
      <c r="AH3" s="35">
        <v>13104.989999999998</v>
      </c>
      <c r="AI3" s="124">
        <v>5940.9287999999997</v>
      </c>
      <c r="AJ3" s="31"/>
      <c r="AM3" s="35">
        <v>7644.5774999999994</v>
      </c>
      <c r="AN3" s="124">
        <v>10221.8922</v>
      </c>
      <c r="AO3" s="31"/>
      <c r="AR3" s="35">
        <v>4368.33</v>
      </c>
      <c r="AS3" s="124">
        <v>5940.9287999999997</v>
      </c>
      <c r="AT3" s="31"/>
    </row>
    <row r="4" spans="1:46" ht="30">
      <c r="A4" s="111" t="s">
        <v>2</v>
      </c>
      <c r="B4" s="434" t="s">
        <v>158</v>
      </c>
      <c r="C4" s="434"/>
      <c r="D4" s="10" t="s">
        <v>306</v>
      </c>
      <c r="E4" s="10" t="s">
        <v>305</v>
      </c>
      <c r="F4" s="35"/>
      <c r="G4" s="36"/>
      <c r="H4" s="35">
        <f>251*0.15</f>
        <v>37.65</v>
      </c>
      <c r="J4" s="289">
        <v>0</v>
      </c>
      <c r="K4" s="292">
        <v>0</v>
      </c>
      <c r="L4" s="289">
        <v>3.7650000000000001</v>
      </c>
      <c r="O4" s="35">
        <v>0</v>
      </c>
      <c r="P4" s="36">
        <v>0</v>
      </c>
      <c r="Q4" s="35">
        <v>5.6475</v>
      </c>
      <c r="T4" s="35">
        <v>0</v>
      </c>
      <c r="U4" s="36">
        <v>0</v>
      </c>
      <c r="V4" s="35">
        <v>9.7889999999999997</v>
      </c>
      <c r="X4" s="289">
        <v>0</v>
      </c>
      <c r="Y4" s="292">
        <v>0</v>
      </c>
      <c r="Z4" s="289">
        <v>0.753</v>
      </c>
      <c r="AC4" s="35">
        <v>0</v>
      </c>
      <c r="AD4" s="36">
        <v>0</v>
      </c>
      <c r="AE4" s="35">
        <v>8.6594999999999995</v>
      </c>
      <c r="AH4" s="35">
        <v>0</v>
      </c>
      <c r="AI4" s="36">
        <v>0</v>
      </c>
      <c r="AJ4" s="35">
        <v>4.5179999999999998</v>
      </c>
      <c r="AM4" s="35">
        <v>0</v>
      </c>
      <c r="AN4" s="36">
        <v>0</v>
      </c>
      <c r="AO4" s="35">
        <v>2.6355</v>
      </c>
      <c r="AR4" s="35">
        <v>0</v>
      </c>
      <c r="AS4" s="36">
        <v>0</v>
      </c>
      <c r="AT4" s="35">
        <v>1.506</v>
      </c>
    </row>
    <row r="5" spans="1:46" ht="30">
      <c r="A5" s="110" t="s">
        <v>3</v>
      </c>
      <c r="B5" s="434" t="s">
        <v>129</v>
      </c>
      <c r="C5" s="434"/>
      <c r="D5" s="11" t="s">
        <v>307</v>
      </c>
      <c r="E5" s="11" t="s">
        <v>305</v>
      </c>
      <c r="F5" s="35" t="s">
        <v>87</v>
      </c>
      <c r="G5" s="36"/>
      <c r="H5" s="35">
        <f>34*0.15</f>
        <v>5.0999999999999996</v>
      </c>
      <c r="J5" s="289"/>
      <c r="K5" s="292"/>
      <c r="L5" s="289">
        <v>0.41539833531510101</v>
      </c>
      <c r="O5" s="35"/>
      <c r="P5" s="36"/>
      <c r="Q5" s="35">
        <v>0.41539833531510101</v>
      </c>
      <c r="T5" s="35"/>
      <c r="U5" s="36"/>
      <c r="V5" s="35">
        <v>0.66099881093935786</v>
      </c>
      <c r="X5" s="289"/>
      <c r="Y5" s="292"/>
      <c r="Z5" s="289">
        <v>0.66099881093935786</v>
      </c>
      <c r="AC5" s="35"/>
      <c r="AD5" s="36"/>
      <c r="AE5" s="35">
        <v>0.63370986920332939</v>
      </c>
      <c r="AH5" s="35"/>
      <c r="AI5" s="36"/>
      <c r="AJ5" s="35">
        <v>0.63370986920332939</v>
      </c>
      <c r="AM5" s="35"/>
      <c r="AN5" s="36"/>
      <c r="AO5" s="35">
        <v>0.83989298454221162</v>
      </c>
      <c r="AR5" s="35"/>
      <c r="AS5" s="36"/>
      <c r="AT5" s="35">
        <v>0.83989298454221162</v>
      </c>
    </row>
    <row r="6" spans="1:46">
      <c r="A6" s="111" t="s">
        <v>65</v>
      </c>
      <c r="B6" s="434" t="s">
        <v>130</v>
      </c>
      <c r="C6" s="434"/>
      <c r="D6" s="10" t="s">
        <v>308</v>
      </c>
      <c r="E6" s="10" t="s">
        <v>305</v>
      </c>
      <c r="F6" s="35" t="s">
        <v>87</v>
      </c>
      <c r="G6" s="36"/>
      <c r="H6" s="35">
        <f>27*0.15</f>
        <v>4.05</v>
      </c>
      <c r="J6" s="289"/>
      <c r="K6" s="292"/>
      <c r="L6" s="289">
        <v>0.52499999999999991</v>
      </c>
      <c r="O6" s="35"/>
      <c r="P6" s="36"/>
      <c r="Q6" s="35">
        <v>0.52499999999999991</v>
      </c>
      <c r="T6" s="35"/>
      <c r="U6" s="36"/>
      <c r="V6" s="35">
        <v>0.44999999999999996</v>
      </c>
      <c r="X6" s="289"/>
      <c r="Y6" s="292"/>
      <c r="Z6" s="289">
        <v>0.44999999999999996</v>
      </c>
      <c r="AC6" s="35"/>
      <c r="AD6" s="36"/>
      <c r="AE6" s="35">
        <v>0.67499999999999993</v>
      </c>
      <c r="AH6" s="35"/>
      <c r="AI6" s="36"/>
      <c r="AJ6" s="35">
        <v>0.67499999999999993</v>
      </c>
      <c r="AM6" s="35"/>
      <c r="AN6" s="36"/>
      <c r="AO6" s="35">
        <v>0.37499999999999994</v>
      </c>
      <c r="AR6" s="35"/>
      <c r="AS6" s="36"/>
      <c r="AT6" s="35">
        <v>0.37499999999999994</v>
      </c>
    </row>
    <row r="7" spans="1:46">
      <c r="A7" s="110" t="s">
        <v>66</v>
      </c>
      <c r="B7" s="434" t="s">
        <v>131</v>
      </c>
      <c r="C7" s="434"/>
      <c r="D7" s="11" t="s">
        <v>309</v>
      </c>
      <c r="E7" s="11" t="s">
        <v>305</v>
      </c>
      <c r="F7" s="35" t="s">
        <v>87</v>
      </c>
      <c r="G7" s="36"/>
      <c r="H7" s="35">
        <v>2</v>
      </c>
      <c r="J7" s="289"/>
      <c r="K7" s="292"/>
      <c r="L7" s="289"/>
      <c r="O7" s="35"/>
      <c r="P7" s="36"/>
      <c r="Q7" s="35"/>
      <c r="T7" s="35"/>
      <c r="U7" s="36"/>
      <c r="V7" s="35"/>
      <c r="X7" s="289"/>
      <c r="Y7" s="292"/>
      <c r="Z7" s="289">
        <v>2</v>
      </c>
      <c r="AC7" s="35"/>
      <c r="AD7" s="36"/>
      <c r="AE7" s="35"/>
      <c r="AH7" s="35"/>
      <c r="AI7" s="36"/>
      <c r="AJ7" s="35"/>
      <c r="AM7" s="35"/>
      <c r="AN7" s="36"/>
      <c r="AO7" s="35"/>
      <c r="AR7" s="35"/>
      <c r="AS7" s="36"/>
      <c r="AT7" s="35"/>
    </row>
    <row r="9" spans="1:46" ht="16.5">
      <c r="N9" s="235" t="s">
        <v>218</v>
      </c>
      <c r="O9" s="231">
        <v>9.0946998077988089E-2</v>
      </c>
      <c r="P9" s="231">
        <v>8.3220593999317236E-2</v>
      </c>
      <c r="S9" s="235" t="s">
        <v>229</v>
      </c>
      <c r="T9" s="231">
        <v>0.21706044911330319</v>
      </c>
      <c r="U9" s="231">
        <v>0.10872077730573335</v>
      </c>
      <c r="AB9" s="235" t="s">
        <v>224</v>
      </c>
      <c r="AC9" s="231">
        <v>4.1516827355808889E-2</v>
      </c>
      <c r="AD9" s="231">
        <v>0.12021875783028838</v>
      </c>
      <c r="AG9" s="235" t="s">
        <v>227</v>
      </c>
      <c r="AH9" s="231">
        <v>0.95213970293054995</v>
      </c>
      <c r="AI9" s="231">
        <v>0.86350351110267598</v>
      </c>
      <c r="AL9" s="235" t="s">
        <v>235</v>
      </c>
      <c r="AM9" s="231">
        <v>4.1111943857736588E-2</v>
      </c>
      <c r="AN9" s="231">
        <v>4.2905494244488369E-2</v>
      </c>
      <c r="AQ9" s="241" t="s">
        <v>239</v>
      </c>
      <c r="AR9" s="231">
        <v>0.17202926657263751</v>
      </c>
      <c r="AS9" s="231">
        <v>0.24011969081085799</v>
      </c>
    </row>
    <row r="10" spans="1:46" ht="16.5">
      <c r="N10" s="235" t="s">
        <v>219</v>
      </c>
      <c r="O10" s="231">
        <v>1.7708570870117603E-2</v>
      </c>
      <c r="P10" s="231">
        <v>3.8324750694046825E-2</v>
      </c>
      <c r="S10" s="235" t="s">
        <v>230</v>
      </c>
      <c r="T10" s="231">
        <v>0.32502333412638862</v>
      </c>
      <c r="U10" s="231">
        <v>0.34510012567186626</v>
      </c>
      <c r="AB10" s="235" t="s">
        <v>225</v>
      </c>
      <c r="AC10" s="231">
        <v>0.26264406552600406</v>
      </c>
      <c r="AD10" s="231">
        <v>0.23765220264877093</v>
      </c>
      <c r="AG10" s="235" t="s">
        <v>228</v>
      </c>
      <c r="AH10" s="231">
        <v>4.7860297069450018E-2</v>
      </c>
      <c r="AI10" s="231">
        <v>0.13649648889732396</v>
      </c>
      <c r="AL10" s="235" t="s">
        <v>236</v>
      </c>
      <c r="AM10" s="231">
        <v>0.58734073720787627</v>
      </c>
      <c r="AN10" s="231">
        <v>0.53144536717364932</v>
      </c>
      <c r="AQ10" s="241" t="s">
        <v>240</v>
      </c>
      <c r="AR10" s="231">
        <v>0.1217824400564175</v>
      </c>
      <c r="AS10" s="231">
        <v>0.11258280553515464</v>
      </c>
    </row>
    <row r="11" spans="1:46" ht="16.5">
      <c r="N11" s="235" t="s">
        <v>220</v>
      </c>
      <c r="O11" s="231">
        <v>0.10368439912695053</v>
      </c>
      <c r="P11" s="231">
        <v>8.6986599522792016E-2</v>
      </c>
      <c r="S11" s="235" t="s">
        <v>231</v>
      </c>
      <c r="T11" s="231">
        <v>0.18478431946706686</v>
      </c>
      <c r="U11" s="231">
        <v>0.1017184897058003</v>
      </c>
      <c r="AB11" s="235" t="s">
        <v>226</v>
      </c>
      <c r="AC11" s="231">
        <v>0.69583910711818719</v>
      </c>
      <c r="AD11" s="231">
        <v>0.64212903952094069</v>
      </c>
      <c r="AF11" s="295" t="s">
        <v>64</v>
      </c>
      <c r="AG11" s="288" t="s">
        <v>227</v>
      </c>
      <c r="AH11" s="289">
        <f>AH9*$AH$3</f>
        <v>12477.781285507826</v>
      </c>
      <c r="AI11" s="289">
        <f>AI9*$AI$3</f>
        <v>5130.0128780110072</v>
      </c>
      <c r="AL11" s="235" t="s">
        <v>237</v>
      </c>
      <c r="AM11" s="231">
        <v>0.37154731893438719</v>
      </c>
      <c r="AN11" s="231">
        <v>0.42564913858186232</v>
      </c>
      <c r="AQ11" s="241" t="s">
        <v>241</v>
      </c>
      <c r="AR11" s="231">
        <v>0.15748413258110017</v>
      </c>
      <c r="AS11" s="231">
        <v>0.19219610095912623</v>
      </c>
    </row>
    <row r="12" spans="1:46" ht="16.5">
      <c r="N12" s="235" t="s">
        <v>221</v>
      </c>
      <c r="O12" s="231">
        <v>0.36661563019187543</v>
      </c>
      <c r="P12" s="231">
        <v>0.21411141235141437</v>
      </c>
      <c r="S12" s="235" t="s">
        <v>232</v>
      </c>
      <c r="T12" s="231">
        <v>0.18993795867571969</v>
      </c>
      <c r="U12" s="231">
        <v>0.28387428030937067</v>
      </c>
      <c r="AA12" s="295" t="s">
        <v>64</v>
      </c>
      <c r="AB12" s="288" t="s">
        <v>224</v>
      </c>
      <c r="AC12" s="289">
        <f>AC9*$AC$3</f>
        <v>1042.8154140484037</v>
      </c>
      <c r="AD12" s="289">
        <f>AD9*$AD$3</f>
        <v>724.71418482204137</v>
      </c>
      <c r="AG12" s="288" t="s">
        <v>228</v>
      </c>
      <c r="AH12" s="289">
        <f>AH10*$AH$3</f>
        <v>627.20871449217168</v>
      </c>
      <c r="AI12" s="289">
        <f>AI10*$AI$3</f>
        <v>810.91592198899218</v>
      </c>
      <c r="AK12" s="295" t="s">
        <v>64</v>
      </c>
      <c r="AL12" s="288" t="s">
        <v>235</v>
      </c>
      <c r="AM12" s="289">
        <f>AM9*$AM$3</f>
        <v>314.28344099611633</v>
      </c>
      <c r="AN12" s="289">
        <f>AN9*$AN$3</f>
        <v>438.57533695488058</v>
      </c>
      <c r="AQ12" s="241" t="s">
        <v>238</v>
      </c>
      <c r="AR12" s="231">
        <v>0.54870416078984496</v>
      </c>
      <c r="AS12" s="231">
        <v>0.45510140269486116</v>
      </c>
    </row>
    <row r="13" spans="1:46" ht="16.5">
      <c r="N13" s="235" t="s">
        <v>222</v>
      </c>
      <c r="O13" s="231">
        <v>0.34125158810307199</v>
      </c>
      <c r="P13" s="231">
        <v>0.47789436038415062</v>
      </c>
      <c r="S13" s="235" t="s">
        <v>233</v>
      </c>
      <c r="T13" s="231">
        <v>2.3572042971395108E-2</v>
      </c>
      <c r="U13" s="231">
        <v>5.3577264285543484E-2</v>
      </c>
      <c r="AB13" s="288" t="s">
        <v>225</v>
      </c>
      <c r="AC13" s="289">
        <f t="shared" ref="AC13:AC14" si="0">AC10*$AC$3</f>
        <v>6597.0667168654536</v>
      </c>
      <c r="AD13" s="289">
        <f t="shared" ref="AD13:AD14" si="1">AD10*$AD$3</f>
        <v>1432.6376800274536</v>
      </c>
      <c r="AF13" s="295" t="s">
        <v>2</v>
      </c>
      <c r="AG13" s="288" t="s">
        <v>227</v>
      </c>
      <c r="AJ13" s="289">
        <f>AH9*$AJ$4</f>
        <v>4.3017671778402242</v>
      </c>
      <c r="AL13" s="288" t="s">
        <v>236</v>
      </c>
      <c r="AM13" s="289">
        <f t="shared" ref="AM13:AM14" si="2">AM10*$AM$3</f>
        <v>4489.9717844927436</v>
      </c>
      <c r="AN13" s="289">
        <f t="shared" ref="AN13:AN14" si="3">AN10*$AN$3</f>
        <v>5432.3772534384625</v>
      </c>
      <c r="AP13" s="295" t="s">
        <v>64</v>
      </c>
      <c r="AQ13" s="291" t="s">
        <v>239</v>
      </c>
      <c r="AR13" s="289">
        <f>AR9*$AR$3</f>
        <v>751.48060604724958</v>
      </c>
      <c r="AS13" s="289">
        <f>AS9*$AS$3</f>
        <v>1426.5339865853216</v>
      </c>
    </row>
    <row r="14" spans="1:46" ht="16.5">
      <c r="N14" s="235" t="s">
        <v>223</v>
      </c>
      <c r="O14" s="231">
        <v>7.9792813629996406E-2</v>
      </c>
      <c r="P14" s="231">
        <v>9.9462283048278921E-2</v>
      </c>
      <c r="S14" s="235" t="s">
        <v>234</v>
      </c>
      <c r="T14" s="231">
        <v>5.9621895646126535E-2</v>
      </c>
      <c r="U14" s="231">
        <v>0.10700906272168596</v>
      </c>
      <c r="AB14" s="288" t="s">
        <v>226</v>
      </c>
      <c r="AC14" s="289">
        <f t="shared" si="0"/>
        <v>17478.015369086144</v>
      </c>
      <c r="AD14" s="289">
        <f t="shared" si="1"/>
        <v>3870.9435351505049</v>
      </c>
      <c r="AG14" s="288" t="s">
        <v>228</v>
      </c>
      <c r="AJ14" s="289">
        <v>1</v>
      </c>
      <c r="AL14" s="288" t="s">
        <v>237</v>
      </c>
      <c r="AM14" s="289">
        <f t="shared" si="2"/>
        <v>2840.3222745111402</v>
      </c>
      <c r="AN14" s="289">
        <f t="shared" si="3"/>
        <v>4350.9396096066575</v>
      </c>
      <c r="AQ14" s="291" t="s">
        <v>240</v>
      </c>
      <c r="AR14" s="289">
        <f t="shared" ref="AR14:AR16" si="4">AR10*$AR$3</f>
        <v>531.98588637165028</v>
      </c>
      <c r="AS14" s="289">
        <f t="shared" ref="AS14:AS16" si="5">AS10*$AS$3</f>
        <v>668.8464317885996</v>
      </c>
    </row>
    <row r="15" spans="1:46" ht="16.5">
      <c r="M15" s="295" t="s">
        <v>64</v>
      </c>
      <c r="N15" s="288" t="s">
        <v>218</v>
      </c>
      <c r="O15" s="289">
        <f>O9*$O$3</f>
        <v>1489.8243754275661</v>
      </c>
      <c r="P15" s="289">
        <f>P9*$P$3</f>
        <v>1003.3566479827034</v>
      </c>
      <c r="R15" s="295" t="s">
        <v>64</v>
      </c>
      <c r="S15" s="288" t="s">
        <v>229</v>
      </c>
      <c r="T15" s="289">
        <f>T9*$T$3</f>
        <v>6163.2458658882515</v>
      </c>
      <c r="U15" s="289">
        <f>U9*$U$3</f>
        <v>3552.4631837970969</v>
      </c>
      <c r="AA15" s="295" t="s">
        <v>2</v>
      </c>
      <c r="AB15" s="288" t="s">
        <v>224</v>
      </c>
      <c r="AE15" s="289">
        <v>1</v>
      </c>
      <c r="AF15" s="295" t="s">
        <v>3</v>
      </c>
      <c r="AG15" s="288" t="s">
        <v>227</v>
      </c>
      <c r="AJ15" s="289">
        <v>1</v>
      </c>
      <c r="AK15" s="295" t="s">
        <v>2</v>
      </c>
      <c r="AL15" s="288" t="s">
        <v>235</v>
      </c>
      <c r="AO15" s="289">
        <f>AM9*$AO$4</f>
        <v>0.10835052803706477</v>
      </c>
      <c r="AQ15" s="291" t="s">
        <v>241</v>
      </c>
      <c r="AR15" s="289">
        <f t="shared" si="4"/>
        <v>687.94266087799724</v>
      </c>
      <c r="AS15" s="289">
        <f t="shared" si="5"/>
        <v>1141.8233514357805</v>
      </c>
    </row>
    <row r="16" spans="1:46" ht="16.5">
      <c r="N16" s="288" t="s">
        <v>219</v>
      </c>
      <c r="O16" s="289">
        <f t="shared" ref="O16:O20" si="6">O10*$O$3</f>
        <v>290.08830520897806</v>
      </c>
      <c r="P16" s="289">
        <f t="shared" ref="P16:P20" si="7">P10*$P$3</f>
        <v>462.06583663013856</v>
      </c>
      <c r="S16" s="288" t="s">
        <v>230</v>
      </c>
      <c r="T16" s="289">
        <f t="shared" ref="T16:T20" si="8">T10*$T$3</f>
        <v>9228.759677568125</v>
      </c>
      <c r="U16" s="289">
        <f t="shared" ref="U16:U20" si="9">U10*$U$3</f>
        <v>11276.184015181852</v>
      </c>
      <c r="AB16" s="288" t="s">
        <v>225</v>
      </c>
      <c r="AE16" s="289">
        <f t="shared" ref="AE16:AE17" si="10">AC10*$AE$4</f>
        <v>2.274366285422432</v>
      </c>
      <c r="AF16" s="305" t="s">
        <v>65</v>
      </c>
      <c r="AG16" s="288" t="s">
        <v>227</v>
      </c>
      <c r="AJ16" s="289">
        <v>1</v>
      </c>
      <c r="AL16" s="288" t="s">
        <v>236</v>
      </c>
      <c r="AO16" s="289">
        <f t="shared" ref="AO16:AO17" si="11">AM10*$AO$4</f>
        <v>1.5479365129113578</v>
      </c>
      <c r="AQ16" s="291" t="s">
        <v>238</v>
      </c>
      <c r="AR16" s="289">
        <f t="shared" si="4"/>
        <v>2396.9208467031035</v>
      </c>
      <c r="AS16" s="289">
        <f t="shared" si="5"/>
        <v>2703.7250301902982</v>
      </c>
    </row>
    <row r="17" spans="1:46" ht="16.5">
      <c r="N17" s="288" t="s">
        <v>220</v>
      </c>
      <c r="O17" s="289">
        <f t="shared" si="6"/>
        <v>1698.4787671433689</v>
      </c>
      <c r="P17" s="289">
        <f t="shared" si="7"/>
        <v>1048.7618355297786</v>
      </c>
      <c r="S17" s="288" t="s">
        <v>231</v>
      </c>
      <c r="T17" s="289">
        <f t="shared" si="8"/>
        <v>5246.7927606742187</v>
      </c>
      <c r="U17" s="289">
        <f t="shared" si="9"/>
        <v>3323.6626774213087</v>
      </c>
      <c r="AB17" s="288" t="s">
        <v>226</v>
      </c>
      <c r="AE17" s="289">
        <f t="shared" si="10"/>
        <v>6.0256187480899417</v>
      </c>
      <c r="AL17" s="288" t="s">
        <v>237</v>
      </c>
      <c r="AO17" s="289">
        <f t="shared" si="11"/>
        <v>0.97921295905157746</v>
      </c>
      <c r="AP17" s="295" t="s">
        <v>2</v>
      </c>
      <c r="AQ17" s="291" t="s">
        <v>239</v>
      </c>
      <c r="AT17" s="289">
        <v>1</v>
      </c>
    </row>
    <row r="18" spans="1:46" ht="16.5">
      <c r="N18" s="288" t="s">
        <v>221</v>
      </c>
      <c r="O18" s="289">
        <f t="shared" si="6"/>
        <v>6005.6177093852812</v>
      </c>
      <c r="P18" s="289">
        <f t="shared" si="7"/>
        <v>2581.4536843310689</v>
      </c>
      <c r="S18" s="288" t="s">
        <v>232</v>
      </c>
      <c r="T18" s="289">
        <f t="shared" si="8"/>
        <v>5393.125939642392</v>
      </c>
      <c r="U18" s="289">
        <f t="shared" si="9"/>
        <v>9275.6228810806715</v>
      </c>
      <c r="AA18" s="295" t="s">
        <v>3</v>
      </c>
      <c r="AB18" s="288" t="s">
        <v>226</v>
      </c>
      <c r="AE18" s="289">
        <v>1</v>
      </c>
      <c r="AK18" s="295" t="s">
        <v>3</v>
      </c>
      <c r="AL18" s="288" t="s">
        <v>236</v>
      </c>
      <c r="AO18" s="289">
        <v>1</v>
      </c>
      <c r="AQ18" s="291" t="s">
        <v>240</v>
      </c>
      <c r="AT18" s="289">
        <f t="shared" ref="AT18:AT20" si="12">AR10*$AT$4</f>
        <v>0.18340435472496475</v>
      </c>
    </row>
    <row r="19" spans="1:46" ht="16.5">
      <c r="N19" s="288" t="s">
        <v>222</v>
      </c>
      <c r="O19" s="289">
        <f t="shared" si="6"/>
        <v>5590.1233119685958</v>
      </c>
      <c r="P19" s="289">
        <f t="shared" si="7"/>
        <v>5761.7767487794345</v>
      </c>
      <c r="S19" s="288" t="s">
        <v>233</v>
      </c>
      <c r="T19" s="289">
        <f t="shared" si="8"/>
        <v>669.3080060760235</v>
      </c>
      <c r="U19" s="289">
        <f t="shared" si="9"/>
        <v>1750.6429183055818</v>
      </c>
      <c r="AA19" s="305" t="s">
        <v>65</v>
      </c>
      <c r="AB19" s="288" t="s">
        <v>226</v>
      </c>
      <c r="AE19" s="289">
        <v>1</v>
      </c>
      <c r="AQ19" s="291" t="s">
        <v>241</v>
      </c>
      <c r="AT19" s="289">
        <f t="shared" si="12"/>
        <v>0.23717110366713684</v>
      </c>
    </row>
    <row r="20" spans="1:46" ht="16.5">
      <c r="N20" s="306" t="s">
        <v>223</v>
      </c>
      <c r="O20" s="289">
        <f t="shared" si="6"/>
        <v>1307.1050308662082</v>
      </c>
      <c r="P20" s="289">
        <f t="shared" si="7"/>
        <v>1199.1760467468755</v>
      </c>
      <c r="S20" s="288" t="s">
        <v>234</v>
      </c>
      <c r="T20" s="289">
        <f t="shared" si="8"/>
        <v>1692.9127501509854</v>
      </c>
      <c r="U20" s="289">
        <f t="shared" si="9"/>
        <v>3496.5327242134877</v>
      </c>
      <c r="AQ20" s="291" t="s">
        <v>238</v>
      </c>
      <c r="AT20" s="289">
        <f t="shared" si="12"/>
        <v>0.82634846614950652</v>
      </c>
    </row>
    <row r="21" spans="1:46" ht="16.5">
      <c r="M21" s="305" t="s">
        <v>2</v>
      </c>
      <c r="N21" s="307" t="s">
        <v>220</v>
      </c>
      <c r="Q21" s="289">
        <v>2</v>
      </c>
      <c r="R21" s="295" t="s">
        <v>2</v>
      </c>
      <c r="S21" s="288" t="s">
        <v>229</v>
      </c>
      <c r="V21" s="289">
        <f>T9*$V$4</f>
        <v>2.124804736370125</v>
      </c>
      <c r="AP21" s="295" t="s">
        <v>3</v>
      </c>
      <c r="AQ21" s="291" t="s">
        <v>238</v>
      </c>
      <c r="AT21" s="289">
        <v>1</v>
      </c>
    </row>
    <row r="22" spans="1:46" ht="15.75">
      <c r="N22" s="307" t="s">
        <v>221</v>
      </c>
      <c r="Q22" s="289">
        <f t="shared" ref="Q22:Q23" si="13">O12*$Q$4</f>
        <v>2.0704617715086164</v>
      </c>
      <c r="S22" s="288" t="s">
        <v>230</v>
      </c>
      <c r="V22" s="289">
        <f>T10*$V$4</f>
        <v>3.1816534177632181</v>
      </c>
    </row>
    <row r="23" spans="1:46" ht="15.75">
      <c r="N23" s="307" t="s">
        <v>222</v>
      </c>
      <c r="Q23" s="289">
        <f t="shared" si="13"/>
        <v>1.9272183438120991</v>
      </c>
      <c r="S23" s="288" t="s">
        <v>231</v>
      </c>
      <c r="V23" s="289">
        <f t="shared" ref="V23:V26" si="14">T11*$V$4</f>
        <v>1.8088537032631173</v>
      </c>
    </row>
    <row r="24" spans="1:46" ht="15.75">
      <c r="M24" s="305" t="s">
        <v>65</v>
      </c>
      <c r="N24" s="307" t="s">
        <v>221</v>
      </c>
      <c r="Q24" s="289">
        <v>1</v>
      </c>
      <c r="S24" s="288" t="s">
        <v>232</v>
      </c>
      <c r="V24" s="289">
        <f t="shared" si="14"/>
        <v>1.8593026774766199</v>
      </c>
    </row>
    <row r="25" spans="1:46" ht="15.75">
      <c r="S25" s="288" t="s">
        <v>233</v>
      </c>
      <c r="V25" s="289">
        <f t="shared" si="14"/>
        <v>0.2307467286469867</v>
      </c>
    </row>
    <row r="26" spans="1:46" ht="15.75">
      <c r="S26" s="288" t="s">
        <v>234</v>
      </c>
      <c r="V26" s="289">
        <f t="shared" si="14"/>
        <v>0.58363873647993258</v>
      </c>
    </row>
    <row r="27" spans="1:46" ht="15.75">
      <c r="N27" s="298"/>
      <c r="R27" s="295" t="s">
        <v>3</v>
      </c>
      <c r="S27" s="288" t="s">
        <v>230</v>
      </c>
      <c r="V27" s="289">
        <v>1</v>
      </c>
    </row>
    <row r="28" spans="1:46" ht="15.75">
      <c r="N28" s="298"/>
      <c r="S28" s="298"/>
    </row>
    <row r="31" spans="1:46" ht="21">
      <c r="A31" s="471" t="s">
        <v>71</v>
      </c>
      <c r="B31" s="471"/>
      <c r="C31" s="471"/>
      <c r="D31" s="283" t="s">
        <v>9</v>
      </c>
      <c r="E31" s="283" t="s">
        <v>0</v>
      </c>
      <c r="F31" s="498" t="s">
        <v>36</v>
      </c>
      <c r="G31" s="498"/>
      <c r="H31" s="498"/>
      <c r="J31" s="438" t="s">
        <v>10</v>
      </c>
      <c r="K31" s="439"/>
      <c r="L31" s="440"/>
      <c r="M31" s="130"/>
      <c r="O31" s="438" t="s">
        <v>15</v>
      </c>
      <c r="P31" s="439"/>
      <c r="Q31" s="440"/>
      <c r="T31" s="438" t="s">
        <v>23</v>
      </c>
      <c r="U31" s="439"/>
      <c r="V31" s="440"/>
      <c r="X31" s="438" t="s">
        <v>12</v>
      </c>
      <c r="Y31" s="439"/>
      <c r="Z31" s="440"/>
      <c r="AC31" s="438" t="s">
        <v>13</v>
      </c>
      <c r="AD31" s="439"/>
      <c r="AE31" s="440"/>
      <c r="AH31" s="438" t="s">
        <v>11</v>
      </c>
      <c r="AI31" s="439"/>
      <c r="AJ31" s="440"/>
      <c r="AM31" s="438" t="s">
        <v>16</v>
      </c>
      <c r="AN31" s="439"/>
      <c r="AO31" s="440"/>
      <c r="AR31" s="438" t="s">
        <v>14</v>
      </c>
      <c r="AS31" s="439"/>
      <c r="AT31" s="440"/>
    </row>
    <row r="32" spans="1:46" ht="21.75" thickBot="1">
      <c r="A32" s="184"/>
      <c r="B32" s="282"/>
      <c r="C32" s="282"/>
      <c r="D32" s="283"/>
      <c r="E32" s="283"/>
      <c r="F32" s="30" t="s">
        <v>21</v>
      </c>
      <c r="G32" s="29" t="s">
        <v>22</v>
      </c>
      <c r="H32" s="30" t="s">
        <v>40</v>
      </c>
      <c r="J32" s="30" t="s">
        <v>21</v>
      </c>
      <c r="K32" s="29" t="s">
        <v>22</v>
      </c>
      <c r="L32" s="30" t="s">
        <v>40</v>
      </c>
      <c r="M32" s="130"/>
      <c r="O32" s="30" t="s">
        <v>21</v>
      </c>
      <c r="P32" s="29" t="s">
        <v>22</v>
      </c>
      <c r="Q32" s="30" t="s">
        <v>40</v>
      </c>
      <c r="T32" s="30" t="s">
        <v>21</v>
      </c>
      <c r="U32" s="29" t="s">
        <v>22</v>
      </c>
      <c r="V32" s="30" t="s">
        <v>40</v>
      </c>
      <c r="X32" s="30" t="s">
        <v>21</v>
      </c>
      <c r="Y32" s="29" t="s">
        <v>22</v>
      </c>
      <c r="Z32" s="30" t="s">
        <v>40</v>
      </c>
      <c r="AC32" s="30" t="s">
        <v>21</v>
      </c>
      <c r="AD32" s="29" t="s">
        <v>22</v>
      </c>
      <c r="AE32" s="30" t="s">
        <v>40</v>
      </c>
      <c r="AH32" s="30" t="s">
        <v>21</v>
      </c>
      <c r="AI32" s="29" t="s">
        <v>22</v>
      </c>
      <c r="AJ32" s="30"/>
      <c r="AM32" s="30" t="s">
        <v>21</v>
      </c>
      <c r="AN32" s="29" t="s">
        <v>22</v>
      </c>
      <c r="AO32" s="30"/>
      <c r="AR32" s="30" t="s">
        <v>21</v>
      </c>
      <c r="AS32" s="29" t="s">
        <v>22</v>
      </c>
      <c r="AT32" s="30" t="s">
        <v>40</v>
      </c>
    </row>
    <row r="33" spans="1:46" ht="45">
      <c r="A33" s="110" t="s">
        <v>64</v>
      </c>
      <c r="B33" s="434" t="s">
        <v>173</v>
      </c>
      <c r="C33" s="434"/>
      <c r="D33" s="11" t="s">
        <v>310</v>
      </c>
      <c r="E33" s="11" t="s">
        <v>305</v>
      </c>
      <c r="F33" s="35">
        <f>0.15*333869/2</f>
        <v>25040.174999999999</v>
      </c>
      <c r="G33" s="129">
        <f>F33</f>
        <v>25040.174999999999</v>
      </c>
      <c r="H33" s="31"/>
      <c r="J33" s="290">
        <v>2504.0174999999999</v>
      </c>
      <c r="K33" s="290">
        <v>1652.65155</v>
      </c>
      <c r="L33" s="290"/>
      <c r="M33" s="130"/>
      <c r="O33" s="124">
        <v>3756.0262499999999</v>
      </c>
      <c r="P33" s="124">
        <v>3455.5441500000002</v>
      </c>
      <c r="Q33" s="124"/>
      <c r="T33" s="124">
        <v>6510.4454999999998</v>
      </c>
      <c r="U33" s="124">
        <v>9365.0254499999992</v>
      </c>
      <c r="V33" s="124"/>
      <c r="X33" s="290">
        <v>500.80349999999999</v>
      </c>
      <c r="Y33" s="290">
        <v>2504.0174999999999</v>
      </c>
      <c r="Z33" s="290"/>
      <c r="AC33" s="124">
        <v>5759.2402499999998</v>
      </c>
      <c r="AD33" s="124">
        <v>1727.7720750000001</v>
      </c>
      <c r="AE33" s="124"/>
      <c r="AH33" s="124">
        <v>3004.8209999999999</v>
      </c>
      <c r="AI33" s="124">
        <v>1702.7319</v>
      </c>
      <c r="AJ33" s="124"/>
      <c r="AM33" s="124">
        <v>1752.8122500000002</v>
      </c>
      <c r="AN33" s="124">
        <v>2929.7004750000001</v>
      </c>
      <c r="AO33" s="124"/>
      <c r="AR33" s="124">
        <v>1001.607</v>
      </c>
      <c r="AS33" s="124">
        <v>1702.7319</v>
      </c>
      <c r="AT33" s="124"/>
    </row>
    <row r="34" spans="1:46" ht="45">
      <c r="A34" s="111" t="s">
        <v>2</v>
      </c>
      <c r="B34" s="434" t="s">
        <v>174</v>
      </c>
      <c r="C34" s="434"/>
      <c r="D34" s="10" t="s">
        <v>311</v>
      </c>
      <c r="E34" s="10" t="s">
        <v>305</v>
      </c>
      <c r="F34" s="35">
        <f>0.2*333689*0.15/2</f>
        <v>5005.335</v>
      </c>
      <c r="G34" s="129">
        <f>F34</f>
        <v>5005.335</v>
      </c>
      <c r="H34" s="31"/>
      <c r="J34" s="290">
        <v>500.5335</v>
      </c>
      <c r="K34" s="290">
        <v>330.35211000000004</v>
      </c>
      <c r="L34" s="290"/>
      <c r="M34" s="130"/>
      <c r="O34" s="124">
        <v>750.80025000000001</v>
      </c>
      <c r="P34" s="124">
        <v>690.73623000000009</v>
      </c>
      <c r="Q34" s="124"/>
      <c r="T34" s="124">
        <v>1301.3871000000001</v>
      </c>
      <c r="U34" s="124">
        <v>1871.9952900000001</v>
      </c>
      <c r="V34" s="124"/>
      <c r="X34" s="290">
        <v>100.1067</v>
      </c>
      <c r="Y34" s="290">
        <v>500.5335</v>
      </c>
      <c r="Z34" s="290"/>
      <c r="AC34" s="124">
        <v>1151.22705</v>
      </c>
      <c r="AD34" s="124">
        <v>345.36811500000005</v>
      </c>
      <c r="AE34" s="124"/>
      <c r="AH34" s="124">
        <v>600.64019999999994</v>
      </c>
      <c r="AI34" s="124">
        <v>340.36278000000004</v>
      </c>
      <c r="AJ34" s="124"/>
      <c r="AM34" s="124">
        <v>350.37345000000005</v>
      </c>
      <c r="AN34" s="124">
        <v>585.62419499999999</v>
      </c>
      <c r="AO34" s="124"/>
      <c r="AR34" s="124">
        <v>200.21340000000001</v>
      </c>
      <c r="AS34" s="124">
        <v>340.36278000000004</v>
      </c>
      <c r="AT34" s="124"/>
    </row>
    <row r="35" spans="1:46" ht="30">
      <c r="A35" s="110" t="s">
        <v>3</v>
      </c>
      <c r="B35" s="434" t="s">
        <v>140</v>
      </c>
      <c r="C35" s="434"/>
      <c r="D35" s="11" t="s">
        <v>312</v>
      </c>
      <c r="E35" s="11" t="s">
        <v>305</v>
      </c>
      <c r="F35" s="35" t="s">
        <v>87</v>
      </c>
      <c r="G35" s="129"/>
      <c r="H35" s="31">
        <f>160*0.15</f>
        <v>24</v>
      </c>
      <c r="J35" s="290"/>
      <c r="K35" s="290"/>
      <c r="L35" s="290">
        <v>3.0586395621579356</v>
      </c>
      <c r="M35" s="130"/>
      <c r="O35" s="124"/>
      <c r="P35" s="124"/>
      <c r="Q35" s="124">
        <v>4.9726348709929633</v>
      </c>
      <c r="T35" s="124"/>
      <c r="U35" s="124"/>
      <c r="V35" s="124">
        <v>5.2916340891321347</v>
      </c>
      <c r="X35" s="290"/>
      <c r="Y35" s="290"/>
      <c r="Z35" s="290">
        <v>1.1446442533229084</v>
      </c>
      <c r="AC35" s="124"/>
      <c r="AD35" s="124"/>
      <c r="AE35" s="124">
        <v>2.2329945269741986</v>
      </c>
      <c r="AH35" s="124"/>
      <c r="AI35" s="124"/>
      <c r="AJ35" s="124">
        <v>2.0078186082877245</v>
      </c>
      <c r="AM35" s="124"/>
      <c r="AN35" s="124"/>
      <c r="AO35" s="124">
        <v>2.8522283033620015</v>
      </c>
      <c r="AR35" s="124"/>
      <c r="AS35" s="124"/>
      <c r="AT35" s="124">
        <v>2.4394057857701328</v>
      </c>
    </row>
    <row r="36" spans="1:46" ht="30">
      <c r="A36" s="111" t="s">
        <v>65</v>
      </c>
      <c r="B36" s="434" t="s">
        <v>136</v>
      </c>
      <c r="C36" s="434"/>
      <c r="D36" s="10" t="s">
        <v>312</v>
      </c>
      <c r="E36" s="10" t="s">
        <v>305</v>
      </c>
      <c r="F36" s="35" t="s">
        <v>87</v>
      </c>
      <c r="G36" s="129"/>
      <c r="H36" s="131">
        <f>597*0.15</f>
        <v>89.55</v>
      </c>
      <c r="J36" s="290"/>
      <c r="K36" s="290"/>
      <c r="L36" s="290">
        <v>3.0586395621579356</v>
      </c>
      <c r="M36" s="130"/>
      <c r="O36" s="124"/>
      <c r="P36" s="124"/>
      <c r="Q36" s="124">
        <v>5</v>
      </c>
      <c r="T36" s="124"/>
      <c r="U36" s="124"/>
      <c r="V36" s="124">
        <v>5</v>
      </c>
      <c r="X36" s="290"/>
      <c r="Y36" s="290"/>
      <c r="Z36" s="290">
        <v>1.1446442533229084</v>
      </c>
      <c r="AC36" s="124"/>
      <c r="AD36" s="124"/>
      <c r="AE36" s="124">
        <v>2</v>
      </c>
      <c r="AH36" s="124"/>
      <c r="AI36" s="124"/>
      <c r="AJ36" s="124">
        <v>2</v>
      </c>
      <c r="AM36" s="124"/>
      <c r="AN36" s="124"/>
      <c r="AO36" s="124">
        <v>2.8522283033620015</v>
      </c>
      <c r="AR36" s="124"/>
      <c r="AS36" s="124"/>
      <c r="AT36" s="124">
        <v>2</v>
      </c>
    </row>
    <row r="37" spans="1:46" ht="30">
      <c r="A37" s="110" t="s">
        <v>66</v>
      </c>
      <c r="B37" s="434" t="s">
        <v>252</v>
      </c>
      <c r="C37" s="434"/>
      <c r="D37" s="11" t="s">
        <v>313</v>
      </c>
      <c r="E37" s="11" t="s">
        <v>305</v>
      </c>
      <c r="F37" s="35"/>
      <c r="G37" s="129"/>
      <c r="H37" s="131">
        <f>SUM(H35:H36)</f>
        <v>113.55</v>
      </c>
      <c r="J37" s="290"/>
      <c r="K37" s="290"/>
      <c r="L37" s="290">
        <v>6.7793133802816898</v>
      </c>
      <c r="M37" s="130"/>
      <c r="O37" s="124"/>
      <c r="P37" s="124"/>
      <c r="Q37" s="124">
        <v>12.455017605633802</v>
      </c>
      <c r="T37" s="124"/>
      <c r="U37" s="124"/>
      <c r="V37" s="124">
        <v>24.121742957746477</v>
      </c>
      <c r="X37" s="290"/>
      <c r="Y37" s="290"/>
      <c r="Z37" s="290">
        <v>4.4144366197183098</v>
      </c>
      <c r="AC37" s="124"/>
      <c r="AD37" s="124"/>
      <c r="AE37" s="124">
        <v>8.5135563380281685</v>
      </c>
      <c r="AH37" s="124"/>
      <c r="AI37" s="124"/>
      <c r="AJ37" s="124">
        <v>7.8829225352112671</v>
      </c>
      <c r="AM37" s="124"/>
      <c r="AN37" s="124"/>
      <c r="AO37" s="124">
        <v>11.351408450704225</v>
      </c>
      <c r="AR37" s="124"/>
      <c r="AS37" s="124"/>
      <c r="AT37" s="124">
        <v>14.031602112676056</v>
      </c>
    </row>
    <row r="38" spans="1:46" ht="30">
      <c r="A38" s="111" t="s">
        <v>67</v>
      </c>
      <c r="B38" s="475" t="s">
        <v>134</v>
      </c>
      <c r="C38" s="476"/>
      <c r="D38" s="284" t="s">
        <v>314</v>
      </c>
      <c r="E38" s="11" t="s">
        <v>305</v>
      </c>
      <c r="F38" s="35"/>
      <c r="G38" s="129"/>
      <c r="H38" s="131">
        <f>0.15*343</f>
        <v>51.449999999999996</v>
      </c>
      <c r="J38" s="290"/>
      <c r="K38" s="290"/>
      <c r="L38" s="290">
        <v>3</v>
      </c>
      <c r="M38" s="130"/>
      <c r="O38" s="124"/>
      <c r="P38" s="124"/>
      <c r="Q38" s="124">
        <v>7.1001000000000003</v>
      </c>
      <c r="T38" s="124"/>
      <c r="U38" s="124"/>
      <c r="V38" s="124">
        <v>19.242299999999997</v>
      </c>
      <c r="X38" s="290"/>
      <c r="Y38" s="290"/>
      <c r="Z38" s="290">
        <v>5.1449999999999996</v>
      </c>
      <c r="AC38" s="124"/>
      <c r="AD38" s="124"/>
      <c r="AE38" s="124">
        <v>3.5500500000000001</v>
      </c>
      <c r="AH38" s="124"/>
      <c r="AI38" s="124"/>
      <c r="AJ38" s="124">
        <v>3.4986000000000002</v>
      </c>
      <c r="AM38" s="124"/>
      <c r="AN38" s="124"/>
      <c r="AO38" s="124">
        <v>6.0196499999999995</v>
      </c>
      <c r="AR38" s="124"/>
      <c r="AS38" s="124"/>
      <c r="AT38" s="124">
        <v>3.4986000000000002</v>
      </c>
    </row>
    <row r="39" spans="1:46" ht="30">
      <c r="A39" s="111" t="s">
        <v>69</v>
      </c>
      <c r="B39" s="434" t="s">
        <v>132</v>
      </c>
      <c r="C39" s="434"/>
      <c r="D39" s="11" t="s">
        <v>315</v>
      </c>
      <c r="E39" s="11" t="s">
        <v>305</v>
      </c>
      <c r="F39" s="35">
        <f>333869*0.15/2</f>
        <v>25040.174999999999</v>
      </c>
      <c r="G39" s="36">
        <f>F39</f>
        <v>25040.174999999999</v>
      </c>
      <c r="H39" s="35">
        <f>+(160+597)*0.15</f>
        <v>113.55</v>
      </c>
      <c r="J39" s="290">
        <v>2504.0174999999999</v>
      </c>
      <c r="K39" s="290">
        <v>1652.65155</v>
      </c>
      <c r="L39" s="290">
        <v>9.8379529424396246</v>
      </c>
      <c r="M39" s="130"/>
      <c r="O39" s="124">
        <v>3756.0262499999999</v>
      </c>
      <c r="P39" s="124">
        <v>3455.5441500000002</v>
      </c>
      <c r="Q39" s="124">
        <v>17.427652476626765</v>
      </c>
      <c r="T39" s="124">
        <v>6510.4454999999998</v>
      </c>
      <c r="U39" s="124">
        <v>9365.0254499999992</v>
      </c>
      <c r="V39" s="124">
        <v>29.413377046878612</v>
      </c>
      <c r="X39" s="290">
        <v>500.80349999999999</v>
      </c>
      <c r="Y39" s="290">
        <v>2504.0174999999999</v>
      </c>
      <c r="Z39" s="290">
        <v>5.5590808730412178</v>
      </c>
      <c r="AC39" s="124">
        <v>5759.2402499999998</v>
      </c>
      <c r="AD39" s="124">
        <v>1727.7720750000001</v>
      </c>
      <c r="AE39" s="124">
        <v>10.746550865002368</v>
      </c>
      <c r="AH39" s="124">
        <v>3004.8209999999999</v>
      </c>
      <c r="AI39" s="124">
        <v>1702.7319</v>
      </c>
      <c r="AJ39" s="124">
        <v>9.8907411434989925</v>
      </c>
      <c r="AM39" s="124">
        <v>1752.8122500000002</v>
      </c>
      <c r="AN39" s="124">
        <v>2929.7004750000001</v>
      </c>
      <c r="AO39" s="124">
        <v>14.203636754066228</v>
      </c>
      <c r="AR39" s="124">
        <v>1001.607</v>
      </c>
      <c r="AS39" s="124">
        <v>1702.7319</v>
      </c>
      <c r="AT39" s="124">
        <v>16.471007898446189</v>
      </c>
    </row>
    <row r="40" spans="1:46">
      <c r="A40" s="110" t="s">
        <v>68</v>
      </c>
      <c r="B40" s="475" t="s">
        <v>135</v>
      </c>
      <c r="C40" s="476"/>
      <c r="D40" s="11" t="s">
        <v>309</v>
      </c>
      <c r="E40" s="11" t="s">
        <v>305</v>
      </c>
      <c r="F40" s="35"/>
      <c r="G40" s="36"/>
      <c r="H40" s="35">
        <v>2</v>
      </c>
      <c r="J40" s="130"/>
      <c r="K40" s="130"/>
      <c r="L40" s="130"/>
      <c r="M40" s="130"/>
      <c r="X40" s="290"/>
      <c r="Y40" s="290"/>
      <c r="Z40" s="290">
        <v>2</v>
      </c>
    </row>
    <row r="42" spans="1:46">
      <c r="J42" s="130"/>
      <c r="K42" s="130"/>
      <c r="L42" s="130"/>
      <c r="M42" s="130"/>
      <c r="N42" s="130"/>
      <c r="O42" s="130"/>
    </row>
    <row r="43" spans="1:46" ht="16.5">
      <c r="N43" s="235" t="s">
        <v>218</v>
      </c>
      <c r="O43" s="231">
        <v>9.0946998077988089E-2</v>
      </c>
      <c r="P43" s="231">
        <v>8.3220593999317236E-2</v>
      </c>
      <c r="S43" s="235" t="s">
        <v>229</v>
      </c>
      <c r="T43" s="231">
        <v>0.21706044911330319</v>
      </c>
      <c r="U43" s="231">
        <v>0.10872077730573335</v>
      </c>
      <c r="AB43" s="235" t="s">
        <v>224</v>
      </c>
      <c r="AC43" s="231">
        <v>4.1516827355808889E-2</v>
      </c>
      <c r="AD43" s="231">
        <v>0.12021875783028838</v>
      </c>
      <c r="AG43" s="235" t="s">
        <v>227</v>
      </c>
      <c r="AH43" s="231">
        <v>0.95213970293054995</v>
      </c>
      <c r="AI43" s="231">
        <v>0.86350351110267598</v>
      </c>
      <c r="AL43" s="235" t="s">
        <v>235</v>
      </c>
      <c r="AM43" s="231">
        <v>4.1111943857736588E-2</v>
      </c>
      <c r="AN43" s="231">
        <v>4.2905494244488369E-2</v>
      </c>
      <c r="AQ43" s="241" t="s">
        <v>239</v>
      </c>
      <c r="AR43" s="231">
        <v>0.17202926657263751</v>
      </c>
      <c r="AS43" s="231">
        <v>0.24011969081085799</v>
      </c>
    </row>
    <row r="44" spans="1:46" ht="16.5">
      <c r="N44" s="235" t="s">
        <v>219</v>
      </c>
      <c r="O44" s="231">
        <v>1.7708570870117603E-2</v>
      </c>
      <c r="P44" s="231">
        <v>3.8324750694046825E-2</v>
      </c>
      <c r="S44" s="235" t="s">
        <v>230</v>
      </c>
      <c r="T44" s="231">
        <v>0.32502333412638862</v>
      </c>
      <c r="U44" s="231">
        <v>0.34510012567186626</v>
      </c>
      <c r="AB44" s="235" t="s">
        <v>225</v>
      </c>
      <c r="AC44" s="231">
        <v>0.26264406552600406</v>
      </c>
      <c r="AD44" s="231">
        <v>0.23765220264877093</v>
      </c>
      <c r="AG44" s="235" t="s">
        <v>228</v>
      </c>
      <c r="AH44" s="231">
        <v>4.7860297069450018E-2</v>
      </c>
      <c r="AI44" s="231">
        <v>0.13649648889732396</v>
      </c>
      <c r="AL44" s="235" t="s">
        <v>236</v>
      </c>
      <c r="AM44" s="231">
        <v>0.58734073720787627</v>
      </c>
      <c r="AN44" s="231">
        <v>0.53144536717364932</v>
      </c>
      <c r="AQ44" s="241" t="s">
        <v>240</v>
      </c>
      <c r="AR44" s="231">
        <v>0.1217824400564175</v>
      </c>
      <c r="AS44" s="231">
        <v>0.11258280553515464</v>
      </c>
    </row>
    <row r="45" spans="1:46" ht="16.5">
      <c r="N45" s="235" t="s">
        <v>220</v>
      </c>
      <c r="O45" s="231">
        <v>0.10368439912695053</v>
      </c>
      <c r="P45" s="231">
        <v>8.6986599522792016E-2</v>
      </c>
      <c r="S45" s="235" t="s">
        <v>231</v>
      </c>
      <c r="T45" s="231">
        <v>0.18478431946706686</v>
      </c>
      <c r="U45" s="231">
        <v>0.1017184897058003</v>
      </c>
      <c r="AB45" s="235" t="s">
        <v>226</v>
      </c>
      <c r="AC45" s="231">
        <v>0.69583910711818719</v>
      </c>
      <c r="AD45" s="231">
        <v>0.64212903952094069</v>
      </c>
      <c r="AF45" s="295" t="s">
        <v>64</v>
      </c>
      <c r="AG45" s="288" t="s">
        <v>227</v>
      </c>
      <c r="AH45" s="289">
        <f>AH43*$AH$33</f>
        <v>2861.0093742994777</v>
      </c>
      <c r="AI45" s="289">
        <f>AI43*$AI$33</f>
        <v>1470.3149741165305</v>
      </c>
      <c r="AL45" s="235" t="s">
        <v>237</v>
      </c>
      <c r="AM45" s="231">
        <v>0.37154731893438719</v>
      </c>
      <c r="AN45" s="231">
        <v>0.42564913858186232</v>
      </c>
      <c r="AQ45" s="241" t="s">
        <v>241</v>
      </c>
      <c r="AR45" s="231">
        <v>0.15748413258110017</v>
      </c>
      <c r="AS45" s="231">
        <v>0.19219610095912623</v>
      </c>
    </row>
    <row r="46" spans="1:46" ht="16.5">
      <c r="N46" s="235" t="s">
        <v>221</v>
      </c>
      <c r="O46" s="231">
        <v>0.36661563019187543</v>
      </c>
      <c r="P46" s="231">
        <v>0.21411141235141437</v>
      </c>
      <c r="S46" s="235" t="s">
        <v>232</v>
      </c>
      <c r="T46" s="231">
        <v>0.18993795867571969</v>
      </c>
      <c r="U46" s="231">
        <v>0.28387428030937067</v>
      </c>
      <c r="AA46" s="295" t="s">
        <v>64</v>
      </c>
      <c r="AB46" s="288" t="s">
        <v>224</v>
      </c>
      <c r="AC46" s="289">
        <f>AC43*$AC$33</f>
        <v>239.10538315987563</v>
      </c>
      <c r="AD46" s="289">
        <f>AD43*$AD$33</f>
        <v>207.71061267035986</v>
      </c>
      <c r="AG46" s="288" t="s">
        <v>228</v>
      </c>
      <c r="AH46" s="289">
        <f>AH44*$AH$33</f>
        <v>143.81162570052186</v>
      </c>
      <c r="AI46" s="289">
        <f>AI44*$AI$33</f>
        <v>232.41692588346933</v>
      </c>
      <c r="AK46" s="295" t="s">
        <v>64</v>
      </c>
      <c r="AL46" s="288" t="s">
        <v>235</v>
      </c>
      <c r="AM46" s="289">
        <f>AM43*$AM$33</f>
        <v>72.061518815152951</v>
      </c>
      <c r="AN46" s="289">
        <f>AN43*$AN$33</f>
        <v>125.70024686818735</v>
      </c>
      <c r="AQ46" s="241" t="s">
        <v>238</v>
      </c>
      <c r="AR46" s="231">
        <v>0.54870416078984496</v>
      </c>
      <c r="AS46" s="231">
        <v>0.45510140269486116</v>
      </c>
    </row>
    <row r="47" spans="1:46" ht="16.5">
      <c r="N47" s="235" t="s">
        <v>222</v>
      </c>
      <c r="O47" s="231">
        <v>0.34125158810307199</v>
      </c>
      <c r="P47" s="231">
        <v>0.47789436038415062</v>
      </c>
      <c r="S47" s="235" t="s">
        <v>233</v>
      </c>
      <c r="T47" s="231">
        <v>2.3572042971395108E-2</v>
      </c>
      <c r="U47" s="231">
        <v>5.3577264285543484E-2</v>
      </c>
      <c r="AB47" s="288" t="s">
        <v>225</v>
      </c>
      <c r="AC47" s="289">
        <f t="shared" ref="AC47:AC48" si="15">AC44*$AC$33</f>
        <v>1512.630273601</v>
      </c>
      <c r="AD47" s="289">
        <f t="shared" ref="AD47:AD48" si="16">AD44*$AD$33</f>
        <v>410.60883929878747</v>
      </c>
      <c r="AF47" s="295" t="s">
        <v>2</v>
      </c>
      <c r="AG47" s="288" t="s">
        <v>227</v>
      </c>
      <c r="AH47" s="289">
        <f>AH43*$AH$34</f>
        <v>571.89338159614601</v>
      </c>
      <c r="AI47" s="289">
        <f>AI43*$AI$34</f>
        <v>293.90445557866769</v>
      </c>
      <c r="AL47" s="288" t="s">
        <v>236</v>
      </c>
      <c r="AM47" s="289">
        <f t="shared" ref="AM47:AM48" si="17">AM44*$AM$33</f>
        <v>1029.4980391019965</v>
      </c>
      <c r="AN47" s="289">
        <f t="shared" ref="AN47:AN48" si="18">AN44*$AN$33</f>
        <v>1556.9757446451899</v>
      </c>
      <c r="AP47" s="295" t="s">
        <v>64</v>
      </c>
      <c r="AQ47" s="291" t="s">
        <v>239</v>
      </c>
      <c r="AR47" s="289">
        <f>AR43*$AR$33</f>
        <v>172.30571760401972</v>
      </c>
      <c r="AS47" s="289">
        <f>AS43*$AS$33</f>
        <v>408.85945736178473</v>
      </c>
    </row>
    <row r="48" spans="1:46" ht="16.5">
      <c r="N48" s="235" t="s">
        <v>223</v>
      </c>
      <c r="O48" s="231">
        <v>7.9792813629996406E-2</v>
      </c>
      <c r="P48" s="231">
        <v>9.9462283048278921E-2</v>
      </c>
      <c r="S48" s="235" t="s">
        <v>234</v>
      </c>
      <c r="T48" s="231">
        <v>5.9621895646126535E-2</v>
      </c>
      <c r="U48" s="231">
        <v>0.10700906272168596</v>
      </c>
      <c r="AB48" s="288" t="s">
        <v>226</v>
      </c>
      <c r="AC48" s="289">
        <f t="shared" si="15"/>
        <v>4007.5045932391249</v>
      </c>
      <c r="AD48" s="289">
        <f t="shared" si="16"/>
        <v>1109.4526230308527</v>
      </c>
      <c r="AG48" s="288" t="s">
        <v>228</v>
      </c>
      <c r="AH48" s="289">
        <f>AH44*$AH$34</f>
        <v>28.746818403853869</v>
      </c>
      <c r="AI48" s="289">
        <f>AI44*$AI$34</f>
        <v>46.458324421332328</v>
      </c>
      <c r="AL48" s="288" t="s">
        <v>237</v>
      </c>
      <c r="AM48" s="289">
        <f t="shared" si="17"/>
        <v>651.2526920828509</v>
      </c>
      <c r="AN48" s="289">
        <f t="shared" si="18"/>
        <v>1247.024483486623</v>
      </c>
      <c r="AQ48" s="291" t="s">
        <v>240</v>
      </c>
      <c r="AR48" s="289">
        <f t="shared" ref="AR48:AR50" si="19">AR44*$AR$33</f>
        <v>121.97814443758816</v>
      </c>
      <c r="AS48" s="289">
        <f t="shared" ref="AS48:AS50" si="20">AS44*$AS$33</f>
        <v>191.69833437620437</v>
      </c>
    </row>
    <row r="49" spans="13:46" ht="16.5">
      <c r="M49" s="295" t="s">
        <v>64</v>
      </c>
      <c r="N49" s="294" t="s">
        <v>218</v>
      </c>
      <c r="O49" s="289">
        <f>O43*$O$33</f>
        <v>341.59931213962278</v>
      </c>
      <c r="P49" s="289">
        <f t="shared" ref="P49:P54" si="21">P43*$P$33</f>
        <v>287.57243675386582</v>
      </c>
      <c r="R49" s="295" t="s">
        <v>64</v>
      </c>
      <c r="S49" s="288" t="s">
        <v>229</v>
      </c>
      <c r="T49" s="289">
        <f t="shared" ref="T49:T54" si="22">T43*$T$33</f>
        <v>1413.1602241576836</v>
      </c>
      <c r="U49" s="289">
        <f t="shared" ref="U49:U54" si="23">U43*$U$33</f>
        <v>1018.1728464119751</v>
      </c>
      <c r="AA49" s="295" t="s">
        <v>2</v>
      </c>
      <c r="AB49" s="288" t="s">
        <v>224</v>
      </c>
      <c r="AC49" s="289">
        <f>AC43*$AC$34</f>
        <v>47.795294682187162</v>
      </c>
      <c r="AD49" s="289">
        <f>AD43*$AD$34</f>
        <v>41.519725779488191</v>
      </c>
      <c r="AF49" s="295" t="s">
        <v>3</v>
      </c>
      <c r="AG49" s="288" t="s">
        <v>227</v>
      </c>
      <c r="AJ49" s="289">
        <f>AI43*$AJ$35</f>
        <v>1.7337584179137386</v>
      </c>
      <c r="AK49" s="295" t="s">
        <v>2</v>
      </c>
      <c r="AL49" s="288" t="s">
        <v>235</v>
      </c>
      <c r="AM49" s="289">
        <f>AM43*$AM$34</f>
        <v>14.404533605641479</v>
      </c>
      <c r="AN49" s="289">
        <f>AN43*$AN$34</f>
        <v>25.126495528005634</v>
      </c>
      <c r="AQ49" s="291" t="s">
        <v>241</v>
      </c>
      <c r="AR49" s="289">
        <f t="shared" si="19"/>
        <v>157.73720958215799</v>
      </c>
      <c r="AS49" s="289">
        <f t="shared" si="20"/>
        <v>327.25843215872482</v>
      </c>
    </row>
    <row r="50" spans="13:46" ht="16.5">
      <c r="N50" s="288" t="s">
        <v>219</v>
      </c>
      <c r="O50" s="289">
        <f t="shared" ref="O50:O54" si="24">O44*$O$33</f>
        <v>66.513857038147052</v>
      </c>
      <c r="P50" s="289">
        <f t="shared" si="21"/>
        <v>132.43286806102196</v>
      </c>
      <c r="S50" s="288" t="s">
        <v>230</v>
      </c>
      <c r="T50" s="289">
        <f t="shared" si="22"/>
        <v>2116.0467030581431</v>
      </c>
      <c r="U50" s="289">
        <f t="shared" si="23"/>
        <v>3231.8714597152257</v>
      </c>
      <c r="AB50" s="288" t="s">
        <v>225</v>
      </c>
      <c r="AC50" s="289">
        <f>AC44*$AC$34</f>
        <v>302.36295275550833</v>
      </c>
      <c r="AD50" s="289">
        <f t="shared" ref="AD50:AD51" si="25">AD44*$AD$34</f>
        <v>82.077493254404033</v>
      </c>
      <c r="AG50" s="288" t="s">
        <v>228</v>
      </c>
      <c r="AJ50" s="289">
        <f>AI44*$AJ$35</f>
        <v>0.27406019037398582</v>
      </c>
      <c r="AL50" s="288" t="s">
        <v>236</v>
      </c>
      <c r="AM50" s="289">
        <f t="shared" ref="AM50:AM51" si="26">AM44*$AM$34</f>
        <v>205.788600421067</v>
      </c>
      <c r="AN50" s="289">
        <f t="shared" ref="AN50:AN51" si="27">AN44*$AN$34</f>
        <v>311.22726533754781</v>
      </c>
      <c r="AQ50" s="291" t="s">
        <v>238</v>
      </c>
      <c r="AR50" s="289">
        <f t="shared" si="19"/>
        <v>549.58592837623428</v>
      </c>
      <c r="AS50" s="289">
        <f t="shared" si="20"/>
        <v>774.91567610328605</v>
      </c>
    </row>
    <row r="51" spans="13:46" ht="16.5">
      <c r="N51" s="288" t="s">
        <v>220</v>
      </c>
      <c r="O51" s="289">
        <f t="shared" si="24"/>
        <v>389.44132483630324</v>
      </c>
      <c r="P51" s="289">
        <f t="shared" si="21"/>
        <v>300.58603510937678</v>
      </c>
      <c r="S51" s="288" t="s">
        <v>231</v>
      </c>
      <c r="T51" s="289">
        <f t="shared" si="22"/>
        <v>1203.0282411449277</v>
      </c>
      <c r="U51" s="289">
        <f t="shared" si="23"/>
        <v>952.59624483038272</v>
      </c>
      <c r="AB51" s="288" t="s">
        <v>226</v>
      </c>
      <c r="AC51" s="289">
        <f>AC45*$AC$34</f>
        <v>801.06880256230465</v>
      </c>
      <c r="AD51" s="289">
        <f t="shared" si="25"/>
        <v>221.77089596610782</v>
      </c>
      <c r="AF51" s="295" t="s">
        <v>65</v>
      </c>
      <c r="AG51" s="288" t="s">
        <v>227</v>
      </c>
      <c r="AJ51" s="289">
        <f>AI43*$AJ$36</f>
        <v>1.727007022205352</v>
      </c>
      <c r="AL51" s="288" t="s">
        <v>237</v>
      </c>
      <c r="AM51" s="289">
        <f t="shared" si="26"/>
        <v>130.18031597329158</v>
      </c>
      <c r="AN51" s="289">
        <f t="shared" si="27"/>
        <v>249.27043413444656</v>
      </c>
      <c r="AP51" s="295" t="s">
        <v>2</v>
      </c>
      <c r="AQ51" s="291" t="s">
        <v>239</v>
      </c>
      <c r="AR51" s="289">
        <f>AR43*$AR$34</f>
        <v>34.442564360014103</v>
      </c>
      <c r="AS51" s="289">
        <f>AS43*$AS$34</f>
        <v>81.727805497124095</v>
      </c>
    </row>
    <row r="52" spans="13:46" ht="16.5">
      <c r="N52" s="288" t="s">
        <v>221</v>
      </c>
      <c r="O52" s="289">
        <f t="shared" si="24"/>
        <v>1377.0179306609766</v>
      </c>
      <c r="P52" s="289">
        <f t="shared" si="21"/>
        <v>739.87143839916769</v>
      </c>
      <c r="S52" s="288" t="s">
        <v>232</v>
      </c>
      <c r="T52" s="289">
        <f t="shared" si="22"/>
        <v>1236.5807283395252</v>
      </c>
      <c r="U52" s="289">
        <f t="shared" si="23"/>
        <v>2658.48985969769</v>
      </c>
      <c r="AA52" s="295" t="s">
        <v>3</v>
      </c>
      <c r="AB52" s="288" t="s">
        <v>224</v>
      </c>
      <c r="AE52" s="289">
        <f>AC43*$AE$35</f>
        <v>9.2706848262853941E-2</v>
      </c>
      <c r="AG52" s="288" t="s">
        <v>228</v>
      </c>
      <c r="AJ52" s="289">
        <f>AI44*$AJ$36</f>
        <v>0.27299297779464793</v>
      </c>
      <c r="AK52" s="295" t="s">
        <v>3</v>
      </c>
      <c r="AL52" s="288" t="s">
        <v>235</v>
      </c>
      <c r="AO52" s="289">
        <f>AM43*$AO$35</f>
        <v>0.11726064987726589</v>
      </c>
      <c r="AQ52" s="291" t="s">
        <v>240</v>
      </c>
      <c r="AR52" s="289">
        <f t="shared" ref="AR52:AR54" si="28">AR44*$AR$34</f>
        <v>24.382476383991541</v>
      </c>
      <c r="AS52" s="289">
        <f t="shared" ref="AS52:AS54" si="29">AS44*$AS$34</f>
        <v>38.318996672144628</v>
      </c>
    </row>
    <row r="53" spans="13:46" ht="16.5">
      <c r="N53" s="288" t="s">
        <v>222</v>
      </c>
      <c r="O53" s="289">
        <f t="shared" si="24"/>
        <v>1281.7499227693261</v>
      </c>
      <c r="P53" s="289">
        <f t="shared" si="21"/>
        <v>1651.3850613434436</v>
      </c>
      <c r="S53" s="288" t="s">
        <v>233</v>
      </c>
      <c r="T53" s="289">
        <f t="shared" si="22"/>
        <v>153.46450108892591</v>
      </c>
      <c r="U53" s="289">
        <f t="shared" si="23"/>
        <v>501.75244357549076</v>
      </c>
      <c r="AB53" s="288" t="s">
        <v>225</v>
      </c>
      <c r="AE53" s="289">
        <f>AC44*$AE$35</f>
        <v>0.58648276086181983</v>
      </c>
      <c r="AF53" s="295" t="s">
        <v>66</v>
      </c>
      <c r="AG53" s="288" t="s">
        <v>227</v>
      </c>
      <c r="AJ53" s="289">
        <f>AI43*$AJ$37</f>
        <v>6.8069312869053373</v>
      </c>
      <c r="AL53" s="288" t="s">
        <v>236</v>
      </c>
      <c r="AO53" s="289">
        <f t="shared" ref="AO53:AO54" si="30">AM44*$AO$35</f>
        <v>1.6752298743818081</v>
      </c>
      <c r="AQ53" s="291" t="s">
        <v>241</v>
      </c>
      <c r="AR53" s="289">
        <f t="shared" si="28"/>
        <v>31.530433630112842</v>
      </c>
      <c r="AS53" s="289">
        <f t="shared" si="29"/>
        <v>65.416399227608878</v>
      </c>
    </row>
    <row r="54" spans="13:46" ht="16.5">
      <c r="N54" s="288" t="s">
        <v>223</v>
      </c>
      <c r="O54" s="289">
        <f t="shared" si="24"/>
        <v>299.70390255562427</v>
      </c>
      <c r="P54" s="289">
        <f t="shared" si="21"/>
        <v>343.69631033312442</v>
      </c>
      <c r="S54" s="288" t="s">
        <v>234</v>
      </c>
      <c r="T54" s="289">
        <f t="shared" si="22"/>
        <v>388.16510221079409</v>
      </c>
      <c r="U54" s="289">
        <f t="shared" si="23"/>
        <v>1002.1425957692352</v>
      </c>
      <c r="AB54" s="288" t="s">
        <v>226</v>
      </c>
      <c r="AE54" s="289">
        <v>1</v>
      </c>
      <c r="AG54" s="288" t="s">
        <v>228</v>
      </c>
      <c r="AJ54" s="289">
        <f>AI44*$AJ$37</f>
        <v>1.0759912483059295</v>
      </c>
      <c r="AL54" s="288" t="s">
        <v>237</v>
      </c>
      <c r="AO54" s="289">
        <f t="shared" si="30"/>
        <v>1.0597377791029277</v>
      </c>
      <c r="AQ54" s="291" t="s">
        <v>238</v>
      </c>
      <c r="AR54" s="289">
        <f t="shared" si="28"/>
        <v>109.85792562588155</v>
      </c>
      <c r="AS54" s="289">
        <f t="shared" si="29"/>
        <v>154.89957860312245</v>
      </c>
    </row>
    <row r="55" spans="13:46" ht="16.5">
      <c r="M55" s="295" t="s">
        <v>2</v>
      </c>
      <c r="N55" s="294" t="s">
        <v>218</v>
      </c>
      <c r="O55" s="289">
        <f>O43*$O$34</f>
        <v>68.283028893702976</v>
      </c>
      <c r="P55" s="289">
        <f>P43*$P$34</f>
        <v>57.483479357449021</v>
      </c>
      <c r="R55" s="295" t="s">
        <v>2</v>
      </c>
      <c r="S55" s="288" t="s">
        <v>229</v>
      </c>
      <c r="T55" s="289">
        <f>T43*$T$34</f>
        <v>282.47966839625923</v>
      </c>
      <c r="U55" s="289">
        <f>U43*$U$34</f>
        <v>203.52478304147172</v>
      </c>
      <c r="AA55" s="295" t="s">
        <v>65</v>
      </c>
      <c r="AB55" s="288" t="s">
        <v>224</v>
      </c>
      <c r="AE55" s="289">
        <v>0</v>
      </c>
      <c r="AF55" s="295" t="s">
        <v>67</v>
      </c>
      <c r="AG55" s="288" t="s">
        <v>227</v>
      </c>
      <c r="AJ55" s="289">
        <f>AI43*$AJ$38</f>
        <v>3.0210533839438223</v>
      </c>
      <c r="AK55" s="295" t="s">
        <v>65</v>
      </c>
      <c r="AL55" s="288" t="s">
        <v>235</v>
      </c>
      <c r="AO55" s="289">
        <f>AM43*$AO$36</f>
        <v>0.11726064987726589</v>
      </c>
      <c r="AP55" s="295" t="s">
        <v>3</v>
      </c>
      <c r="AQ55" s="291" t="s">
        <v>239</v>
      </c>
      <c r="AT55" s="289">
        <v>1</v>
      </c>
    </row>
    <row r="56" spans="13:46" ht="16.5">
      <c r="N56" s="288" t="s">
        <v>219</v>
      </c>
      <c r="O56" s="289">
        <f t="shared" ref="O56:O60" si="31">O44*$O$34</f>
        <v>13.295599436427015</v>
      </c>
      <c r="P56" s="289">
        <f t="shared" ref="P56:P60" si="32">P44*$P$34</f>
        <v>26.472293810095792</v>
      </c>
      <c r="S56" s="288" t="s">
        <v>230</v>
      </c>
      <c r="T56" s="289">
        <f t="shared" ref="T56:T60" si="33">T44*$T$34</f>
        <v>422.98117423107198</v>
      </c>
      <c r="U56" s="289">
        <f t="shared" ref="U56:U60" si="34">U44*$U$34</f>
        <v>646.02580983614178</v>
      </c>
      <c r="AB56" s="288" t="s">
        <v>225</v>
      </c>
      <c r="AE56" s="289">
        <v>1</v>
      </c>
      <c r="AG56" s="288" t="s">
        <v>228</v>
      </c>
      <c r="AJ56" s="289">
        <f>AI44*$AJ$38</f>
        <v>0.47754661605617765</v>
      </c>
      <c r="AL56" s="288" t="s">
        <v>236</v>
      </c>
      <c r="AO56" s="289">
        <f t="shared" ref="AO56:AO57" si="35">AM44*$AO$36</f>
        <v>1.6752298743818081</v>
      </c>
      <c r="AQ56" s="291" t="s">
        <v>240</v>
      </c>
      <c r="AT56" s="289">
        <f t="shared" ref="AT56:AT58" si="36">AR44*$AT$35</f>
        <v>0.29707678887882921</v>
      </c>
    </row>
    <row r="57" spans="13:46" ht="16.5">
      <c r="N57" s="288" t="s">
        <v>220</v>
      </c>
      <c r="O57" s="289">
        <f t="shared" si="31"/>
        <v>77.846272785614246</v>
      </c>
      <c r="P57" s="289">
        <f t="shared" si="32"/>
        <v>60.084795814893162</v>
      </c>
      <c r="S57" s="288" t="s">
        <v>231</v>
      </c>
      <c r="T57" s="289">
        <f t="shared" si="33"/>
        <v>240.47592963671971</v>
      </c>
      <c r="U57" s="289">
        <f t="shared" si="34"/>
        <v>190.41653363517165</v>
      </c>
      <c r="AB57" s="288" t="s">
        <v>226</v>
      </c>
      <c r="AE57" s="296">
        <v>1</v>
      </c>
      <c r="AF57" s="295" t="s">
        <v>68</v>
      </c>
      <c r="AG57" s="288" t="s">
        <v>227</v>
      </c>
      <c r="AH57" s="289">
        <f>AH43*$AH$39</f>
        <v>2861.0093742994777</v>
      </c>
      <c r="AI57" s="289">
        <f>AI43*$AI$39</f>
        <v>1470.3149741165305</v>
      </c>
      <c r="AJ57" s="289">
        <f>AI43*$AJ$39</f>
        <v>8.5406897048190764</v>
      </c>
      <c r="AL57" s="288" t="s">
        <v>237</v>
      </c>
      <c r="AO57" s="289">
        <f t="shared" si="35"/>
        <v>1.0597377791029277</v>
      </c>
      <c r="AQ57" s="291" t="s">
        <v>241</v>
      </c>
      <c r="AT57" s="289">
        <f t="shared" si="36"/>
        <v>0.38416770418532642</v>
      </c>
    </row>
    <row r="58" spans="13:46" ht="16.5">
      <c r="N58" s="288" t="s">
        <v>221</v>
      </c>
      <c r="O58" s="289">
        <f t="shared" si="31"/>
        <v>275.2551068019676</v>
      </c>
      <c r="P58" s="289">
        <f t="shared" si="32"/>
        <v>147.89450976759142</v>
      </c>
      <c r="S58" s="288" t="s">
        <v>232</v>
      </c>
      <c r="T58" s="289">
        <f t="shared" si="33"/>
        <v>247.18280922091472</v>
      </c>
      <c r="U58" s="289">
        <f t="shared" si="34"/>
        <v>531.41131569128163</v>
      </c>
      <c r="AA58" s="295" t="s">
        <v>66</v>
      </c>
      <c r="AB58" s="288" t="s">
        <v>224</v>
      </c>
      <c r="AE58" s="289">
        <v>1</v>
      </c>
      <c r="AG58" s="288" t="s">
        <v>228</v>
      </c>
      <c r="AH58" s="289">
        <f>AH44*$AH$39</f>
        <v>143.81162570052186</v>
      </c>
      <c r="AI58" s="289">
        <f>AI44*$AI$39</f>
        <v>232.41692588346933</v>
      </c>
      <c r="AJ58" s="289">
        <f>AI44*$AJ$39</f>
        <v>1.3500514386799156</v>
      </c>
      <c r="AK58" s="295" t="s">
        <v>66</v>
      </c>
      <c r="AL58" s="288" t="s">
        <v>235</v>
      </c>
      <c r="AO58" s="289">
        <f>AM43*$AO$37</f>
        <v>0.46667846693158876</v>
      </c>
      <c r="AQ58" s="291" t="s">
        <v>238</v>
      </c>
      <c r="AT58" s="289">
        <f t="shared" si="36"/>
        <v>1.3385121045068931</v>
      </c>
    </row>
    <row r="59" spans="13:46" ht="16.5">
      <c r="N59" s="288" t="s">
        <v>222</v>
      </c>
      <c r="O59" s="289">
        <f t="shared" si="31"/>
        <v>256.21177766068348</v>
      </c>
      <c r="P59" s="289">
        <f t="shared" si="32"/>
        <v>330.09894883000959</v>
      </c>
      <c r="S59" s="288" t="s">
        <v>233</v>
      </c>
      <c r="T59" s="289">
        <f t="shared" si="33"/>
        <v>30.676352643619268</v>
      </c>
      <c r="U59" s="289">
        <f t="shared" si="34"/>
        <v>100.29638639362263</v>
      </c>
      <c r="AB59" s="288" t="s">
        <v>225</v>
      </c>
      <c r="AE59" s="289">
        <v>2</v>
      </c>
      <c r="AL59" s="288" t="s">
        <v>236</v>
      </c>
      <c r="AO59" s="289">
        <f t="shared" ref="AO59:AO60" si="37">AM44*$AO$37</f>
        <v>6.6671446077843362</v>
      </c>
      <c r="AP59" s="295" t="s">
        <v>65</v>
      </c>
      <c r="AQ59" s="291" t="s">
        <v>239</v>
      </c>
      <c r="AT59" s="289">
        <v>1</v>
      </c>
    </row>
    <row r="60" spans="13:46" ht="16.5">
      <c r="N60" s="288" t="s">
        <v>223</v>
      </c>
      <c r="O60" s="289">
        <f t="shared" si="31"/>
        <v>59.908464421604712</v>
      </c>
      <c r="P60" s="289">
        <f t="shared" si="32"/>
        <v>68.702202419961097</v>
      </c>
      <c r="S60" s="288" t="s">
        <v>234</v>
      </c>
      <c r="T60" s="289">
        <f t="shared" si="33"/>
        <v>77.591165871415242</v>
      </c>
      <c r="U60" s="289">
        <f t="shared" si="34"/>
        <v>200.32046140231071</v>
      </c>
      <c r="AB60" s="288" t="s">
        <v>226</v>
      </c>
      <c r="AE60" s="289">
        <f t="shared" ref="AE60" si="38">AC45*$AE$37</f>
        <v>5.9240654406539042</v>
      </c>
      <c r="AL60" s="288" t="s">
        <v>237</v>
      </c>
      <c r="AO60" s="289">
        <f t="shared" si="37"/>
        <v>4.2175853759883006</v>
      </c>
      <c r="AQ60" s="291" t="s">
        <v>240</v>
      </c>
      <c r="AT60" s="289">
        <f>AR44*$AT$36</f>
        <v>0.243564880112835</v>
      </c>
    </row>
    <row r="61" spans="13:46" ht="16.5">
      <c r="M61" s="295" t="s">
        <v>3</v>
      </c>
      <c r="N61" s="288" t="s">
        <v>220</v>
      </c>
      <c r="Q61" s="289">
        <f>O45*Q35</f>
        <v>0.51558465867662662</v>
      </c>
      <c r="R61" s="295" t="s">
        <v>3</v>
      </c>
      <c r="S61" s="288" t="s">
        <v>229</v>
      </c>
      <c r="V61" s="289">
        <f>T43*$V$35</f>
        <v>1.1486044719302861</v>
      </c>
      <c r="AA61" s="295" t="s">
        <v>67</v>
      </c>
      <c r="AB61" s="288" t="s">
        <v>224</v>
      </c>
      <c r="AE61" s="289">
        <v>0</v>
      </c>
      <c r="AK61" s="295" t="s">
        <v>67</v>
      </c>
      <c r="AL61" s="288" t="s">
        <v>235</v>
      </c>
      <c r="AO61" s="289">
        <f>AM43*$AO$38</f>
        <v>0.24747951284322403</v>
      </c>
      <c r="AQ61" s="291" t="s">
        <v>241</v>
      </c>
      <c r="AT61" s="289">
        <f t="shared" ref="AT61:AT62" si="39">AR45*$AT$36</f>
        <v>0.31496826516220033</v>
      </c>
    </row>
    <row r="62" spans="13:46" ht="16.5">
      <c r="N62" s="288" t="s">
        <v>221</v>
      </c>
      <c r="Q62" s="289">
        <f>O46*Q35</f>
        <v>1.8230456669431805</v>
      </c>
      <c r="S62" s="288" t="s">
        <v>230</v>
      </c>
      <c r="V62" s="289">
        <f>T44*$V$35</f>
        <v>1.7199045546265819</v>
      </c>
      <c r="AB62" s="288" t="s">
        <v>225</v>
      </c>
      <c r="AE62" s="289">
        <v>1</v>
      </c>
      <c r="AL62" s="288" t="s">
        <v>236</v>
      </c>
      <c r="AO62" s="289">
        <f t="shared" ref="AO62:AO63" si="40">AM44*$AO$38</f>
        <v>3.535585668733392</v>
      </c>
      <c r="AQ62" s="291" t="s">
        <v>238</v>
      </c>
      <c r="AT62" s="289">
        <f t="shared" si="39"/>
        <v>1.0974083215796899</v>
      </c>
    </row>
    <row r="63" spans="13:46" ht="16.5">
      <c r="N63" s="288" t="s">
        <v>222</v>
      </c>
      <c r="Q63" s="289">
        <f>O47*Q35</f>
        <v>1.6969195467830633</v>
      </c>
      <c r="S63" s="288" t="s">
        <v>231</v>
      </c>
      <c r="V63" s="289">
        <f>T45*$V$35</f>
        <v>0.97781100402901377</v>
      </c>
      <c r="AB63" s="288" t="s">
        <v>226</v>
      </c>
      <c r="AE63" s="289">
        <v>3</v>
      </c>
      <c r="AL63" s="288" t="s">
        <v>237</v>
      </c>
      <c r="AO63" s="289">
        <f t="shared" si="40"/>
        <v>2.2365848184233839</v>
      </c>
      <c r="AP63" s="295" t="s">
        <v>66</v>
      </c>
      <c r="AQ63" s="291" t="s">
        <v>239</v>
      </c>
      <c r="AT63" s="289">
        <f>AR43*$AT$37</f>
        <v>2.4138462202827329</v>
      </c>
    </row>
    <row r="64" spans="13:46" ht="16.5">
      <c r="M64" s="295" t="s">
        <v>65</v>
      </c>
      <c r="N64" s="288" t="s">
        <v>220</v>
      </c>
      <c r="Q64" s="289">
        <v>1</v>
      </c>
      <c r="S64" s="288" t="s">
        <v>232</v>
      </c>
      <c r="V64" s="289">
        <f>T46*$V$35</f>
        <v>1.0050821769486091</v>
      </c>
      <c r="AA64" s="295" t="s">
        <v>68</v>
      </c>
      <c r="AB64" s="288" t="s">
        <v>224</v>
      </c>
      <c r="AC64" s="289">
        <f>AC43*$AC$39</f>
        <v>239.10538315987563</v>
      </c>
      <c r="AD64" s="289">
        <f>AD43*$AD$39</f>
        <v>207.71061267035986</v>
      </c>
      <c r="AE64" s="289">
        <v>1</v>
      </c>
      <c r="AK64" s="295" t="s">
        <v>68</v>
      </c>
      <c r="AL64" s="288" t="s">
        <v>235</v>
      </c>
      <c r="AM64" s="289">
        <f>AM43*$AM$39</f>
        <v>72.061518815152951</v>
      </c>
      <c r="AN64" s="289">
        <f>AN43*$AN$39</f>
        <v>125.70024686818735</v>
      </c>
      <c r="AO64" s="289">
        <f>AM43*$AO$39</f>
        <v>0.58393911680885469</v>
      </c>
      <c r="AQ64" s="291" t="s">
        <v>240</v>
      </c>
      <c r="AT64" s="289">
        <f t="shared" ref="AT64:AT66" si="41">AR44*$AT$37</f>
        <v>1.708802743182473</v>
      </c>
    </row>
    <row r="65" spans="13:46" ht="16.5">
      <c r="N65" s="288" t="s">
        <v>221</v>
      </c>
      <c r="Q65" s="289">
        <v>2</v>
      </c>
      <c r="R65" s="295" t="s">
        <v>65</v>
      </c>
      <c r="S65" s="288" t="s">
        <v>229</v>
      </c>
      <c r="V65" s="289">
        <f>T43*$V$36</f>
        <v>1.085302245566516</v>
      </c>
      <c r="AB65" s="288" t="s">
        <v>225</v>
      </c>
      <c r="AC65" s="289">
        <f t="shared" ref="AC65:AC66" si="42">AC44*$AC$39</f>
        <v>1512.630273601</v>
      </c>
      <c r="AD65" s="289">
        <f t="shared" ref="AD65:AD66" si="43">AD44*$AD$39</f>
        <v>410.60883929878747</v>
      </c>
      <c r="AE65" s="289">
        <f t="shared" ref="AE65:AE66" si="44">AC44*$AE$39</f>
        <v>2.8225178095662176</v>
      </c>
      <c r="AL65" s="288" t="s">
        <v>236</v>
      </c>
      <c r="AM65" s="289">
        <f t="shared" ref="AM65:AM66" si="45">AM44*$AM$39</f>
        <v>1029.4980391019965</v>
      </c>
      <c r="AN65" s="289">
        <f t="shared" ref="AN65:AN66" si="46">AN44*$AN$39</f>
        <v>1556.9757446451899</v>
      </c>
      <c r="AO65" s="289">
        <f t="shared" ref="AO65:AO66" si="47">AM44*$AO$39</f>
        <v>8.3423744821661447</v>
      </c>
      <c r="AQ65" s="291" t="s">
        <v>241</v>
      </c>
      <c r="AT65" s="289">
        <f t="shared" si="41"/>
        <v>2.2097546874379215</v>
      </c>
    </row>
    <row r="66" spans="13:46" ht="16.5">
      <c r="N66" s="288" t="s">
        <v>222</v>
      </c>
      <c r="Q66" s="289">
        <v>2</v>
      </c>
      <c r="S66" s="288" t="s">
        <v>230</v>
      </c>
      <c r="V66" s="289">
        <f>T44*$V$36</f>
        <v>1.6251166706319431</v>
      </c>
      <c r="AB66" s="288" t="s">
        <v>226</v>
      </c>
      <c r="AC66" s="289">
        <f t="shared" si="42"/>
        <v>4007.5045932391249</v>
      </c>
      <c r="AD66" s="289">
        <f t="shared" si="43"/>
        <v>1109.4526230308527</v>
      </c>
      <c r="AE66" s="289">
        <f t="shared" si="44"/>
        <v>7.4778703585034298</v>
      </c>
      <c r="AL66" s="288" t="s">
        <v>237</v>
      </c>
      <c r="AM66" s="289">
        <f t="shared" si="45"/>
        <v>651.2526920828509</v>
      </c>
      <c r="AN66" s="289">
        <f t="shared" si="46"/>
        <v>1247.024483486623</v>
      </c>
      <c r="AO66" s="289">
        <f t="shared" si="47"/>
        <v>5.2773231550912287</v>
      </c>
      <c r="AQ66" s="291" t="s">
        <v>238</v>
      </c>
      <c r="AT66" s="289">
        <f t="shared" si="41"/>
        <v>7.699198461772931</v>
      </c>
    </row>
    <row r="67" spans="13:46" ht="16.5">
      <c r="M67" s="295" t="s">
        <v>66</v>
      </c>
      <c r="N67" s="294" t="s">
        <v>218</v>
      </c>
      <c r="Q67" s="289">
        <f>O43*$Q$37</f>
        <v>1.1327464622408852</v>
      </c>
      <c r="S67" s="288" t="s">
        <v>231</v>
      </c>
      <c r="V67" s="289">
        <f>T45*$V$36</f>
        <v>0.9239215973353343</v>
      </c>
      <c r="AP67" s="295" t="s">
        <v>67</v>
      </c>
      <c r="AQ67" s="291" t="s">
        <v>239</v>
      </c>
      <c r="AT67" s="289">
        <f>AR43*$AT$38</f>
        <v>0.60186159203102962</v>
      </c>
    </row>
    <row r="68" spans="13:46" ht="16.5">
      <c r="N68" s="288" t="s">
        <v>219</v>
      </c>
      <c r="Q68" s="289">
        <f t="shared" ref="Q68:Q72" si="48">O44*$Q$37</f>
        <v>0.22056056195792864</v>
      </c>
      <c r="S68" s="288" t="s">
        <v>232</v>
      </c>
      <c r="V68" s="289">
        <f>T46*$V$36</f>
        <v>0.94968979337859849</v>
      </c>
      <c r="AQ68" s="291" t="s">
        <v>240</v>
      </c>
      <c r="AT68" s="289">
        <f t="shared" ref="AT68:AT70" si="49">AR44*$AT$38</f>
        <v>0.42606804478138227</v>
      </c>
    </row>
    <row r="69" spans="13:46" ht="16.5">
      <c r="N69" s="288" t="s">
        <v>220</v>
      </c>
      <c r="Q69" s="289">
        <f t="shared" si="48"/>
        <v>1.291391016555731</v>
      </c>
      <c r="R69" s="295" t="s">
        <v>66</v>
      </c>
      <c r="S69" s="288" t="s">
        <v>229</v>
      </c>
      <c r="V69" s="289">
        <f t="shared" ref="V69:V74" si="50">T43*$V$37</f>
        <v>5.2358763598041085</v>
      </c>
      <c r="AQ69" s="291" t="s">
        <v>241</v>
      </c>
      <c r="AT69" s="289">
        <f t="shared" si="49"/>
        <v>0.55097398624823701</v>
      </c>
    </row>
    <row r="70" spans="13:46" ht="16.5">
      <c r="N70" s="288" t="s">
        <v>221</v>
      </c>
      <c r="Q70" s="289">
        <f t="shared" si="48"/>
        <v>4.5662041285403401</v>
      </c>
      <c r="S70" s="288" t="s">
        <v>230</v>
      </c>
      <c r="V70" s="289">
        <f t="shared" si="50"/>
        <v>7.8401293210664953</v>
      </c>
      <c r="AQ70" s="291" t="s">
        <v>238</v>
      </c>
      <c r="AT70" s="289">
        <f t="shared" si="49"/>
        <v>1.9196963769393516</v>
      </c>
    </row>
    <row r="71" spans="13:46" ht="16.5">
      <c r="N71" s="288" t="s">
        <v>222</v>
      </c>
      <c r="Q71" s="289">
        <f t="shared" si="48"/>
        <v>4.2502945377742565</v>
      </c>
      <c r="S71" s="288" t="s">
        <v>231</v>
      </c>
      <c r="V71" s="289">
        <f t="shared" si="50"/>
        <v>4.457319856806695</v>
      </c>
      <c r="AP71" s="295" t="s">
        <v>68</v>
      </c>
      <c r="AQ71" s="291" t="s">
        <v>239</v>
      </c>
      <c r="AR71" s="289">
        <f>AR43*$AR$39</f>
        <v>172.30571760401972</v>
      </c>
      <c r="AS71" s="289">
        <f>AS43*$AS$39</f>
        <v>408.85945736178473</v>
      </c>
      <c r="AT71" s="289">
        <f>AR43*$AT$39</f>
        <v>2.8334954084818174</v>
      </c>
    </row>
    <row r="72" spans="13:46" ht="16.5">
      <c r="N72" s="288" t="s">
        <v>223</v>
      </c>
      <c r="Q72" s="289">
        <f t="shared" si="48"/>
        <v>0.99382089856466205</v>
      </c>
      <c r="S72" s="288" t="s">
        <v>232</v>
      </c>
      <c r="V72" s="289">
        <f t="shared" si="50"/>
        <v>4.5816346170947826</v>
      </c>
      <c r="AQ72" s="291" t="s">
        <v>240</v>
      </c>
      <c r="AR72" s="289">
        <f t="shared" ref="AR72:AR74" si="51">AR44*$AR$39</f>
        <v>121.97814443758816</v>
      </c>
      <c r="AS72" s="289">
        <f t="shared" ref="AS72:AS74" si="52">AS44*$AS$39</f>
        <v>191.69833437620437</v>
      </c>
      <c r="AT72" s="289">
        <f t="shared" ref="AT72:AT74" si="53">AR44*$AT$39</f>
        <v>2.0058795320613023</v>
      </c>
    </row>
    <row r="73" spans="13:46" ht="16.5">
      <c r="M73" s="295" t="s">
        <v>67</v>
      </c>
      <c r="N73" s="294" t="s">
        <v>218</v>
      </c>
      <c r="Q73" s="289">
        <f>O43*$Q$38</f>
        <v>0.64573278105352327</v>
      </c>
      <c r="S73" s="288" t="s">
        <v>233</v>
      </c>
      <c r="V73" s="289">
        <f t="shared" si="50"/>
        <v>0.56859876154494726</v>
      </c>
      <c r="AQ73" s="291" t="s">
        <v>241</v>
      </c>
      <c r="AR73" s="289">
        <f t="shared" si="51"/>
        <v>157.73720958215799</v>
      </c>
      <c r="AS73" s="289">
        <f t="shared" si="52"/>
        <v>327.25843215872482</v>
      </c>
      <c r="AT73" s="289">
        <f t="shared" si="53"/>
        <v>2.5939223916232477</v>
      </c>
    </row>
    <row r="74" spans="13:46" ht="16.5">
      <c r="N74" s="288" t="s">
        <v>219</v>
      </c>
      <c r="Q74" s="289">
        <f t="shared" ref="Q74:Q78" si="54">O44*$Q$38</f>
        <v>0.125732624034922</v>
      </c>
      <c r="S74" s="288" t="s">
        <v>234</v>
      </c>
      <c r="V74" s="289">
        <f t="shared" si="50"/>
        <v>1.438184041429448</v>
      </c>
      <c r="AQ74" s="291" t="s">
        <v>238</v>
      </c>
      <c r="AR74" s="289">
        <f t="shared" si="51"/>
        <v>549.58592837623428</v>
      </c>
      <c r="AS74" s="289">
        <f t="shared" si="52"/>
        <v>774.91567610328605</v>
      </c>
      <c r="AT74" s="289">
        <f t="shared" si="53"/>
        <v>9.0377105662798236</v>
      </c>
    </row>
    <row r="75" spans="13:46" ht="15.75">
      <c r="N75" s="288" t="s">
        <v>220</v>
      </c>
      <c r="Q75" s="289">
        <f t="shared" si="54"/>
        <v>0.73616960224126149</v>
      </c>
      <c r="R75" s="295" t="s">
        <v>67</v>
      </c>
      <c r="S75" s="288" t="s">
        <v>229</v>
      </c>
      <c r="V75" s="289">
        <f t="shared" ref="V75:V80" si="55">T43*$V$38</f>
        <v>4.1767422799729133</v>
      </c>
    </row>
    <row r="76" spans="13:46" ht="15.75">
      <c r="N76" s="288" t="s">
        <v>221</v>
      </c>
      <c r="Q76" s="289">
        <f t="shared" si="54"/>
        <v>2.6030076359253349</v>
      </c>
      <c r="S76" s="288" t="s">
        <v>230</v>
      </c>
      <c r="V76" s="289">
        <f t="shared" si="55"/>
        <v>6.2541965022602071</v>
      </c>
    </row>
    <row r="77" spans="13:46" ht="15.75">
      <c r="N77" s="288" t="s">
        <v>222</v>
      </c>
      <c r="Q77" s="289">
        <f t="shared" si="54"/>
        <v>2.4229204006906215</v>
      </c>
      <c r="S77" s="288" t="s">
        <v>231</v>
      </c>
      <c r="V77" s="289">
        <f t="shared" si="55"/>
        <v>3.5556753104811398</v>
      </c>
    </row>
    <row r="78" spans="13:46" ht="15.75">
      <c r="N78" s="288" t="s">
        <v>223</v>
      </c>
      <c r="Q78" s="289">
        <f t="shared" si="54"/>
        <v>0.56653695605433751</v>
      </c>
      <c r="S78" s="288" t="s">
        <v>232</v>
      </c>
      <c r="V78" s="289">
        <f t="shared" si="55"/>
        <v>3.6548431822258003</v>
      </c>
    </row>
    <row r="79" spans="13:46" ht="15.75">
      <c r="M79" s="295" t="s">
        <v>68</v>
      </c>
      <c r="N79" s="294" t="s">
        <v>218</v>
      </c>
      <c r="O79" s="289">
        <f>O43*$O$39</f>
        <v>341.59931213962278</v>
      </c>
      <c r="P79" s="289">
        <f>P43*$P$39</f>
        <v>287.57243675386582</v>
      </c>
      <c r="Q79" s="289">
        <f>$Q$39*O43</f>
        <v>1.5849926762956188</v>
      </c>
      <c r="S79" s="288" t="s">
        <v>233</v>
      </c>
      <c r="V79" s="289">
        <f t="shared" si="55"/>
        <v>0.45358032246847602</v>
      </c>
    </row>
    <row r="80" spans="13:46" ht="15.75">
      <c r="N80" s="288" t="s">
        <v>219</v>
      </c>
      <c r="O80" s="289">
        <f t="shared" ref="O80:O84" si="56">O44*$O$39</f>
        <v>66.513857038147052</v>
      </c>
      <c r="P80" s="289">
        <f t="shared" ref="P80:P84" si="57">P44*$P$39</f>
        <v>132.43286806102196</v>
      </c>
      <c r="Q80" s="289">
        <f t="shared" ref="Q80:Q84" si="58">$Q$39*O44</f>
        <v>0.30861881898212562</v>
      </c>
      <c r="S80" s="288" t="s">
        <v>234</v>
      </c>
      <c r="V80" s="289">
        <f t="shared" si="55"/>
        <v>1.1472624025914604</v>
      </c>
    </row>
    <row r="81" spans="1:50" ht="15.75">
      <c r="N81" s="288" t="s">
        <v>220</v>
      </c>
      <c r="O81" s="289">
        <f t="shared" si="56"/>
        <v>389.44132483630324</v>
      </c>
      <c r="P81" s="289">
        <f t="shared" si="57"/>
        <v>300.58603510937678</v>
      </c>
      <c r="Q81" s="289">
        <f t="shared" si="58"/>
        <v>1.8069756752323574</v>
      </c>
      <c r="R81" s="295" t="s">
        <v>68</v>
      </c>
      <c r="S81" s="288" t="s">
        <v>229</v>
      </c>
      <c r="T81" s="289">
        <f>T43*$T$39</f>
        <v>1413.1602241576836</v>
      </c>
      <c r="U81" s="289">
        <f>U43*$U$39</f>
        <v>1018.1728464119751</v>
      </c>
      <c r="V81" s="289">
        <f>T43*$V$39</f>
        <v>6.3844808317343951</v>
      </c>
    </row>
    <row r="82" spans="1:50" ht="15.75">
      <c r="N82" s="288" t="s">
        <v>221</v>
      </c>
      <c r="O82" s="289">
        <f t="shared" si="56"/>
        <v>1377.0179306609766</v>
      </c>
      <c r="P82" s="289">
        <f t="shared" si="57"/>
        <v>739.87143839916769</v>
      </c>
      <c r="Q82" s="289">
        <f t="shared" si="58"/>
        <v>6.3892497954835203</v>
      </c>
      <c r="S82" s="288" t="s">
        <v>230</v>
      </c>
      <c r="T82" s="289">
        <f t="shared" ref="T82:T86" si="59">T44*$T$39</f>
        <v>2116.0467030581431</v>
      </c>
      <c r="U82" s="289">
        <f t="shared" ref="U82:U86" si="60">U44*$U$39</f>
        <v>3231.8714597152257</v>
      </c>
      <c r="V82" s="289">
        <f t="shared" ref="V82:V86" si="61">T44*$V$39</f>
        <v>9.5600338756930761</v>
      </c>
    </row>
    <row r="83" spans="1:50" ht="15.75">
      <c r="N83" s="288" t="s">
        <v>222</v>
      </c>
      <c r="O83" s="289">
        <f t="shared" si="56"/>
        <v>1281.7499227693261</v>
      </c>
      <c r="P83" s="289">
        <f t="shared" si="57"/>
        <v>1651.3850613434436</v>
      </c>
      <c r="Q83" s="289">
        <f t="shared" si="58"/>
        <v>5.9472140845573191</v>
      </c>
      <c r="S83" s="288" t="s">
        <v>231</v>
      </c>
      <c r="T83" s="289">
        <f t="shared" si="59"/>
        <v>1203.0282411449277</v>
      </c>
      <c r="U83" s="289">
        <f t="shared" si="60"/>
        <v>952.59624483038272</v>
      </c>
      <c r="V83" s="289">
        <f t="shared" si="61"/>
        <v>5.4351308608357094</v>
      </c>
    </row>
    <row r="84" spans="1:50" ht="15.75">
      <c r="N84" s="288" t="s">
        <v>223</v>
      </c>
      <c r="O84" s="289">
        <f t="shared" si="56"/>
        <v>299.70390255562427</v>
      </c>
      <c r="P84" s="289">
        <f t="shared" si="57"/>
        <v>343.69631033312442</v>
      </c>
      <c r="Q84" s="289">
        <f t="shared" si="58"/>
        <v>1.3906014260758248</v>
      </c>
      <c r="S84" s="288" t="s">
        <v>232</v>
      </c>
      <c r="T84" s="289">
        <f t="shared" si="59"/>
        <v>1236.5807283395252</v>
      </c>
      <c r="U84" s="289">
        <f t="shared" si="60"/>
        <v>2658.48985969769</v>
      </c>
      <c r="V84" s="289">
        <f t="shared" si="61"/>
        <v>5.5867167940433919</v>
      </c>
    </row>
    <row r="85" spans="1:50" ht="15.75">
      <c r="S85" s="288" t="s">
        <v>233</v>
      </c>
      <c r="T85" s="289">
        <f t="shared" si="59"/>
        <v>153.46450108892591</v>
      </c>
      <c r="U85" s="289">
        <f t="shared" si="60"/>
        <v>501.75244357549076</v>
      </c>
      <c r="V85" s="289">
        <f t="shared" si="61"/>
        <v>0.69333338768286923</v>
      </c>
    </row>
    <row r="86" spans="1:50" ht="15.75">
      <c r="S86" s="288" t="s">
        <v>234</v>
      </c>
      <c r="T86" s="289">
        <f t="shared" si="59"/>
        <v>388.16510221079409</v>
      </c>
      <c r="U86" s="289">
        <f t="shared" si="60"/>
        <v>1002.1425957692352</v>
      </c>
      <c r="V86" s="289">
        <f t="shared" si="61"/>
        <v>1.7536812968891702</v>
      </c>
    </row>
    <row r="87" spans="1:50" ht="15.75">
      <c r="S87" s="298"/>
    </row>
    <row r="88" spans="1:50" ht="15.75">
      <c r="S88" s="298"/>
    </row>
    <row r="90" spans="1:50" ht="18.75">
      <c r="F90" s="498" t="s">
        <v>36</v>
      </c>
      <c r="G90" s="498"/>
      <c r="H90" s="498"/>
      <c r="J90" s="498" t="s">
        <v>10</v>
      </c>
      <c r="K90" s="498"/>
      <c r="P90" s="498" t="s">
        <v>15</v>
      </c>
      <c r="Q90" s="498"/>
      <c r="T90" s="498" t="s">
        <v>23</v>
      </c>
      <c r="U90" s="498"/>
      <c r="X90" s="498" t="s">
        <v>12</v>
      </c>
      <c r="Y90" s="498"/>
      <c r="Z90" s="297"/>
      <c r="AC90" s="498" t="s">
        <v>13</v>
      </c>
      <c r="AD90" s="498"/>
      <c r="AG90" s="498" t="s">
        <v>11</v>
      </c>
      <c r="AH90" s="498"/>
      <c r="AK90" s="498" t="s">
        <v>16</v>
      </c>
      <c r="AL90" s="498"/>
      <c r="AO90" s="498" t="s">
        <v>14</v>
      </c>
      <c r="AP90" s="498"/>
    </row>
    <row r="91" spans="1:50" ht="15" customHeight="1" thickBot="1">
      <c r="A91" s="471" t="s">
        <v>72</v>
      </c>
      <c r="B91" s="471"/>
      <c r="C91" s="471"/>
      <c r="D91" s="283" t="s">
        <v>9</v>
      </c>
      <c r="E91" s="283" t="s">
        <v>0</v>
      </c>
      <c r="F91" s="30" t="s">
        <v>21</v>
      </c>
      <c r="G91" s="29" t="s">
        <v>22</v>
      </c>
      <c r="H91" s="30" t="s">
        <v>40</v>
      </c>
      <c r="J91" s="30" t="s">
        <v>21</v>
      </c>
      <c r="K91" s="29" t="s">
        <v>22</v>
      </c>
      <c r="P91" s="30" t="s">
        <v>21</v>
      </c>
      <c r="Q91" s="29" t="s">
        <v>22</v>
      </c>
      <c r="T91" s="30" t="s">
        <v>21</v>
      </c>
      <c r="U91" s="29" t="s">
        <v>22</v>
      </c>
      <c r="X91" s="30" t="s">
        <v>21</v>
      </c>
      <c r="Y91" s="29" t="s">
        <v>22</v>
      </c>
      <c r="Z91" s="30" t="s">
        <v>40</v>
      </c>
      <c r="AC91" s="30" t="s">
        <v>21</v>
      </c>
      <c r="AD91" s="29" t="s">
        <v>22</v>
      </c>
      <c r="AG91" s="30" t="s">
        <v>21</v>
      </c>
      <c r="AH91" s="29" t="s">
        <v>22</v>
      </c>
      <c r="AK91" s="30" t="s">
        <v>21</v>
      </c>
      <c r="AL91" s="29" t="s">
        <v>22</v>
      </c>
      <c r="AO91" s="30" t="s">
        <v>21</v>
      </c>
      <c r="AP91" s="29" t="s">
        <v>22</v>
      </c>
    </row>
    <row r="92" spans="1:50" ht="45">
      <c r="A92" s="110" t="s">
        <v>64</v>
      </c>
      <c r="B92" s="458" t="s">
        <v>144</v>
      </c>
      <c r="C92" s="458"/>
      <c r="D92" s="11" t="s">
        <v>316</v>
      </c>
      <c r="E92" s="11" t="s">
        <v>305</v>
      </c>
      <c r="F92" s="36">
        <f>7*5000*0.3*5*0.4</f>
        <v>21000</v>
      </c>
      <c r="G92" s="36">
        <f>7*5000*0.7*4*0.4</f>
        <v>39200</v>
      </c>
      <c r="H92" s="35"/>
      <c r="J92" s="292">
        <v>2100</v>
      </c>
      <c r="K92" s="292">
        <v>2587.2000000000003</v>
      </c>
      <c r="L92" s="130"/>
      <c r="P92" s="36">
        <v>3150</v>
      </c>
      <c r="Q92" s="36">
        <v>5409.6</v>
      </c>
      <c r="T92" s="36">
        <v>5460</v>
      </c>
      <c r="U92" s="36">
        <v>14660.8</v>
      </c>
      <c r="X92" s="292">
        <v>420</v>
      </c>
      <c r="Y92" s="292">
        <v>3920</v>
      </c>
      <c r="Z92" s="292"/>
      <c r="AC92" s="36">
        <v>4830</v>
      </c>
      <c r="AD92" s="36">
        <v>2704.8</v>
      </c>
      <c r="AG92" s="36">
        <v>2520</v>
      </c>
      <c r="AH92" s="36">
        <v>2665.6000000000004</v>
      </c>
      <c r="AK92" s="36">
        <v>1470.0000000000002</v>
      </c>
      <c r="AL92" s="36">
        <v>4586.4000000000005</v>
      </c>
      <c r="AN92" s="130"/>
      <c r="AO92" s="36">
        <v>840</v>
      </c>
      <c r="AP92" s="36">
        <v>2665.6000000000004</v>
      </c>
      <c r="AQ92" s="130"/>
      <c r="AU92" s="130"/>
      <c r="AV92" s="130"/>
      <c r="AX92" s="130"/>
    </row>
    <row r="93" spans="1:50" ht="45">
      <c r="A93" s="111" t="s">
        <v>2</v>
      </c>
      <c r="B93" s="475" t="s">
        <v>142</v>
      </c>
      <c r="C93" s="497"/>
      <c r="D93" s="11" t="s">
        <v>316</v>
      </c>
      <c r="E93" s="10" t="s">
        <v>305</v>
      </c>
      <c r="F93" s="36">
        <f>2*10000*0.3*5*0.4</f>
        <v>12000</v>
      </c>
      <c r="G93" s="36">
        <f>2*10000*0.7*4*0.4</f>
        <v>22400</v>
      </c>
      <c r="H93" s="35"/>
      <c r="J93" s="292">
        <v>1200</v>
      </c>
      <c r="K93" s="292">
        <v>1478.4</v>
      </c>
      <c r="L93" s="130"/>
      <c r="P93" s="36">
        <v>1800</v>
      </c>
      <c r="Q93" s="36">
        <v>3091.2000000000003</v>
      </c>
      <c r="T93" s="36">
        <v>3120</v>
      </c>
      <c r="U93" s="36">
        <v>8377.6</v>
      </c>
      <c r="X93" s="292">
        <v>240</v>
      </c>
      <c r="Y93" s="292">
        <v>2240</v>
      </c>
      <c r="Z93" s="292"/>
      <c r="AC93" s="36">
        <v>2760</v>
      </c>
      <c r="AD93" s="36">
        <v>1545.6000000000001</v>
      </c>
      <c r="AG93" s="36">
        <v>1440</v>
      </c>
      <c r="AH93" s="36">
        <v>1523.2</v>
      </c>
      <c r="AK93" s="36">
        <v>840.00000000000011</v>
      </c>
      <c r="AL93" s="36">
        <v>2620.8000000000002</v>
      </c>
      <c r="AN93" s="130"/>
      <c r="AO93" s="36">
        <v>480</v>
      </c>
      <c r="AP93" s="36">
        <v>1523.2</v>
      </c>
      <c r="AQ93" s="130"/>
      <c r="AU93" s="130"/>
      <c r="AV93" s="130"/>
      <c r="AX93" s="130"/>
    </row>
    <row r="94" spans="1:50">
      <c r="A94" s="111" t="s">
        <v>3</v>
      </c>
      <c r="B94" s="475" t="s">
        <v>146</v>
      </c>
      <c r="C94" s="497"/>
      <c r="D94" s="11" t="s">
        <v>309</v>
      </c>
      <c r="E94" s="11" t="s">
        <v>305</v>
      </c>
      <c r="F94" s="35"/>
      <c r="G94" s="36"/>
      <c r="H94" s="35">
        <v>2</v>
      </c>
      <c r="X94" s="299"/>
      <c r="Y94" s="299"/>
      <c r="Z94" s="292">
        <v>2</v>
      </c>
    </row>
    <row r="95" spans="1:50" ht="16.5">
      <c r="O95" s="235" t="s">
        <v>218</v>
      </c>
      <c r="P95" s="231">
        <v>9.0946998077988089E-2</v>
      </c>
      <c r="Q95" s="231">
        <v>8.3220593999317236E-2</v>
      </c>
      <c r="S95" s="235" t="s">
        <v>229</v>
      </c>
      <c r="T95" s="231">
        <v>0.21706044911330319</v>
      </c>
      <c r="U95" s="231">
        <v>0.10872077730573335</v>
      </c>
      <c r="AB95" s="235" t="s">
        <v>224</v>
      </c>
      <c r="AC95" s="231">
        <v>4.1516827355808889E-2</v>
      </c>
      <c r="AD95" s="231">
        <v>0.12021875783028838</v>
      </c>
      <c r="AF95" s="235" t="s">
        <v>227</v>
      </c>
      <c r="AG95" s="231">
        <v>0.95213970293054995</v>
      </c>
      <c r="AH95" s="231">
        <v>0.86350351110267598</v>
      </c>
      <c r="AJ95" s="235" t="s">
        <v>235</v>
      </c>
      <c r="AK95" s="231">
        <v>4.1111943857736588E-2</v>
      </c>
      <c r="AL95" s="231">
        <v>4.2905494244488369E-2</v>
      </c>
      <c r="AN95" s="241" t="s">
        <v>239</v>
      </c>
      <c r="AO95" s="231">
        <v>0.17202926657263751</v>
      </c>
      <c r="AP95" s="231">
        <v>0.24011969081085799</v>
      </c>
    </row>
    <row r="96" spans="1:50" ht="16.5">
      <c r="O96" s="235" t="s">
        <v>219</v>
      </c>
      <c r="P96" s="231">
        <v>1.7708570870117603E-2</v>
      </c>
      <c r="Q96" s="231">
        <v>3.8324750694046825E-2</v>
      </c>
      <c r="S96" s="235" t="s">
        <v>230</v>
      </c>
      <c r="T96" s="231">
        <v>0.32502333412638862</v>
      </c>
      <c r="U96" s="231">
        <v>0.34510012567186626</v>
      </c>
      <c r="AB96" s="235" t="s">
        <v>225</v>
      </c>
      <c r="AC96" s="231">
        <v>0.26264406552600406</v>
      </c>
      <c r="AD96" s="231">
        <v>0.23765220264877093</v>
      </c>
      <c r="AF96" s="235" t="s">
        <v>228</v>
      </c>
      <c r="AG96" s="231">
        <v>4.7860297069450018E-2</v>
      </c>
      <c r="AH96" s="231">
        <v>0.13649648889732396</v>
      </c>
      <c r="AJ96" s="235" t="s">
        <v>236</v>
      </c>
      <c r="AK96" s="231">
        <v>0.58734073720787627</v>
      </c>
      <c r="AL96" s="231">
        <v>0.53144536717364932</v>
      </c>
      <c r="AN96" s="241" t="s">
        <v>240</v>
      </c>
      <c r="AO96" s="231">
        <v>0.1217824400564175</v>
      </c>
      <c r="AP96" s="231">
        <v>0.11258280553515464</v>
      </c>
    </row>
    <row r="97" spans="14:42" ht="16.5">
      <c r="O97" s="235" t="s">
        <v>220</v>
      </c>
      <c r="P97" s="231">
        <v>0.10368439912695053</v>
      </c>
      <c r="Q97" s="231">
        <v>8.6986599522792016E-2</v>
      </c>
      <c r="S97" s="235" t="s">
        <v>231</v>
      </c>
      <c r="T97" s="231">
        <v>0.18478431946706686</v>
      </c>
      <c r="U97" s="231">
        <v>0.1017184897058003</v>
      </c>
      <c r="AB97" s="235" t="s">
        <v>226</v>
      </c>
      <c r="AC97" s="231">
        <v>0.69583910711818719</v>
      </c>
      <c r="AD97" s="231">
        <v>0.64212903952094069</v>
      </c>
      <c r="AE97" s="295" t="s">
        <v>64</v>
      </c>
      <c r="AF97" s="288" t="s">
        <v>227</v>
      </c>
      <c r="AG97" s="289">
        <f>AG95*$AG$92</f>
        <v>2399.3920513849857</v>
      </c>
      <c r="AH97" s="289">
        <f>AH95*$AH$92</f>
        <v>2301.7549591952934</v>
      </c>
      <c r="AJ97" s="235" t="s">
        <v>237</v>
      </c>
      <c r="AK97" s="231">
        <v>0.37154731893438719</v>
      </c>
      <c r="AL97" s="231">
        <v>0.42564913858186232</v>
      </c>
      <c r="AN97" s="241" t="s">
        <v>241</v>
      </c>
      <c r="AO97" s="231">
        <v>0.15748413258110017</v>
      </c>
      <c r="AP97" s="231">
        <v>0.19219610095912623</v>
      </c>
    </row>
    <row r="98" spans="14:42" ht="16.5">
      <c r="O98" s="235" t="s">
        <v>221</v>
      </c>
      <c r="P98" s="231">
        <v>0.36661563019187543</v>
      </c>
      <c r="Q98" s="231">
        <v>0.21411141235141437</v>
      </c>
      <c r="S98" s="235" t="s">
        <v>232</v>
      </c>
      <c r="T98" s="231">
        <v>0.18993795867571969</v>
      </c>
      <c r="U98" s="231">
        <v>0.28387428030937067</v>
      </c>
      <c r="AA98" s="295" t="s">
        <v>64</v>
      </c>
      <c r="AB98" s="288" t="s">
        <v>224</v>
      </c>
      <c r="AC98" s="289">
        <f>AC95*$AC$92</f>
        <v>200.52627612855693</v>
      </c>
      <c r="AD98" s="289">
        <f>AD95*$AD$92</f>
        <v>325.16769617936404</v>
      </c>
      <c r="AF98" s="288" t="s">
        <v>228</v>
      </c>
      <c r="AG98" s="289">
        <f>AG96*$AG$92</f>
        <v>120.60794861501405</v>
      </c>
      <c r="AH98" s="289">
        <f>AH96*$AH$92</f>
        <v>363.8450408047068</v>
      </c>
      <c r="AI98" s="295" t="s">
        <v>64</v>
      </c>
      <c r="AJ98" s="288" t="s">
        <v>235</v>
      </c>
      <c r="AK98" s="289">
        <f>AK95*$AK$92</f>
        <v>60.434557470872797</v>
      </c>
      <c r="AL98" s="289">
        <f>AL95*$AL$92</f>
        <v>196.78175880292147</v>
      </c>
      <c r="AN98" s="241" t="s">
        <v>238</v>
      </c>
      <c r="AO98" s="231">
        <v>0.54870416078984496</v>
      </c>
      <c r="AP98" s="231">
        <v>0.45510140269486116</v>
      </c>
    </row>
    <row r="99" spans="14:42" ht="16.5">
      <c r="O99" s="235" t="s">
        <v>222</v>
      </c>
      <c r="P99" s="231">
        <v>0.34125158810307199</v>
      </c>
      <c r="Q99" s="231">
        <v>0.47789436038415062</v>
      </c>
      <c r="S99" s="235" t="s">
        <v>233</v>
      </c>
      <c r="T99" s="231">
        <v>2.3572042971395108E-2</v>
      </c>
      <c r="U99" s="231">
        <v>5.3577264285543484E-2</v>
      </c>
      <c r="AB99" s="288" t="s">
        <v>225</v>
      </c>
      <c r="AC99" s="289">
        <f t="shared" ref="AC99:AC100" si="62">AC96*$AC$92</f>
        <v>1268.5708364905995</v>
      </c>
      <c r="AD99" s="289">
        <f t="shared" ref="AD99:AD100" si="63">AD96*$AD$92</f>
        <v>642.80167772439563</v>
      </c>
      <c r="AE99" s="295" t="s">
        <v>2</v>
      </c>
      <c r="AF99" s="288" t="s">
        <v>227</v>
      </c>
      <c r="AG99" s="289">
        <f>AG95*$AG$93</f>
        <v>1371.0811722199919</v>
      </c>
      <c r="AH99" s="289">
        <f>AH95*$AH$93</f>
        <v>1315.2885481115961</v>
      </c>
      <c r="AJ99" s="288" t="s">
        <v>236</v>
      </c>
      <c r="AK99" s="289">
        <f t="shared" ref="AK99:AK100" si="64">AK96*$AK$92</f>
        <v>863.39088369557828</v>
      </c>
      <c r="AL99" s="289">
        <f t="shared" ref="AL99:AL100" si="65">AL96*$AL$92</f>
        <v>2437.4210320052257</v>
      </c>
      <c r="AM99" s="295" t="s">
        <v>64</v>
      </c>
      <c r="AN99" s="291" t="s">
        <v>239</v>
      </c>
      <c r="AO99" s="289">
        <f>AO95*$AO$92</f>
        <v>144.5045839210155</v>
      </c>
      <c r="AP99" s="289">
        <f>AP95*$AP$92</f>
        <v>640.06304782542315</v>
      </c>
    </row>
    <row r="100" spans="14:42" ht="16.5">
      <c r="O100" s="235" t="s">
        <v>223</v>
      </c>
      <c r="P100" s="231">
        <v>7.9792813629996406E-2</v>
      </c>
      <c r="Q100" s="231">
        <v>9.9462283048278921E-2</v>
      </c>
      <c r="S100" s="235" t="s">
        <v>234</v>
      </c>
      <c r="T100" s="231">
        <v>5.9621895646126535E-2</v>
      </c>
      <c r="U100" s="231">
        <v>0.10700906272168596</v>
      </c>
      <c r="AB100" s="288" t="s">
        <v>226</v>
      </c>
      <c r="AC100" s="289">
        <f t="shared" si="62"/>
        <v>3360.9028873808443</v>
      </c>
      <c r="AD100" s="289">
        <f t="shared" si="63"/>
        <v>1736.8306260962404</v>
      </c>
      <c r="AF100" s="288" t="s">
        <v>228</v>
      </c>
      <c r="AG100" s="289">
        <f>AG96*$AG$93</f>
        <v>68.91882778000803</v>
      </c>
      <c r="AH100" s="289">
        <f>AH96*$AH$93</f>
        <v>207.91145188840386</v>
      </c>
      <c r="AJ100" s="288" t="s">
        <v>237</v>
      </c>
      <c r="AK100" s="289">
        <f t="shared" si="64"/>
        <v>546.17455883354921</v>
      </c>
      <c r="AL100" s="289">
        <f t="shared" si="65"/>
        <v>1952.1972091918535</v>
      </c>
      <c r="AN100" s="291" t="s">
        <v>240</v>
      </c>
      <c r="AO100" s="289">
        <f t="shared" ref="AO100:AO102" si="66">AO96*$AO$92</f>
        <v>102.2972496473907</v>
      </c>
      <c r="AP100" s="289">
        <f t="shared" ref="AP100:AP102" si="67">AP96*$AP$92</f>
        <v>300.10072643450826</v>
      </c>
    </row>
    <row r="101" spans="14:42" ht="16.5">
      <c r="N101" s="295" t="s">
        <v>64</v>
      </c>
      <c r="O101" s="294" t="s">
        <v>218</v>
      </c>
      <c r="P101" s="289">
        <f>P95*$P$92</f>
        <v>286.48304394566247</v>
      </c>
      <c r="Q101" s="289">
        <f>Q95*$Q$92</f>
        <v>450.19012529870656</v>
      </c>
      <c r="R101" s="295" t="s">
        <v>64</v>
      </c>
      <c r="S101" s="288" t="s">
        <v>229</v>
      </c>
      <c r="T101" s="289">
        <f>T95*$T$92</f>
        <v>1185.1500521586354</v>
      </c>
      <c r="U101" s="289">
        <f>U95*$U$92</f>
        <v>1593.9335719238954</v>
      </c>
      <c r="AA101" s="295" t="s">
        <v>2</v>
      </c>
      <c r="AB101" s="288" t="s">
        <v>224</v>
      </c>
      <c r="AC101" s="289">
        <f>AC95*$AC$93</f>
        <v>114.58644350203254</v>
      </c>
      <c r="AD101" s="289">
        <f>AD95*$AD$93</f>
        <v>185.81011210249372</v>
      </c>
      <c r="AI101" s="295" t="s">
        <v>2</v>
      </c>
      <c r="AJ101" s="288" t="s">
        <v>235</v>
      </c>
      <c r="AK101" s="289">
        <f>AK95*$AK$93</f>
        <v>34.534032840498739</v>
      </c>
      <c r="AL101" s="289">
        <f>AL95*$AL$93</f>
        <v>112.44671931595512</v>
      </c>
      <c r="AN101" s="291" t="s">
        <v>241</v>
      </c>
      <c r="AO101" s="289">
        <f t="shared" si="66"/>
        <v>132.28667136812413</v>
      </c>
      <c r="AP101" s="289">
        <f t="shared" si="67"/>
        <v>512.31792671664698</v>
      </c>
    </row>
    <row r="102" spans="14:42" ht="16.5">
      <c r="O102" s="288" t="s">
        <v>219</v>
      </c>
      <c r="P102" s="289">
        <f t="shared" ref="P102:P106" si="68">P96*$P$92</f>
        <v>55.78199824087045</v>
      </c>
      <c r="Q102" s="289">
        <f t="shared" ref="Q102:Q106" si="69">Q96*$Q$92</f>
        <v>207.32157135451573</v>
      </c>
      <c r="S102" s="288" t="s">
        <v>230</v>
      </c>
      <c r="T102" s="289">
        <f t="shared" ref="T102:T106" si="70">T96*$T$92</f>
        <v>1774.6274043300818</v>
      </c>
      <c r="U102" s="289">
        <f t="shared" ref="U102:U106" si="71">U96*$U$92</f>
        <v>5059.4439224500966</v>
      </c>
      <c r="AB102" s="288" t="s">
        <v>225</v>
      </c>
      <c r="AC102" s="289">
        <f t="shared" ref="AC102:AC103" si="72">AC96*$AC$93</f>
        <v>724.89762085177119</v>
      </c>
      <c r="AD102" s="289">
        <f t="shared" ref="AD102:AD103" si="73">AD96*$AD$93</f>
        <v>367.31524441394038</v>
      </c>
      <c r="AJ102" s="288" t="s">
        <v>236</v>
      </c>
      <c r="AK102" s="289">
        <f t="shared" ref="AK102:AK103" si="74">AK96*$AK$93</f>
        <v>493.36621925461611</v>
      </c>
      <c r="AL102" s="289">
        <f t="shared" ref="AL102:AL103" si="75">AL96*$AL$93</f>
        <v>1392.8120182887003</v>
      </c>
      <c r="AN102" s="291" t="s">
        <v>238</v>
      </c>
      <c r="AO102" s="289">
        <f t="shared" si="66"/>
        <v>460.91149506346977</v>
      </c>
      <c r="AP102" s="289">
        <f t="shared" si="67"/>
        <v>1213.118299023422</v>
      </c>
    </row>
    <row r="103" spans="14:42" ht="16.5">
      <c r="O103" s="288" t="s">
        <v>220</v>
      </c>
      <c r="P103" s="289">
        <f t="shared" si="68"/>
        <v>326.60585724989414</v>
      </c>
      <c r="Q103" s="289">
        <f t="shared" si="69"/>
        <v>470.56270877849573</v>
      </c>
      <c r="S103" s="288" t="s">
        <v>231</v>
      </c>
      <c r="T103" s="289">
        <f t="shared" si="70"/>
        <v>1008.9223842901851</v>
      </c>
      <c r="U103" s="289">
        <f t="shared" si="71"/>
        <v>1491.274433878797</v>
      </c>
      <c r="AB103" s="288" t="s">
        <v>226</v>
      </c>
      <c r="AC103" s="289">
        <f t="shared" si="72"/>
        <v>1920.5159356461966</v>
      </c>
      <c r="AD103" s="289">
        <f t="shared" si="73"/>
        <v>992.47464348356607</v>
      </c>
      <c r="AJ103" s="288" t="s">
        <v>237</v>
      </c>
      <c r="AK103" s="289">
        <f t="shared" si="74"/>
        <v>312.09974790488531</v>
      </c>
      <c r="AL103" s="289">
        <f t="shared" si="75"/>
        <v>1115.5412623953448</v>
      </c>
      <c r="AM103" s="295" t="s">
        <v>2</v>
      </c>
      <c r="AN103" s="291" t="s">
        <v>239</v>
      </c>
      <c r="AO103" s="289">
        <f>AO95*$AO$93</f>
        <v>82.574047954866003</v>
      </c>
      <c r="AP103" s="289">
        <f>AP95*$AP$93</f>
        <v>365.75031304309891</v>
      </c>
    </row>
    <row r="104" spans="14:42" ht="16.5">
      <c r="O104" s="288" t="s">
        <v>221</v>
      </c>
      <c r="P104" s="289">
        <f t="shared" si="68"/>
        <v>1154.8392351044076</v>
      </c>
      <c r="Q104" s="289">
        <f t="shared" si="69"/>
        <v>1158.2570962562113</v>
      </c>
      <c r="S104" s="288" t="s">
        <v>232</v>
      </c>
      <c r="T104" s="289">
        <f t="shared" si="70"/>
        <v>1037.0612543694294</v>
      </c>
      <c r="U104" s="289">
        <f t="shared" si="71"/>
        <v>4161.8240487596213</v>
      </c>
      <c r="AN104" s="291" t="s">
        <v>240</v>
      </c>
      <c r="AO104" s="289">
        <f t="shared" ref="AO104:AO106" si="76">AO96*$AO$93</f>
        <v>58.455571227080398</v>
      </c>
      <c r="AP104" s="289">
        <f t="shared" ref="AP104:AP106" si="77">AP96*$AP$93</f>
        <v>171.48612939114756</v>
      </c>
    </row>
    <row r="105" spans="14:42" ht="16.5">
      <c r="O105" s="288" t="s">
        <v>222</v>
      </c>
      <c r="P105" s="289">
        <f t="shared" si="68"/>
        <v>1074.9425025246767</v>
      </c>
      <c r="Q105" s="289">
        <f t="shared" si="69"/>
        <v>2585.2173319341014</v>
      </c>
      <c r="S105" s="288" t="s">
        <v>233</v>
      </c>
      <c r="T105" s="289">
        <f t="shared" si="70"/>
        <v>128.70335462381729</v>
      </c>
      <c r="U105" s="289">
        <f t="shared" si="71"/>
        <v>785.48555623749587</v>
      </c>
      <c r="AN105" s="291" t="s">
        <v>241</v>
      </c>
      <c r="AO105" s="289">
        <f t="shared" si="76"/>
        <v>75.592383638928084</v>
      </c>
      <c r="AP105" s="289">
        <f t="shared" si="77"/>
        <v>292.7531009809411</v>
      </c>
    </row>
    <row r="106" spans="14:42" ht="16.5">
      <c r="O106" s="288" t="s">
        <v>223</v>
      </c>
      <c r="P106" s="289">
        <f t="shared" si="68"/>
        <v>251.34736293448867</v>
      </c>
      <c r="Q106" s="289">
        <f t="shared" si="69"/>
        <v>538.05116637796971</v>
      </c>
      <c r="S106" s="288" t="s">
        <v>234</v>
      </c>
      <c r="T106" s="289">
        <f t="shared" si="70"/>
        <v>325.53555022785088</v>
      </c>
      <c r="U106" s="289">
        <f t="shared" si="71"/>
        <v>1568.8384667500934</v>
      </c>
      <c r="AN106" s="291" t="s">
        <v>238</v>
      </c>
      <c r="AO106" s="289">
        <f t="shared" si="76"/>
        <v>263.3779971791256</v>
      </c>
      <c r="AP106" s="289">
        <f t="shared" si="77"/>
        <v>693.2104565848125</v>
      </c>
    </row>
    <row r="107" spans="14:42" ht="15.75">
      <c r="N107" s="295" t="s">
        <v>2</v>
      </c>
      <c r="O107" s="294" t="s">
        <v>218</v>
      </c>
      <c r="P107" s="289">
        <f>P95*$P$93</f>
        <v>163.70459654037856</v>
      </c>
      <c r="Q107" s="289">
        <f>Q95*$Q$93</f>
        <v>257.25150017068944</v>
      </c>
      <c r="R107" s="295" t="s">
        <v>2</v>
      </c>
      <c r="S107" s="288" t="s">
        <v>229</v>
      </c>
      <c r="T107" s="289">
        <f>T95*$T$93</f>
        <v>677.22860123350597</v>
      </c>
      <c r="U107" s="289">
        <f>U95*$U$93</f>
        <v>910.81918395651167</v>
      </c>
    </row>
    <row r="108" spans="14:42" ht="15.75">
      <c r="O108" s="288" t="s">
        <v>219</v>
      </c>
      <c r="P108" s="289">
        <f t="shared" ref="P108:P112" si="78">P96*$P$93</f>
        <v>31.875427566211684</v>
      </c>
      <c r="Q108" s="289">
        <f t="shared" ref="Q108:Q112" si="79">Q96*$Q$93</f>
        <v>118.46946934543756</v>
      </c>
      <c r="S108" s="288" t="s">
        <v>230</v>
      </c>
      <c r="T108" s="289">
        <f t="shared" ref="T108:T112" si="80">T96*$T$93</f>
        <v>1014.0728024743325</v>
      </c>
      <c r="U108" s="289">
        <f t="shared" ref="U108:U112" si="81">U96*$U$93</f>
        <v>2891.1108128286269</v>
      </c>
    </row>
    <row r="109" spans="14:42" ht="15.75">
      <c r="O109" s="288" t="s">
        <v>220</v>
      </c>
      <c r="P109" s="289">
        <f t="shared" si="78"/>
        <v>186.63191842851094</v>
      </c>
      <c r="Q109" s="289">
        <f t="shared" si="79"/>
        <v>268.8929764448547</v>
      </c>
      <c r="S109" s="288" t="s">
        <v>231</v>
      </c>
      <c r="T109" s="289">
        <f t="shared" si="80"/>
        <v>576.52707673724865</v>
      </c>
      <c r="U109" s="289">
        <f t="shared" si="81"/>
        <v>852.15681935931264</v>
      </c>
    </row>
    <row r="110" spans="14:42" ht="15.75">
      <c r="O110" s="288" t="s">
        <v>221</v>
      </c>
      <c r="P110" s="289">
        <f t="shared" si="78"/>
        <v>659.90813434537574</v>
      </c>
      <c r="Q110" s="289">
        <f t="shared" si="79"/>
        <v>661.86119786069219</v>
      </c>
      <c r="S110" s="288" t="s">
        <v>232</v>
      </c>
      <c r="T110" s="289">
        <f t="shared" si="80"/>
        <v>592.60643106824546</v>
      </c>
      <c r="U110" s="289">
        <f t="shared" si="81"/>
        <v>2378.1851707197839</v>
      </c>
    </row>
    <row r="111" spans="14:42" ht="15.75">
      <c r="O111" s="288" t="s">
        <v>222</v>
      </c>
      <c r="P111" s="289">
        <f t="shared" si="78"/>
        <v>614.25285858552957</v>
      </c>
      <c r="Q111" s="289">
        <f t="shared" si="79"/>
        <v>1477.2670468194865</v>
      </c>
      <c r="S111" s="288" t="s">
        <v>233</v>
      </c>
      <c r="T111" s="289">
        <f t="shared" si="80"/>
        <v>73.544774070752737</v>
      </c>
      <c r="U111" s="289">
        <f t="shared" si="81"/>
        <v>448.84888927856912</v>
      </c>
    </row>
    <row r="112" spans="14:42" ht="15.75">
      <c r="O112" s="288" t="s">
        <v>223</v>
      </c>
      <c r="P112" s="289">
        <f t="shared" si="78"/>
        <v>143.62706453399352</v>
      </c>
      <c r="Q112" s="289">
        <f t="shared" si="79"/>
        <v>307.45780935883982</v>
      </c>
      <c r="S112" s="288" t="s">
        <v>234</v>
      </c>
      <c r="T112" s="289">
        <f t="shared" si="80"/>
        <v>186.02031441591478</v>
      </c>
      <c r="U112" s="289">
        <f t="shared" si="81"/>
        <v>896.47912385719633</v>
      </c>
    </row>
    <row r="117" spans="1:41" ht="21">
      <c r="F117" s="498" t="s">
        <v>36</v>
      </c>
      <c r="G117" s="498"/>
      <c r="H117" s="498"/>
      <c r="J117" s="498" t="s">
        <v>10</v>
      </c>
      <c r="K117" s="498"/>
      <c r="O117" s="498" t="s">
        <v>15</v>
      </c>
      <c r="P117" s="498"/>
      <c r="S117" s="438" t="s">
        <v>23</v>
      </c>
      <c r="T117" s="440"/>
      <c r="W117" s="438" t="s">
        <v>12</v>
      </c>
      <c r="X117" s="440"/>
      <c r="AB117" s="438" t="s">
        <v>13</v>
      </c>
      <c r="AC117" s="440"/>
      <c r="AF117" s="438" t="s">
        <v>11</v>
      </c>
      <c r="AG117" s="440"/>
      <c r="AJ117" s="499" t="s">
        <v>16</v>
      </c>
      <c r="AK117" s="499"/>
      <c r="AN117" s="499" t="s">
        <v>14</v>
      </c>
      <c r="AO117" s="499"/>
    </row>
    <row r="118" spans="1:41" ht="21.75" thickBot="1">
      <c r="A118" s="471" t="s">
        <v>73</v>
      </c>
      <c r="B118" s="471"/>
      <c r="C118" s="471"/>
      <c r="D118" s="283" t="s">
        <v>9</v>
      </c>
      <c r="E118" s="283" t="s">
        <v>0</v>
      </c>
      <c r="F118" s="30" t="s">
        <v>21</v>
      </c>
      <c r="G118" s="29" t="s">
        <v>22</v>
      </c>
      <c r="H118" s="30" t="s">
        <v>40</v>
      </c>
      <c r="J118" s="300" t="s">
        <v>21</v>
      </c>
      <c r="K118" s="300" t="s">
        <v>22</v>
      </c>
      <c r="O118" s="300" t="s">
        <v>21</v>
      </c>
      <c r="P118" s="300" t="s">
        <v>22</v>
      </c>
      <c r="S118" s="300" t="s">
        <v>21</v>
      </c>
      <c r="T118" s="302" t="s">
        <v>22</v>
      </c>
      <c r="W118" s="300" t="s">
        <v>21</v>
      </c>
      <c r="X118" s="300" t="s">
        <v>22</v>
      </c>
      <c r="Y118" s="300" t="s">
        <v>40</v>
      </c>
      <c r="AB118" s="300" t="s">
        <v>21</v>
      </c>
      <c r="AC118" s="302" t="s">
        <v>22</v>
      </c>
      <c r="AF118" s="300" t="s">
        <v>21</v>
      </c>
      <c r="AG118" s="300" t="s">
        <v>22</v>
      </c>
      <c r="AJ118" s="300" t="s">
        <v>21</v>
      </c>
      <c r="AK118" s="300" t="s">
        <v>22</v>
      </c>
      <c r="AN118" s="300" t="s">
        <v>21</v>
      </c>
      <c r="AO118" s="300" t="s">
        <v>22</v>
      </c>
    </row>
    <row r="119" spans="1:41" ht="45">
      <c r="A119" s="151" t="s">
        <v>64</v>
      </c>
      <c r="B119" s="434" t="s">
        <v>148</v>
      </c>
      <c r="C119" s="434"/>
      <c r="D119" s="11" t="s">
        <v>316</v>
      </c>
      <c r="E119" s="11" t="s">
        <v>305</v>
      </c>
      <c r="F119" s="35">
        <v>51391.8</v>
      </c>
      <c r="G119" s="124">
        <v>138948.19999999998</v>
      </c>
      <c r="H119" s="125"/>
      <c r="J119" s="303">
        <v>5139.18</v>
      </c>
      <c r="K119" s="303">
        <v>9170.5811999999987</v>
      </c>
      <c r="O119" s="301">
        <v>7708.77</v>
      </c>
      <c r="P119" s="301">
        <v>19174.851599999998</v>
      </c>
      <c r="S119" s="301">
        <v>13361.868</v>
      </c>
      <c r="T119" s="301">
        <v>51966.626799999991</v>
      </c>
      <c r="W119" s="303">
        <v>1027.836</v>
      </c>
      <c r="X119" s="303">
        <v>13894.82</v>
      </c>
      <c r="Y119" s="304"/>
      <c r="AB119" s="301">
        <v>11820.114000000001</v>
      </c>
      <c r="AC119" s="301">
        <v>9587.4257999999991</v>
      </c>
      <c r="AF119" s="301">
        <v>6167.0160000000005</v>
      </c>
      <c r="AG119" s="301">
        <v>9448.4776000000002</v>
      </c>
      <c r="AJ119" s="301">
        <v>3597.4260000000004</v>
      </c>
      <c r="AK119" s="301">
        <v>16256.939399999999</v>
      </c>
      <c r="AN119" s="301">
        <v>2055.672</v>
      </c>
      <c r="AO119" s="301">
        <v>9448.4776000000002</v>
      </c>
    </row>
    <row r="120" spans="1:41" ht="45">
      <c r="A120" s="151" t="s">
        <v>2</v>
      </c>
      <c r="B120" s="141" t="s">
        <v>147</v>
      </c>
      <c r="C120" s="140"/>
      <c r="D120" s="11" t="s">
        <v>316</v>
      </c>
      <c r="E120" s="10" t="s">
        <v>305</v>
      </c>
      <c r="F120" s="35">
        <v>23436.000000000007</v>
      </c>
      <c r="G120" s="124">
        <v>63364.000000000007</v>
      </c>
      <c r="H120" s="125"/>
      <c r="J120" s="303">
        <v>2343.6000000000008</v>
      </c>
      <c r="K120" s="303">
        <v>4182.0240000000003</v>
      </c>
      <c r="O120" s="301">
        <v>3515.400000000001</v>
      </c>
      <c r="P120" s="301">
        <v>8744.2320000000018</v>
      </c>
      <c r="S120" s="301">
        <v>6093.3600000000024</v>
      </c>
      <c r="T120" s="301">
        <v>23698.136000000002</v>
      </c>
      <c r="W120" s="303">
        <v>468.72000000000014</v>
      </c>
      <c r="X120" s="303">
        <v>6336.4000000000015</v>
      </c>
      <c r="Y120" s="304"/>
      <c r="AB120" s="301">
        <v>5390.2800000000016</v>
      </c>
      <c r="AC120" s="301">
        <v>4372.1160000000009</v>
      </c>
      <c r="AF120" s="301">
        <v>2812.3200000000006</v>
      </c>
      <c r="AG120" s="301">
        <v>4308.7520000000004</v>
      </c>
      <c r="AJ120" s="301">
        <v>1640.5200000000007</v>
      </c>
      <c r="AK120" s="301">
        <v>7413.5880000000016</v>
      </c>
      <c r="AN120" s="301">
        <v>937.44000000000028</v>
      </c>
      <c r="AO120" s="301">
        <v>4308.7520000000004</v>
      </c>
    </row>
    <row r="121" spans="1:41" ht="45">
      <c r="A121" s="151" t="s">
        <v>3</v>
      </c>
      <c r="B121" s="434" t="s">
        <v>149</v>
      </c>
      <c r="C121" s="434"/>
      <c r="D121" s="11" t="s">
        <v>316</v>
      </c>
      <c r="E121" s="11" t="s">
        <v>305</v>
      </c>
      <c r="F121" s="35">
        <v>74827.800000000017</v>
      </c>
      <c r="G121" s="124">
        <v>202312.19999999998</v>
      </c>
      <c r="H121" s="125"/>
      <c r="J121" s="303">
        <v>7482.7800000000007</v>
      </c>
      <c r="K121" s="303">
        <v>13352.605199999998</v>
      </c>
      <c r="O121" s="301">
        <v>11224.170000000002</v>
      </c>
      <c r="P121" s="301">
        <v>27919.083599999998</v>
      </c>
      <c r="S121" s="301">
        <v>19455.228000000003</v>
      </c>
      <c r="T121" s="301">
        <v>75664.762799999997</v>
      </c>
      <c r="W121" s="303">
        <v>1496.556</v>
      </c>
      <c r="X121" s="303">
        <v>20231.22</v>
      </c>
      <c r="Y121" s="303">
        <v>0</v>
      </c>
      <c r="AB121" s="301">
        <v>17210.394000000004</v>
      </c>
      <c r="AC121" s="301">
        <v>13959.541799999999</v>
      </c>
      <c r="AF121" s="301">
        <v>8979.3360000000011</v>
      </c>
      <c r="AG121" s="301">
        <v>13757.229600000001</v>
      </c>
      <c r="AJ121" s="301">
        <v>5237.9460000000008</v>
      </c>
      <c r="AK121" s="301">
        <v>23670.527399999999</v>
      </c>
      <c r="AN121" s="301">
        <v>2993.1120000000001</v>
      </c>
      <c r="AO121" s="301">
        <v>13757.229600000001</v>
      </c>
    </row>
    <row r="122" spans="1:41" ht="26.1" customHeight="1">
      <c r="A122" s="151" t="s">
        <v>65</v>
      </c>
      <c r="B122" s="434" t="s">
        <v>150</v>
      </c>
      <c r="C122" s="434"/>
      <c r="D122" s="11" t="s">
        <v>316</v>
      </c>
      <c r="E122" s="11" t="s">
        <v>305</v>
      </c>
      <c r="F122" s="35"/>
      <c r="G122" s="36"/>
      <c r="H122" s="125">
        <v>2</v>
      </c>
      <c r="W122" s="299"/>
      <c r="X122" s="299"/>
      <c r="Y122" s="293">
        <v>2</v>
      </c>
    </row>
    <row r="123" spans="1:41" ht="30">
      <c r="A123" s="151" t="s">
        <v>66</v>
      </c>
      <c r="B123" s="434" t="s">
        <v>322</v>
      </c>
      <c r="C123" s="434"/>
      <c r="D123" s="11" t="s">
        <v>323</v>
      </c>
      <c r="E123" s="11" t="s">
        <v>81</v>
      </c>
      <c r="F123" s="35"/>
      <c r="G123" s="36">
        <v>10000</v>
      </c>
      <c r="H123" s="125"/>
      <c r="K123" s="303">
        <f>$G$123*'Impact 1 (2018-2020)'!Y96</f>
        <v>1000</v>
      </c>
      <c r="O123" s="301"/>
      <c r="P123" s="301">
        <f>$G$123*'Impact 1 (2018-2020)'!AD96</f>
        <v>1500</v>
      </c>
      <c r="S123" s="301"/>
      <c r="T123" s="301">
        <f>$G$123*'Impact 1 (2018-2020)'!AI96</f>
        <v>2600</v>
      </c>
      <c r="W123" s="303"/>
      <c r="X123" s="303">
        <f>$G$123*'Impact 1 (2018-2020)'!AN96</f>
        <v>200</v>
      </c>
      <c r="Y123" s="303"/>
      <c r="AB123" s="301"/>
      <c r="AC123" s="301">
        <f>$G$123*'Impact 1 (2018-2020)'!AS96</f>
        <v>2300</v>
      </c>
      <c r="AF123" s="301"/>
      <c r="AG123" s="301">
        <f>$G$123*'Impact 1 (2018-2020)'!AX96</f>
        <v>1200</v>
      </c>
      <c r="AJ123" s="301"/>
      <c r="AK123" s="301">
        <f>$G$123*'Impact 1 (2018-2020)'!BC96</f>
        <v>700.00000000000011</v>
      </c>
      <c r="AN123" s="301"/>
      <c r="AO123" s="301">
        <f>$G$123*'Impact 1 (2018-2020)'!BH96</f>
        <v>400</v>
      </c>
    </row>
    <row r="125" spans="1:41" ht="16.5">
      <c r="N125" s="235" t="s">
        <v>218</v>
      </c>
      <c r="O125" s="231">
        <v>9.0946998077988089E-2</v>
      </c>
      <c r="P125" s="231">
        <v>8.3220593999317236E-2</v>
      </c>
      <c r="R125" s="235" t="s">
        <v>229</v>
      </c>
      <c r="S125" s="231">
        <v>0.21706044911330319</v>
      </c>
      <c r="T125" s="231">
        <v>0.10872077730573335</v>
      </c>
      <c r="AA125" s="235" t="s">
        <v>224</v>
      </c>
      <c r="AB125" s="231">
        <v>4.1516827355808889E-2</v>
      </c>
      <c r="AC125" s="231">
        <v>0.12021875783028838</v>
      </c>
      <c r="AE125" s="235" t="s">
        <v>227</v>
      </c>
      <c r="AF125" s="231">
        <v>0.95213970293054995</v>
      </c>
      <c r="AG125" s="231">
        <v>0.86350351110267598</v>
      </c>
      <c r="AI125" s="235" t="s">
        <v>235</v>
      </c>
      <c r="AJ125" s="231">
        <v>4.1111943857736588E-2</v>
      </c>
      <c r="AK125" s="231">
        <v>4.2905494244488369E-2</v>
      </c>
      <c r="AM125" s="241" t="s">
        <v>239</v>
      </c>
      <c r="AN125" s="231">
        <v>0.17202926657263751</v>
      </c>
      <c r="AO125" s="231">
        <v>0.24011969081085799</v>
      </c>
    </row>
    <row r="126" spans="1:41" ht="16.5">
      <c r="N126" s="235" t="s">
        <v>219</v>
      </c>
      <c r="O126" s="231">
        <v>1.7708570870117603E-2</v>
      </c>
      <c r="P126" s="231">
        <v>3.8324750694046825E-2</v>
      </c>
      <c r="R126" s="235" t="s">
        <v>230</v>
      </c>
      <c r="S126" s="231">
        <v>0.32502333412638862</v>
      </c>
      <c r="T126" s="231">
        <v>0.34510012567186626</v>
      </c>
      <c r="AA126" s="235" t="s">
        <v>225</v>
      </c>
      <c r="AB126" s="231">
        <v>0.26264406552600406</v>
      </c>
      <c r="AC126" s="231">
        <v>0.23765220264877093</v>
      </c>
      <c r="AE126" s="235" t="s">
        <v>228</v>
      </c>
      <c r="AF126" s="231">
        <v>4.7860297069450018E-2</v>
      </c>
      <c r="AG126" s="231">
        <v>0.13649648889732396</v>
      </c>
      <c r="AI126" s="235" t="s">
        <v>236</v>
      </c>
      <c r="AJ126" s="231">
        <v>0.58734073720787627</v>
      </c>
      <c r="AK126" s="231">
        <v>0.53144536717364932</v>
      </c>
      <c r="AM126" s="241" t="s">
        <v>240</v>
      </c>
      <c r="AN126" s="231">
        <v>0.1217824400564175</v>
      </c>
      <c r="AO126" s="231">
        <v>0.11258280553515464</v>
      </c>
    </row>
    <row r="127" spans="1:41" ht="16.5">
      <c r="N127" s="235" t="s">
        <v>220</v>
      </c>
      <c r="O127" s="231">
        <v>0.10368439912695053</v>
      </c>
      <c r="P127" s="231">
        <v>8.6986599522792016E-2</v>
      </c>
      <c r="R127" s="235" t="s">
        <v>231</v>
      </c>
      <c r="S127" s="231">
        <v>0.18478431946706686</v>
      </c>
      <c r="T127" s="231">
        <v>0.1017184897058003</v>
      </c>
      <c r="AA127" s="235" t="s">
        <v>226</v>
      </c>
      <c r="AB127" s="231">
        <v>0.69583910711818719</v>
      </c>
      <c r="AC127" s="231">
        <v>0.64212903952094069</v>
      </c>
      <c r="AD127" s="295" t="s">
        <v>64</v>
      </c>
      <c r="AE127" s="288" t="s">
        <v>227</v>
      </c>
      <c r="AF127" s="289">
        <f>AF125*$AF$119</f>
        <v>5871.8607822079493</v>
      </c>
      <c r="AG127" s="289">
        <f>AG125*$AG$119</f>
        <v>8158.7935821749852</v>
      </c>
      <c r="AI127" s="235" t="s">
        <v>237</v>
      </c>
      <c r="AJ127" s="231">
        <v>0.37154731893438719</v>
      </c>
      <c r="AK127" s="231">
        <v>0.42564913858186232</v>
      </c>
      <c r="AM127" s="241" t="s">
        <v>241</v>
      </c>
      <c r="AN127" s="231">
        <v>0.15748413258110017</v>
      </c>
      <c r="AO127" s="231">
        <v>0.19219610095912623</v>
      </c>
    </row>
    <row r="128" spans="1:41" ht="16.5">
      <c r="N128" s="235" t="s">
        <v>221</v>
      </c>
      <c r="O128" s="231">
        <v>0.36661563019187543</v>
      </c>
      <c r="P128" s="231">
        <v>0.21411141235141437</v>
      </c>
      <c r="R128" s="235" t="s">
        <v>232</v>
      </c>
      <c r="S128" s="231">
        <v>0.18993795867571969</v>
      </c>
      <c r="T128" s="231">
        <v>0.28387428030937067</v>
      </c>
      <c r="Z128" s="295" t="s">
        <v>64</v>
      </c>
      <c r="AA128" s="288" t="s">
        <v>224</v>
      </c>
      <c r="AB128" s="289">
        <f>AB125*$AB$119</f>
        <v>490.7336322639797</v>
      </c>
      <c r="AC128" s="289">
        <f>AC125*$AC$119</f>
        <v>1152.5884204660588</v>
      </c>
      <c r="AE128" s="288" t="s">
        <v>228</v>
      </c>
      <c r="AF128" s="289">
        <f>AF126*$AF$119</f>
        <v>295.15521779205142</v>
      </c>
      <c r="AG128" s="289">
        <f>AG126*$AG$119</f>
        <v>1289.6840178250143</v>
      </c>
      <c r="AH128" s="295" t="s">
        <v>64</v>
      </c>
      <c r="AI128" s="288" t="s">
        <v>235</v>
      </c>
      <c r="AJ128" s="289">
        <f>AJ125*$AJ$119</f>
        <v>147.89717574436193</v>
      </c>
      <c r="AK128" s="289">
        <f>AK125*$AK$119</f>
        <v>697.51201985969612</v>
      </c>
      <c r="AM128" s="241" t="s">
        <v>238</v>
      </c>
      <c r="AN128" s="231">
        <v>0.54870416078984496</v>
      </c>
      <c r="AO128" s="231">
        <v>0.45510140269486116</v>
      </c>
    </row>
    <row r="129" spans="13:41" ht="16.5">
      <c r="N129" s="235" t="s">
        <v>222</v>
      </c>
      <c r="O129" s="231">
        <v>0.34125158810307199</v>
      </c>
      <c r="P129" s="231">
        <v>0.47789436038415062</v>
      </c>
      <c r="R129" s="235" t="s">
        <v>233</v>
      </c>
      <c r="S129" s="231">
        <v>2.3572042971395108E-2</v>
      </c>
      <c r="T129" s="231">
        <v>5.3577264285543484E-2</v>
      </c>
      <c r="AA129" s="288" t="s">
        <v>225</v>
      </c>
      <c r="AB129" s="289">
        <f>AB126*$AB$119</f>
        <v>3104.4827959408381</v>
      </c>
      <c r="AC129" s="289">
        <f t="shared" ref="AC129:AC130" si="82">AC126*$AC$119</f>
        <v>2278.4728591016546</v>
      </c>
      <c r="AD129" s="295" t="s">
        <v>2</v>
      </c>
      <c r="AE129" s="288" t="s">
        <v>227</v>
      </c>
      <c r="AF129" s="289">
        <f>AF125*$AF$120</f>
        <v>2677.7215293456447</v>
      </c>
      <c r="AG129" s="289">
        <f>AG125*$AG$120</f>
        <v>3720.6224804706776</v>
      </c>
      <c r="AI129" s="288" t="s">
        <v>236</v>
      </c>
      <c r="AJ129" s="289">
        <f>AJ126*$AJ$119</f>
        <v>2112.9148388907815</v>
      </c>
      <c r="AK129" s="289">
        <f t="shared" ref="AK129:AK130" si="83">AK126*$AK$119</f>
        <v>8639.6751285527662</v>
      </c>
      <c r="AL129" s="295" t="s">
        <v>64</v>
      </c>
      <c r="AM129" s="291" t="s">
        <v>239</v>
      </c>
      <c r="AN129" s="289">
        <f>AN125*$AN$119</f>
        <v>353.63574647390692</v>
      </c>
      <c r="AO129" s="289">
        <f>AO125*$AO$119</f>
        <v>2268.7655199453175</v>
      </c>
    </row>
    <row r="130" spans="13:41" ht="16.5">
      <c r="N130" s="235" t="s">
        <v>223</v>
      </c>
      <c r="O130" s="231">
        <v>7.9792813629996406E-2</v>
      </c>
      <c r="P130" s="231">
        <v>9.9462283048278921E-2</v>
      </c>
      <c r="R130" s="235" t="s">
        <v>234</v>
      </c>
      <c r="S130" s="231">
        <v>5.9621895646126535E-2</v>
      </c>
      <c r="T130" s="231">
        <v>0.10700906272168596</v>
      </c>
      <c r="AA130" s="288" t="s">
        <v>226</v>
      </c>
      <c r="AB130" s="289">
        <f>AB127*$AB$119</f>
        <v>8224.8975717951853</v>
      </c>
      <c r="AC130" s="289">
        <f t="shared" si="82"/>
        <v>6156.3645204322856</v>
      </c>
      <c r="AE130" s="288" t="s">
        <v>228</v>
      </c>
      <c r="AF130" s="289">
        <f>AF126*$AF$120</f>
        <v>134.59847065435571</v>
      </c>
      <c r="AG130" s="289">
        <f>AG126*$AG$120</f>
        <v>588.12951952932247</v>
      </c>
      <c r="AI130" s="288" t="s">
        <v>237</v>
      </c>
      <c r="AJ130" s="289">
        <f>AJ127*$AJ$119</f>
        <v>1336.6139853648569</v>
      </c>
      <c r="AK130" s="289">
        <f t="shared" si="83"/>
        <v>6919.7522515875371</v>
      </c>
      <c r="AM130" s="291" t="s">
        <v>240</v>
      </c>
      <c r="AN130" s="289">
        <f>AN126*$AN$119</f>
        <v>250.34475211565589</v>
      </c>
      <c r="AO130" s="289">
        <f t="shared" ref="AO130:AO132" si="84">AO126*$AO$119</f>
        <v>1063.7361162440645</v>
      </c>
    </row>
    <row r="131" spans="13:41" ht="16.5">
      <c r="M131" s="295" t="s">
        <v>64</v>
      </c>
      <c r="N131" s="294" t="s">
        <v>218</v>
      </c>
      <c r="O131" s="289">
        <f>O125*$O$119</f>
        <v>701.08949037365232</v>
      </c>
      <c r="P131" s="289">
        <f>P125*$P$119</f>
        <v>1595.7425400007583</v>
      </c>
      <c r="Q131" s="295" t="s">
        <v>64</v>
      </c>
      <c r="R131" s="288" t="s">
        <v>229</v>
      </c>
      <c r="S131" s="289">
        <f>S125*$S$119</f>
        <v>2900.3330690726743</v>
      </c>
      <c r="T131" s="289">
        <f>T125*$T$119</f>
        <v>5649.8520596529534</v>
      </c>
      <c r="Z131" s="295" t="s">
        <v>2</v>
      </c>
      <c r="AA131" s="288" t="s">
        <v>224</v>
      </c>
      <c r="AB131" s="289">
        <f>AB125*$AB$120</f>
        <v>223.78732415946959</v>
      </c>
      <c r="AC131" s="289">
        <f>AC125*$AC$120</f>
        <v>525.61035460992923</v>
      </c>
      <c r="AD131" s="295" t="s">
        <v>3</v>
      </c>
      <c r="AE131" s="288" t="s">
        <v>227</v>
      </c>
      <c r="AF131" s="289">
        <f>AF125*$AF$121</f>
        <v>8549.5823115535932</v>
      </c>
      <c r="AG131" s="289">
        <f>AG125*$AG$121</f>
        <v>11879.416062645663</v>
      </c>
      <c r="AH131" s="295" t="s">
        <v>2</v>
      </c>
      <c r="AI131" s="288" t="s">
        <v>235</v>
      </c>
      <c r="AJ131" s="289">
        <f>AJ125*$AJ$120</f>
        <v>67.444966137494049</v>
      </c>
      <c r="AK131" s="289">
        <f>AK125*$AK$120</f>
        <v>318.08365726500813</v>
      </c>
      <c r="AM131" s="291" t="s">
        <v>241</v>
      </c>
      <c r="AN131" s="289">
        <f>AN127*$AN$119</f>
        <v>323.73572179125534</v>
      </c>
      <c r="AO131" s="289">
        <f t="shared" si="84"/>
        <v>1815.9605547196427</v>
      </c>
    </row>
    <row r="132" spans="13:41" ht="16.5">
      <c r="N132" s="288" t="s">
        <v>219</v>
      </c>
      <c r="O132" s="289">
        <f t="shared" ref="O132:O136" si="85">O126*$O$119</f>
        <v>136.51129986643647</v>
      </c>
      <c r="P132" s="289">
        <f t="shared" ref="P132:P136" si="86">P126*$P$119</f>
        <v>734.87140716534475</v>
      </c>
      <c r="R132" s="288" t="s">
        <v>230</v>
      </c>
      <c r="S132" s="289">
        <f t="shared" ref="S132:S136" si="87">S126*$S$119</f>
        <v>4342.9188875167001</v>
      </c>
      <c r="T132" s="289">
        <f t="shared" ref="T132:T136" si="88">T126*$T$119</f>
        <v>17933.689439422971</v>
      </c>
      <c r="AA132" s="288" t="s">
        <v>225</v>
      </c>
      <c r="AB132" s="289">
        <f>AB126*$AB$120</f>
        <v>1415.7250535235096</v>
      </c>
      <c r="AC132" s="289">
        <f>AC126*$AC$120</f>
        <v>1039.0429976359339</v>
      </c>
      <c r="AE132" s="288" t="s">
        <v>228</v>
      </c>
      <c r="AF132" s="289">
        <f>AF126*$AF$121</f>
        <v>429.75368844640712</v>
      </c>
      <c r="AG132" s="289">
        <f>AG126*$AG$121</f>
        <v>1877.8135373543366</v>
      </c>
      <c r="AI132" s="288" t="s">
        <v>236</v>
      </c>
      <c r="AJ132" s="289">
        <f>AJ126*$AJ$120</f>
        <v>963.54422620426556</v>
      </c>
      <c r="AK132" s="289">
        <f t="shared" ref="AK132:AK133" si="89">AK126*$AK$120</f>
        <v>3939.9169967341613</v>
      </c>
      <c r="AM132" s="291" t="s">
        <v>238</v>
      </c>
      <c r="AN132" s="289">
        <f>AN128*$AN$119</f>
        <v>1127.9557796191823</v>
      </c>
      <c r="AO132" s="289">
        <f t="shared" si="84"/>
        <v>4300.0154090909755</v>
      </c>
    </row>
    <row r="133" spans="13:41" ht="16.5">
      <c r="N133" s="288" t="s">
        <v>220</v>
      </c>
      <c r="O133" s="289">
        <f t="shared" si="85"/>
        <v>799.27918545786247</v>
      </c>
      <c r="P133" s="289">
        <f t="shared" si="86"/>
        <v>1667.9551370381675</v>
      </c>
      <c r="R133" s="288" t="s">
        <v>231</v>
      </c>
      <c r="S133" s="289">
        <f t="shared" si="87"/>
        <v>2469.063685188778</v>
      </c>
      <c r="T133" s="289">
        <f t="shared" si="88"/>
        <v>5285.9667932009652</v>
      </c>
      <c r="AA133" s="288" t="s">
        <v>226</v>
      </c>
      <c r="AB133" s="289">
        <f>AB127*$AB$120</f>
        <v>3750.7676223170233</v>
      </c>
      <c r="AC133" s="289">
        <f>AC127*$AC$120</f>
        <v>2807.4626477541378</v>
      </c>
      <c r="AD133" s="295" t="s">
        <v>66</v>
      </c>
      <c r="AE133" s="288" t="s">
        <v>227</v>
      </c>
      <c r="AG133" s="289">
        <f>AG125*$AG$123</f>
        <v>1036.2042133232112</v>
      </c>
      <c r="AI133" s="288" t="s">
        <v>237</v>
      </c>
      <c r="AJ133" s="289">
        <f>AJ127*$AJ$120</f>
        <v>609.53080765824109</v>
      </c>
      <c r="AK133" s="289">
        <f t="shared" si="89"/>
        <v>3155.587346000832</v>
      </c>
      <c r="AL133" s="295" t="s">
        <v>2</v>
      </c>
      <c r="AM133" s="291" t="s">
        <v>239</v>
      </c>
      <c r="AN133" s="289">
        <f>AN125*$AN$120</f>
        <v>161.26711565585336</v>
      </c>
      <c r="AO133" s="289">
        <f>AO125*$AO$120</f>
        <v>1034.6161980206662</v>
      </c>
    </row>
    <row r="134" spans="13:41" ht="16.5">
      <c r="N134" s="288" t="s">
        <v>221</v>
      </c>
      <c r="O134" s="289">
        <f t="shared" si="85"/>
        <v>2826.1555715542236</v>
      </c>
      <c r="P134" s="289">
        <f t="shared" si="86"/>
        <v>4105.5545577047769</v>
      </c>
      <c r="R134" s="288" t="s">
        <v>232</v>
      </c>
      <c r="S134" s="289">
        <f t="shared" si="87"/>
        <v>2537.9259320144215</v>
      </c>
      <c r="T134" s="289">
        <f t="shared" si="88"/>
        <v>14751.988782955652</v>
      </c>
      <c r="Z134" s="295" t="s">
        <v>3</v>
      </c>
      <c r="AA134" s="288" t="s">
        <v>224</v>
      </c>
      <c r="AB134" s="289">
        <f>AB125*$AB$121</f>
        <v>714.52095642344932</v>
      </c>
      <c r="AC134" s="289">
        <f>AC125*$AC$121</f>
        <v>1678.1987750759877</v>
      </c>
      <c r="AE134" s="288" t="s">
        <v>228</v>
      </c>
      <c r="AG134" s="289">
        <f>AG126*$AG$123</f>
        <v>163.79578667678877</v>
      </c>
      <c r="AH134" s="295" t="s">
        <v>3</v>
      </c>
      <c r="AI134" s="288" t="s">
        <v>235</v>
      </c>
      <c r="AJ134" s="289">
        <f>AJ125*$AJ$121</f>
        <v>215.34214188185595</v>
      </c>
      <c r="AK134" s="289">
        <f>AK125*$AK$121</f>
        <v>1015.5956771247043</v>
      </c>
      <c r="AM134" s="291" t="s">
        <v>240</v>
      </c>
      <c r="AN134" s="289">
        <f>AN126*$AN$120</f>
        <v>114.16373060648806</v>
      </c>
      <c r="AO134" s="289">
        <f>AO126*$AO$120</f>
        <v>485.09138851520868</v>
      </c>
    </row>
    <row r="135" spans="13:41" ht="16.5">
      <c r="N135" s="288" t="s">
        <v>222</v>
      </c>
      <c r="O135" s="289">
        <f t="shared" si="85"/>
        <v>2630.6300048213184</v>
      </c>
      <c r="P135" s="289">
        <f t="shared" si="86"/>
        <v>9163.5534408430067</v>
      </c>
      <c r="R135" s="288" t="s">
        <v>233</v>
      </c>
      <c r="S135" s="289">
        <f t="shared" si="87"/>
        <v>314.96652667410922</v>
      </c>
      <c r="T135" s="289">
        <f t="shared" si="88"/>
        <v>2784.2296980918063</v>
      </c>
      <c r="AA135" s="288" t="s">
        <v>225</v>
      </c>
      <c r="AB135" s="289">
        <f t="shared" ref="AB135:AB136" si="90">AB126*$AB$121</f>
        <v>4520.2078494643483</v>
      </c>
      <c r="AC135" s="289">
        <f t="shared" ref="AC135:AC136" si="91">AC126*$AC$121</f>
        <v>3317.5158567375884</v>
      </c>
      <c r="AI135" s="288" t="s">
        <v>236</v>
      </c>
      <c r="AJ135" s="289">
        <f t="shared" ref="AJ135:AJ136" si="92">AJ126*$AJ$121</f>
        <v>3076.4590650950472</v>
      </c>
      <c r="AK135" s="289">
        <f t="shared" ref="AK135:AK136" si="93">AK126*$AK$121</f>
        <v>12579.592125286927</v>
      </c>
      <c r="AM135" s="291" t="s">
        <v>241</v>
      </c>
      <c r="AN135" s="289">
        <f>AN127*$AN$120</f>
        <v>147.6319252468266</v>
      </c>
      <c r="AO135" s="289">
        <f>AO127*$AO$120</f>
        <v>828.12533439983713</v>
      </c>
    </row>
    <row r="136" spans="13:41" ht="16.5">
      <c r="N136" s="288" t="s">
        <v>223</v>
      </c>
      <c r="O136" s="289">
        <f t="shared" si="85"/>
        <v>615.10444792650742</v>
      </c>
      <c r="P136" s="289">
        <f t="shared" si="86"/>
        <v>1907.1745172479439</v>
      </c>
      <c r="R136" s="288" t="s">
        <v>234</v>
      </c>
      <c r="S136" s="289">
        <f t="shared" si="87"/>
        <v>796.65989953331746</v>
      </c>
      <c r="T136" s="289">
        <f t="shared" si="88"/>
        <v>5560.9000266756457</v>
      </c>
      <c r="AA136" s="288" t="s">
        <v>226</v>
      </c>
      <c r="AB136" s="289">
        <f t="shared" si="90"/>
        <v>11975.665194112209</v>
      </c>
      <c r="AC136" s="289">
        <f t="shared" si="91"/>
        <v>8963.8271681864226</v>
      </c>
      <c r="AI136" s="288" t="s">
        <v>237</v>
      </c>
      <c r="AJ136" s="289">
        <f t="shared" si="92"/>
        <v>1946.1447930230979</v>
      </c>
      <c r="AK136" s="289">
        <f t="shared" si="93"/>
        <v>10075.339597588369</v>
      </c>
      <c r="AM136" s="291" t="s">
        <v>238</v>
      </c>
      <c r="AN136" s="289">
        <f>AN128*$AN$120</f>
        <v>514.37722849083241</v>
      </c>
      <c r="AO136" s="289">
        <f>AO128*$AO$120</f>
        <v>1960.9190790642886</v>
      </c>
    </row>
    <row r="137" spans="13:41" ht="16.5">
      <c r="M137" s="295" t="s">
        <v>2</v>
      </c>
      <c r="N137" s="294" t="s">
        <v>218</v>
      </c>
      <c r="O137" s="289">
        <f>O125*$O$120</f>
        <v>319.71507704335943</v>
      </c>
      <c r="P137" s="289">
        <f>P125*$P$120</f>
        <v>727.70018110783792</v>
      </c>
      <c r="Q137" s="295" t="s">
        <v>2</v>
      </c>
      <c r="R137" s="288" t="s">
        <v>229</v>
      </c>
      <c r="S137" s="289">
        <f>S125*$S$120</f>
        <v>1322.6274582090377</v>
      </c>
      <c r="T137" s="289">
        <f>T125*$T$120</f>
        <v>2576.4797666169825</v>
      </c>
      <c r="Z137" s="295" t="s">
        <v>66</v>
      </c>
      <c r="AA137" s="288" t="s">
        <v>224</v>
      </c>
      <c r="AC137" s="289">
        <f>AC125*$AC$123</f>
        <v>276.50314300966329</v>
      </c>
      <c r="AH137" s="295" t="s">
        <v>66</v>
      </c>
      <c r="AI137" s="288" t="s">
        <v>235</v>
      </c>
      <c r="AK137" s="289">
        <f>AK125*$AK$123</f>
        <v>30.033845971141865</v>
      </c>
      <c r="AL137" s="295" t="s">
        <v>3</v>
      </c>
      <c r="AM137" s="291" t="s">
        <v>239</v>
      </c>
      <c r="AN137" s="289">
        <f>AN125*$AN$121</f>
        <v>514.90286212976025</v>
      </c>
      <c r="AO137" s="289">
        <f>AO125*$AO$121</f>
        <v>3303.3817179659836</v>
      </c>
    </row>
    <row r="138" spans="13:41" ht="16.5">
      <c r="N138" s="288" t="s">
        <v>219</v>
      </c>
      <c r="O138" s="289">
        <f t="shared" ref="O138:O142" si="94">O126*$O$120</f>
        <v>62.252710036811436</v>
      </c>
      <c r="P138" s="289">
        <f t="shared" ref="P138:P142" si="95">P126*$P$120</f>
        <v>335.12051141090654</v>
      </c>
      <c r="R138" s="288" t="s">
        <v>230</v>
      </c>
      <c r="S138" s="289">
        <f t="shared" ref="S138:S142" si="96">S126*$S$120</f>
        <v>1980.4841832323721</v>
      </c>
      <c r="T138" s="289">
        <f t="shared" ref="T138:T142" si="97">T126*$T$120</f>
        <v>8178.2297117889793</v>
      </c>
      <c r="AA138" s="288" t="s">
        <v>225</v>
      </c>
      <c r="AC138" s="289">
        <f t="shared" ref="AC138:AC139" si="98">AC126*$AC$123</f>
        <v>546.60006609217317</v>
      </c>
      <c r="AI138" s="288" t="s">
        <v>236</v>
      </c>
      <c r="AK138" s="289">
        <f t="shared" ref="AK138:AK139" si="99">AK126*$AK$123</f>
        <v>372.01175702155456</v>
      </c>
      <c r="AM138" s="291" t="s">
        <v>240</v>
      </c>
      <c r="AN138" s="289">
        <f t="shared" ref="AN138:AN140" si="100">AN126*$AN$121</f>
        <v>364.50848272214392</v>
      </c>
      <c r="AO138" s="289">
        <f t="shared" ref="AO138:AO140" si="101">AO126*$AO$121</f>
        <v>1548.8275047592733</v>
      </c>
    </row>
    <row r="139" spans="13:41" ht="16.5">
      <c r="N139" s="288" t="s">
        <v>220</v>
      </c>
      <c r="O139" s="289">
        <f t="shared" si="94"/>
        <v>364.49213669088198</v>
      </c>
      <c r="P139" s="289">
        <f t="shared" si="95"/>
        <v>760.63100711838285</v>
      </c>
      <c r="R139" s="288" t="s">
        <v>231</v>
      </c>
      <c r="S139" s="289">
        <f t="shared" si="96"/>
        <v>1125.957380867847</v>
      </c>
      <c r="T139" s="289">
        <f t="shared" si="97"/>
        <v>2410.538602762656</v>
      </c>
      <c r="AA139" s="288" t="s">
        <v>226</v>
      </c>
      <c r="AC139" s="289">
        <f t="shared" si="98"/>
        <v>1476.8967908981635</v>
      </c>
      <c r="AI139" s="288" t="s">
        <v>237</v>
      </c>
      <c r="AK139" s="289">
        <f t="shared" si="99"/>
        <v>297.95439700730367</v>
      </c>
      <c r="AM139" s="291" t="s">
        <v>241</v>
      </c>
      <c r="AN139" s="289">
        <f t="shared" si="100"/>
        <v>471.36764703808188</v>
      </c>
      <c r="AO139" s="289">
        <f t="shared" si="101"/>
        <v>2644.0858891194798</v>
      </c>
    </row>
    <row r="140" spans="13:41" ht="16.5">
      <c r="N140" s="288" t="s">
        <v>221</v>
      </c>
      <c r="O140" s="289">
        <f t="shared" si="94"/>
        <v>1288.8005863765193</v>
      </c>
      <c r="P140" s="289">
        <f t="shared" si="95"/>
        <v>1872.2398634484332</v>
      </c>
      <c r="R140" s="288" t="s">
        <v>232</v>
      </c>
      <c r="S140" s="289">
        <f t="shared" si="96"/>
        <v>1157.3603598762838</v>
      </c>
      <c r="T140" s="289">
        <f t="shared" si="97"/>
        <v>6727.2913016735893</v>
      </c>
      <c r="AM140" s="291" t="s">
        <v>238</v>
      </c>
      <c r="AN140" s="289">
        <f t="shared" si="100"/>
        <v>1642.3330081100146</v>
      </c>
      <c r="AO140" s="289">
        <f t="shared" si="101"/>
        <v>6260.9344881552643</v>
      </c>
    </row>
    <row r="141" spans="13:41" ht="16.5">
      <c r="N141" s="288" t="s">
        <v>222</v>
      </c>
      <c r="O141" s="289">
        <f t="shared" si="94"/>
        <v>1199.6358328175397</v>
      </c>
      <c r="P141" s="289">
        <f t="shared" si="95"/>
        <v>4178.8191586906232</v>
      </c>
      <c r="R141" s="288" t="s">
        <v>233</v>
      </c>
      <c r="S141" s="289">
        <f t="shared" si="96"/>
        <v>143.63294376018015</v>
      </c>
      <c r="T141" s="289">
        <f t="shared" si="97"/>
        <v>1269.6812955467524</v>
      </c>
      <c r="AL141" s="295" t="s">
        <v>66</v>
      </c>
      <c r="AM141" s="291" t="s">
        <v>239</v>
      </c>
      <c r="AO141" s="289">
        <f>AO125*$AO$123</f>
        <v>96.047876324343193</v>
      </c>
    </row>
    <row r="142" spans="13:41" ht="16.5">
      <c r="N142" s="288" t="s">
        <v>223</v>
      </c>
      <c r="O142" s="289">
        <f t="shared" si="94"/>
        <v>280.50365703488944</v>
      </c>
      <c r="P142" s="289">
        <f t="shared" si="95"/>
        <v>869.72127822381822</v>
      </c>
      <c r="R142" s="288" t="s">
        <v>234</v>
      </c>
      <c r="S142" s="289">
        <f t="shared" si="96"/>
        <v>363.29767405428174</v>
      </c>
      <c r="T142" s="289">
        <f t="shared" si="97"/>
        <v>2535.9153216110444</v>
      </c>
      <c r="AM142" s="291" t="s">
        <v>240</v>
      </c>
      <c r="AO142" s="289">
        <f t="shared" ref="AO142:AO144" si="102">AO126*$AO$123</f>
        <v>45.033122214061855</v>
      </c>
    </row>
    <row r="143" spans="13:41" ht="16.5">
      <c r="M143" s="295" t="s">
        <v>3</v>
      </c>
      <c r="N143" s="294" t="s">
        <v>218</v>
      </c>
      <c r="O143" s="289">
        <f>O125*$O$121</f>
        <v>1020.8045674170118</v>
      </c>
      <c r="P143" s="289">
        <f>P125*$P$121</f>
        <v>2323.4427211085963</v>
      </c>
      <c r="Q143" s="295" t="s">
        <v>3</v>
      </c>
      <c r="R143" s="288" t="s">
        <v>229</v>
      </c>
      <c r="S143" s="289">
        <f>S125*$S$121</f>
        <v>4222.9605272817116</v>
      </c>
      <c r="T143" s="289">
        <f>T125*$T$121</f>
        <v>8226.3318262699358</v>
      </c>
      <c r="AM143" s="291" t="s">
        <v>241</v>
      </c>
      <c r="AO143" s="289">
        <f t="shared" si="102"/>
        <v>76.878440383650499</v>
      </c>
    </row>
    <row r="144" spans="13:41" ht="16.5">
      <c r="N144" s="288" t="s">
        <v>219</v>
      </c>
      <c r="O144" s="289">
        <f t="shared" ref="O144:O148" si="103">O126*$O$121</f>
        <v>198.76400990324794</v>
      </c>
      <c r="P144" s="289">
        <f t="shared" ref="P144:P148" si="104">P126*$P$121</f>
        <v>1069.9919185762512</v>
      </c>
      <c r="R144" s="288" t="s">
        <v>230</v>
      </c>
      <c r="S144" s="289">
        <f t="shared" ref="S144:S148" si="105">S126*$S$121</f>
        <v>6323.403070749072</v>
      </c>
      <c r="T144" s="289">
        <f t="shared" ref="T144:T148" si="106">T126*$T$121</f>
        <v>26111.919151211951</v>
      </c>
      <c r="AM144" s="291" t="s">
        <v>238</v>
      </c>
      <c r="AO144" s="289">
        <f t="shared" si="102"/>
        <v>182.04056107794446</v>
      </c>
    </row>
    <row r="145" spans="13:20" ht="15.75">
      <c r="N145" s="288" t="s">
        <v>220</v>
      </c>
      <c r="O145" s="289">
        <f t="shared" si="103"/>
        <v>1163.7713221487445</v>
      </c>
      <c r="P145" s="289">
        <f t="shared" si="104"/>
        <v>2428.5861441565503</v>
      </c>
      <c r="R145" s="288" t="s">
        <v>231</v>
      </c>
      <c r="S145" s="289">
        <f t="shared" si="105"/>
        <v>3595.0210660566249</v>
      </c>
      <c r="T145" s="289">
        <f t="shared" si="106"/>
        <v>7696.5053959636216</v>
      </c>
    </row>
    <row r="146" spans="13:20" ht="15.75">
      <c r="N146" s="288" t="s">
        <v>221</v>
      </c>
      <c r="O146" s="289">
        <f t="shared" si="103"/>
        <v>4114.9561579307428</v>
      </c>
      <c r="P146" s="289">
        <f t="shared" si="104"/>
        <v>5977.7944211532104</v>
      </c>
      <c r="R146" s="288" t="s">
        <v>232</v>
      </c>
      <c r="S146" s="289">
        <f t="shared" si="105"/>
        <v>3695.2862918907053</v>
      </c>
      <c r="T146" s="289">
        <f t="shared" si="106"/>
        <v>21479.280084629241</v>
      </c>
    </row>
    <row r="147" spans="13:20" ht="15.75">
      <c r="N147" s="288" t="s">
        <v>222</v>
      </c>
      <c r="O147" s="289">
        <f t="shared" si="103"/>
        <v>3830.2658376388581</v>
      </c>
      <c r="P147" s="289">
        <f t="shared" si="104"/>
        <v>13342.372599533628</v>
      </c>
      <c r="R147" s="288" t="s">
        <v>233</v>
      </c>
      <c r="S147" s="289">
        <f t="shared" si="105"/>
        <v>458.59947043428934</v>
      </c>
      <c r="T147" s="289">
        <f t="shared" si="106"/>
        <v>4053.9109936385589</v>
      </c>
    </row>
    <row r="148" spans="13:20" ht="15.75">
      <c r="N148" s="288" t="s">
        <v>223</v>
      </c>
      <c r="O148" s="289">
        <f t="shared" si="103"/>
        <v>895.60810496139686</v>
      </c>
      <c r="P148" s="289">
        <f t="shared" si="104"/>
        <v>2776.8957954717616</v>
      </c>
      <c r="R148" s="288" t="s">
        <v>234</v>
      </c>
      <c r="S148" s="289">
        <f t="shared" si="105"/>
        <v>1159.9575735875992</v>
      </c>
      <c r="T148" s="289">
        <f t="shared" si="106"/>
        <v>8096.8153482866901</v>
      </c>
    </row>
    <row r="149" spans="13:20" ht="15.75">
      <c r="M149" s="295" t="s">
        <v>66</v>
      </c>
      <c r="N149" s="294" t="s">
        <v>218</v>
      </c>
      <c r="P149" s="289">
        <f>$P$123*P125</f>
        <v>124.83089099897586</v>
      </c>
      <c r="Q149" s="295" t="s">
        <v>66</v>
      </c>
      <c r="R149" s="288" t="s">
        <v>229</v>
      </c>
      <c r="T149" s="289">
        <f>$T$123*T125</f>
        <v>282.6740209949067</v>
      </c>
    </row>
    <row r="150" spans="13:20" ht="15.75">
      <c r="N150" s="288" t="s">
        <v>219</v>
      </c>
      <c r="P150" s="289">
        <f t="shared" ref="P150:P154" si="107">$P$123*P126</f>
        <v>57.48712604107024</v>
      </c>
      <c r="R150" s="288" t="s">
        <v>230</v>
      </c>
      <c r="T150" s="289">
        <f t="shared" ref="T150:T154" si="108">$T$123*T126</f>
        <v>897.26032674685234</v>
      </c>
    </row>
    <row r="151" spans="13:20" ht="15.75">
      <c r="N151" s="288" t="s">
        <v>220</v>
      </c>
      <c r="P151" s="289">
        <f t="shared" si="107"/>
        <v>130.47989928418804</v>
      </c>
      <c r="R151" s="288" t="s">
        <v>231</v>
      </c>
      <c r="T151" s="289">
        <f t="shared" si="108"/>
        <v>264.46807323508079</v>
      </c>
    </row>
    <row r="152" spans="13:20" ht="15.75">
      <c r="N152" s="288" t="s">
        <v>221</v>
      </c>
      <c r="P152" s="289">
        <f t="shared" si="107"/>
        <v>321.16711852712154</v>
      </c>
      <c r="R152" s="288" t="s">
        <v>232</v>
      </c>
      <c r="T152" s="289">
        <f t="shared" si="108"/>
        <v>738.07312880436371</v>
      </c>
    </row>
    <row r="153" spans="13:20" ht="15.75">
      <c r="N153" s="288" t="s">
        <v>222</v>
      </c>
      <c r="P153" s="289">
        <f t="shared" si="107"/>
        <v>716.84154057622595</v>
      </c>
      <c r="R153" s="288" t="s">
        <v>233</v>
      </c>
      <c r="T153" s="289">
        <f t="shared" si="108"/>
        <v>139.30088714241305</v>
      </c>
    </row>
    <row r="154" spans="13:20" ht="15.75">
      <c r="N154" s="288" t="s">
        <v>223</v>
      </c>
      <c r="P154" s="289">
        <f t="shared" si="107"/>
        <v>149.19342457241839</v>
      </c>
      <c r="R154" s="288" t="s">
        <v>234</v>
      </c>
      <c r="T154" s="289">
        <f t="shared" si="108"/>
        <v>278.22356307638353</v>
      </c>
    </row>
  </sheetData>
  <mergeCells count="60">
    <mergeCell ref="J90:K90"/>
    <mergeCell ref="P90:Q90"/>
    <mergeCell ref="F31:H31"/>
    <mergeCell ref="B94:C94"/>
    <mergeCell ref="AF117:AG117"/>
    <mergeCell ref="F117:H117"/>
    <mergeCell ref="T90:U90"/>
    <mergeCell ref="X90:Y90"/>
    <mergeCell ref="AC90:AD90"/>
    <mergeCell ref="AG90:AH90"/>
    <mergeCell ref="F90:H90"/>
    <mergeCell ref="AJ117:AK117"/>
    <mergeCell ref="AN117:AO117"/>
    <mergeCell ref="S117:T117"/>
    <mergeCell ref="W117:X117"/>
    <mergeCell ref="J117:K117"/>
    <mergeCell ref="O117:P117"/>
    <mergeCell ref="AB117:AC117"/>
    <mergeCell ref="AR31:AT31"/>
    <mergeCell ref="AM31:AO31"/>
    <mergeCell ref="O31:Q31"/>
    <mergeCell ref="T31:V31"/>
    <mergeCell ref="X31:Z31"/>
    <mergeCell ref="AC31:AE31"/>
    <mergeCell ref="AH31:AJ31"/>
    <mergeCell ref="AK90:AL90"/>
    <mergeCell ref="AO90:AP90"/>
    <mergeCell ref="F1:H1"/>
    <mergeCell ref="J31:L31"/>
    <mergeCell ref="A31:C31"/>
    <mergeCell ref="B33:C33"/>
    <mergeCell ref="T1:V1"/>
    <mergeCell ref="O1:Q1"/>
    <mergeCell ref="J1:L1"/>
    <mergeCell ref="B6:C6"/>
    <mergeCell ref="B7:C7"/>
    <mergeCell ref="A1:C1"/>
    <mergeCell ref="B3:C3"/>
    <mergeCell ref="B4:C4"/>
    <mergeCell ref="B5:C5"/>
    <mergeCell ref="B34:C34"/>
    <mergeCell ref="AR1:AT1"/>
    <mergeCell ref="AM1:AO1"/>
    <mergeCell ref="AH1:AJ1"/>
    <mergeCell ref="AC1:AE1"/>
    <mergeCell ref="X1:Z1"/>
    <mergeCell ref="B123:C123"/>
    <mergeCell ref="B35:C35"/>
    <mergeCell ref="B36:C36"/>
    <mergeCell ref="B37:C37"/>
    <mergeCell ref="A91:C91"/>
    <mergeCell ref="B92:C92"/>
    <mergeCell ref="B38:C38"/>
    <mergeCell ref="B40:C40"/>
    <mergeCell ref="B39:C39"/>
    <mergeCell ref="B122:C122"/>
    <mergeCell ref="B119:C119"/>
    <mergeCell ref="B121:C121"/>
    <mergeCell ref="A118:C118"/>
    <mergeCell ref="B93:C9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opLeftCell="A15" workbookViewId="0">
      <selection activeCell="G33" sqref="G33:G36"/>
    </sheetView>
  </sheetViews>
  <sheetFormatPr defaultColWidth="8.85546875" defaultRowHeight="15"/>
  <cols>
    <col min="2" max="2" width="10.140625" bestFit="1" customWidth="1"/>
    <col min="3" max="3" width="11.140625" bestFit="1" customWidth="1"/>
    <col min="4" max="4" width="11.42578125" customWidth="1"/>
    <col min="5" max="6" width="8.85546875" hidden="1" customWidth="1"/>
    <col min="7" max="8" width="11.7109375" style="258" customWidth="1"/>
    <col min="9" max="9" width="0" hidden="1" customWidth="1"/>
    <col min="10" max="10" width="11.7109375" hidden="1" customWidth="1"/>
    <col min="15" max="15" width="12.42578125" customWidth="1"/>
    <col min="20" max="20" width="12.140625" customWidth="1"/>
    <col min="25" max="25" width="12" customWidth="1"/>
    <col min="30" max="30" width="11" customWidth="1"/>
  </cols>
  <sheetData>
    <row r="1" spans="1:30" ht="29.25" customHeight="1">
      <c r="D1" s="181"/>
      <c r="L1" s="500">
        <v>2017</v>
      </c>
      <c r="M1" s="501"/>
      <c r="N1" s="501"/>
      <c r="O1" s="502"/>
      <c r="Q1" s="500">
        <v>2018</v>
      </c>
      <c r="R1" s="501"/>
      <c r="S1" s="501"/>
      <c r="T1" s="502"/>
      <c r="V1" s="500">
        <v>2019</v>
      </c>
      <c r="W1" s="501"/>
      <c r="X1" s="501"/>
      <c r="Y1" s="502"/>
      <c r="AA1" s="500">
        <v>2020</v>
      </c>
      <c r="AB1" s="501"/>
      <c r="AC1" s="501"/>
      <c r="AD1" s="502"/>
    </row>
    <row r="2" spans="1:30" ht="94.5" customHeight="1">
      <c r="A2" s="226" t="s">
        <v>211</v>
      </c>
      <c r="B2" s="155" t="s">
        <v>319</v>
      </c>
      <c r="C2" s="155" t="s">
        <v>156</v>
      </c>
      <c r="D2" s="155" t="s">
        <v>213</v>
      </c>
      <c r="E2" s="155" t="s">
        <v>317</v>
      </c>
      <c r="F2" s="155" t="s">
        <v>318</v>
      </c>
      <c r="G2" s="155" t="s">
        <v>320</v>
      </c>
      <c r="H2" s="155" t="s">
        <v>321</v>
      </c>
      <c r="I2" s="155" t="s">
        <v>113</v>
      </c>
      <c r="J2" s="155" t="s">
        <v>114</v>
      </c>
      <c r="K2" s="155" t="e">
        <f>'[2]Kamal Original'!H32</f>
        <v>#REF!</v>
      </c>
      <c r="L2" s="155" t="e">
        <f>'[2]Kamal Original'!I32</f>
        <v>#REF!</v>
      </c>
      <c r="M2" s="155" t="e">
        <f>'[2]Kamal Original'!J32</f>
        <v>#REF!</v>
      </c>
      <c r="N2" s="155" t="e">
        <f>'[2]Kamal Original'!K32</f>
        <v>#REF!</v>
      </c>
      <c r="O2" s="155" t="e">
        <f>'[2]Kamal Original'!L32</f>
        <v>#REF!</v>
      </c>
      <c r="P2" s="155" t="e">
        <f>'[2]Kamal Original'!M32</f>
        <v>#REF!</v>
      </c>
      <c r="Q2" s="155" t="e">
        <f>'[2]Kamal Original'!N32</f>
        <v>#REF!</v>
      </c>
      <c r="R2" s="155" t="e">
        <f>'[2]Kamal Original'!O32</f>
        <v>#REF!</v>
      </c>
      <c r="S2" s="155" t="e">
        <f>'[2]Kamal Original'!P32</f>
        <v>#REF!</v>
      </c>
      <c r="T2" s="155" t="e">
        <f>'[2]Kamal Original'!Q32</f>
        <v>#REF!</v>
      </c>
      <c r="U2" s="155" t="e">
        <f>'[2]Kamal Original'!R32</f>
        <v>#REF!</v>
      </c>
      <c r="V2" s="155" t="e">
        <f>'[2]Kamal Original'!S32</f>
        <v>#REF!</v>
      </c>
      <c r="W2" s="155" t="e">
        <f>'[2]Kamal Original'!T32</f>
        <v>#REF!</v>
      </c>
      <c r="X2" s="155" t="e">
        <f>'[2]Kamal Original'!U32</f>
        <v>#REF!</v>
      </c>
      <c r="Y2" s="155" t="e">
        <f>'[2]Kamal Original'!V32</f>
        <v>#REF!</v>
      </c>
      <c r="Z2" s="155" t="e">
        <f>'[2]Kamal Original'!W32</f>
        <v>#REF!</v>
      </c>
      <c r="AA2" s="155" t="e">
        <f>'[2]Kamal Original'!X32</f>
        <v>#REF!</v>
      </c>
      <c r="AB2" s="155" t="e">
        <f>'[2]Kamal Original'!Y32</f>
        <v>#REF!</v>
      </c>
      <c r="AC2" s="155" t="e">
        <f>'[2]Kamal Original'!Z32</f>
        <v>#REF!</v>
      </c>
      <c r="AD2" s="155" t="e">
        <f>'[2]Kamal Original'!AA32</f>
        <v>#REF!</v>
      </c>
    </row>
    <row r="3" spans="1:30" ht="15.75">
      <c r="A3" s="228" t="s">
        <v>119</v>
      </c>
      <c r="B3" s="229">
        <f>B4</f>
        <v>396256.89720303472</v>
      </c>
      <c r="C3" s="229">
        <f>C4</f>
        <v>252623</v>
      </c>
      <c r="D3" s="230">
        <v>143633.89720303469</v>
      </c>
      <c r="E3" s="231">
        <f>B3/$B$37</f>
        <v>7.204615841170571E-2</v>
      </c>
      <c r="F3" s="231">
        <f>D3/$B$37</f>
        <v>2.6115054612861992E-2</v>
      </c>
      <c r="G3" s="286">
        <f>C3/$C$37</f>
        <v>6.3155086871587843E-2</v>
      </c>
      <c r="H3" s="286">
        <f>D3/$D$37</f>
        <v>9.5755931468689798E-2</v>
      </c>
      <c r="I3" s="232">
        <f t="shared" ref="I3:I37" si="0">C3/B3</f>
        <v>0.63752328800616598</v>
      </c>
      <c r="J3" s="232">
        <f t="shared" ref="J3:J37" si="1">D3/B3</f>
        <v>0.36247671199383397</v>
      </c>
      <c r="K3" s="254" t="e">
        <f>'[2]Kamal Original'!H33</f>
        <v>#REF!</v>
      </c>
      <c r="L3" s="254" t="e">
        <f>'[2]Kamal Original'!I33</f>
        <v>#REF!</v>
      </c>
      <c r="M3" s="254" t="e">
        <f>'[2]Kamal Original'!J33</f>
        <v>#REF!</v>
      </c>
      <c r="N3" s="254" t="e">
        <f>'[2]Kamal Original'!K33</f>
        <v>#REF!</v>
      </c>
      <c r="O3" s="254" t="e">
        <f>'[2]Kamal Original'!L33</f>
        <v>#REF!</v>
      </c>
      <c r="P3" s="254" t="e">
        <f>'[2]Kamal Original'!M33</f>
        <v>#REF!</v>
      </c>
      <c r="Q3" s="254" t="e">
        <f>'[2]Kamal Original'!N33</f>
        <v>#REF!</v>
      </c>
      <c r="R3" s="254" t="e">
        <f>'[2]Kamal Original'!O33</f>
        <v>#REF!</v>
      </c>
      <c r="S3" s="254" t="e">
        <f>'[2]Kamal Original'!P33</f>
        <v>#REF!</v>
      </c>
      <c r="T3" s="254" t="e">
        <f>'[2]Kamal Original'!Q33</f>
        <v>#REF!</v>
      </c>
      <c r="U3" s="254" t="e">
        <f>'[2]Kamal Original'!R33</f>
        <v>#REF!</v>
      </c>
      <c r="V3" s="254" t="e">
        <f>'[2]Kamal Original'!S33</f>
        <v>#REF!</v>
      </c>
      <c r="W3" s="254" t="e">
        <f>'[2]Kamal Original'!T33</f>
        <v>#REF!</v>
      </c>
      <c r="X3" s="254" t="e">
        <f>'[2]Kamal Original'!U33</f>
        <v>#REF!</v>
      </c>
      <c r="Y3" s="254" t="e">
        <f>'[2]Kamal Original'!V33</f>
        <v>#REF!</v>
      </c>
      <c r="Z3" s="254" t="e">
        <f>'[2]Kamal Original'!W33</f>
        <v>#REF!</v>
      </c>
      <c r="AA3" s="254" t="e">
        <f>'[2]Kamal Original'!X33</f>
        <v>#REF!</v>
      </c>
      <c r="AB3" s="254" t="e">
        <f>'[2]Kamal Original'!Y33</f>
        <v>#REF!</v>
      </c>
      <c r="AC3" s="254" t="e">
        <f>'[2]Kamal Original'!Z33</f>
        <v>#REF!</v>
      </c>
      <c r="AD3" s="254" t="e">
        <f>'[2]Kamal Original'!AA33</f>
        <v>#REF!</v>
      </c>
    </row>
    <row r="4" spans="1:30" ht="15.75">
      <c r="A4" s="235" t="s">
        <v>10</v>
      </c>
      <c r="B4" s="236">
        <f>C4+D4</f>
        <v>396256.89720303472</v>
      </c>
      <c r="C4" s="236">
        <v>252623</v>
      </c>
      <c r="D4" s="237">
        <v>143633.89720303469</v>
      </c>
      <c r="E4" s="231">
        <f t="shared" ref="E4:E37" si="2">B4/$B$37</f>
        <v>7.204615841170571E-2</v>
      </c>
      <c r="F4" s="231">
        <f t="shared" ref="F4:F37" si="3">D4/$B$37</f>
        <v>2.6115054612861992E-2</v>
      </c>
      <c r="G4" s="287">
        <f t="shared" ref="G4:G37" si="4">C4/$C$37</f>
        <v>6.3155086871587843E-2</v>
      </c>
      <c r="H4" s="287">
        <f t="shared" ref="H4:H32" si="5">D4/$D$37</f>
        <v>9.5755931468689798E-2</v>
      </c>
      <c r="I4" s="239">
        <f t="shared" si="0"/>
        <v>0.63752328800616598</v>
      </c>
      <c r="J4" s="239">
        <f t="shared" si="1"/>
        <v>0.36247671199383397</v>
      </c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</row>
    <row r="5" spans="1:30" ht="15.75">
      <c r="A5" s="228" t="s">
        <v>120</v>
      </c>
      <c r="B5" s="229">
        <f>SUM(B6:B11)</f>
        <v>776399.07459412701</v>
      </c>
      <c r="C5" s="229">
        <f>SUM(C6:C11)</f>
        <v>553637</v>
      </c>
      <c r="D5" s="230">
        <v>222762.07459412701</v>
      </c>
      <c r="E5" s="231">
        <f t="shared" si="2"/>
        <v>0.14116239014068019</v>
      </c>
      <c r="F5" s="231">
        <f t="shared" si="3"/>
        <v>4.0501886093620196E-2</v>
      </c>
      <c r="G5" s="286">
        <f t="shared" si="4"/>
        <v>0.13840779671813447</v>
      </c>
      <c r="H5" s="286">
        <f t="shared" si="5"/>
        <v>0.148508049729418</v>
      </c>
      <c r="I5" s="232">
        <f t="shared" si="0"/>
        <v>0.71308302407421231</v>
      </c>
      <c r="J5" s="232">
        <f t="shared" si="1"/>
        <v>0.28691697592578774</v>
      </c>
      <c r="K5" s="254" t="e">
        <f>'[2]Kamal Original'!H35</f>
        <v>#REF!</v>
      </c>
      <c r="L5" s="254" t="e">
        <f>'[2]Kamal Original'!I35</f>
        <v>#REF!</v>
      </c>
      <c r="M5" s="254" t="e">
        <f>'[2]Kamal Original'!J35</f>
        <v>#REF!</v>
      </c>
      <c r="N5" s="254" t="e">
        <f>'[2]Kamal Original'!K35</f>
        <v>#REF!</v>
      </c>
      <c r="O5" s="254" t="e">
        <f>'[2]Kamal Original'!L35</f>
        <v>#REF!</v>
      </c>
      <c r="P5" s="254" t="e">
        <f>'[2]Kamal Original'!M35</f>
        <v>#REF!</v>
      </c>
      <c r="Q5" s="254" t="e">
        <f>'[2]Kamal Original'!N35</f>
        <v>#REF!</v>
      </c>
      <c r="R5" s="254" t="e">
        <f>'[2]Kamal Original'!O35</f>
        <v>#REF!</v>
      </c>
      <c r="S5" s="254" t="e">
        <f>'[2]Kamal Original'!P35</f>
        <v>#REF!</v>
      </c>
      <c r="T5" s="254" t="e">
        <f>'[2]Kamal Original'!Q35</f>
        <v>#REF!</v>
      </c>
      <c r="U5" s="254" t="e">
        <f>'[2]Kamal Original'!R35</f>
        <v>#REF!</v>
      </c>
      <c r="V5" s="254" t="e">
        <f>'[2]Kamal Original'!S35</f>
        <v>#REF!</v>
      </c>
      <c r="W5" s="254" t="e">
        <f>'[2]Kamal Original'!T35</f>
        <v>#REF!</v>
      </c>
      <c r="X5" s="254" t="e">
        <f>'[2]Kamal Original'!U35</f>
        <v>#REF!</v>
      </c>
      <c r="Y5" s="254" t="e">
        <f>'[2]Kamal Original'!V35</f>
        <v>#REF!</v>
      </c>
      <c r="Z5" s="254" t="e">
        <f>'[2]Kamal Original'!W35</f>
        <v>#REF!</v>
      </c>
      <c r="AA5" s="254" t="e">
        <f>'[2]Kamal Original'!X35</f>
        <v>#REF!</v>
      </c>
      <c r="AB5" s="254" t="e">
        <f>'[2]Kamal Original'!Y35</f>
        <v>#REF!</v>
      </c>
      <c r="AC5" s="254" t="e">
        <f>'[2]Kamal Original'!Z35</f>
        <v>#REF!</v>
      </c>
      <c r="AD5" s="254" t="e">
        <f>'[2]Kamal Original'!AA35</f>
        <v>#REF!</v>
      </c>
    </row>
    <row r="6" spans="1:30" ht="15.75">
      <c r="A6" s="235" t="s">
        <v>218</v>
      </c>
      <c r="B6" s="236">
        <f t="shared" ref="B6:B11" si="6">C6+D6</f>
        <v>66333.541969960701</v>
      </c>
      <c r="C6" s="236">
        <v>46074</v>
      </c>
      <c r="D6" s="237">
        <v>20259.541969960708</v>
      </c>
      <c r="E6" s="231">
        <f t="shared" si="2"/>
        <v>1.2060551895778378E-2</v>
      </c>
      <c r="F6" s="231">
        <f t="shared" si="3"/>
        <v>3.6835249567113686E-3</v>
      </c>
      <c r="G6" s="287">
        <f>C6/$C$5</f>
        <v>8.3220593999317236E-2</v>
      </c>
      <c r="H6" s="287">
        <f>D6/$D$5</f>
        <v>9.0946998077988089E-2</v>
      </c>
      <c r="I6" s="239">
        <f t="shared" si="0"/>
        <v>0.69458072992491071</v>
      </c>
      <c r="J6" s="239">
        <f t="shared" si="1"/>
        <v>0.30541927007508946</v>
      </c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</row>
    <row r="7" spans="1:30" ht="15.75">
      <c r="A7" s="235" t="s">
        <v>219</v>
      </c>
      <c r="B7" s="236">
        <f t="shared" si="6"/>
        <v>25162.797985124522</v>
      </c>
      <c r="C7" s="236">
        <v>21218</v>
      </c>
      <c r="D7" s="237">
        <v>3944.7979851245218</v>
      </c>
      <c r="E7" s="231">
        <f t="shared" si="2"/>
        <v>4.5750192426029694E-3</v>
      </c>
      <c r="F7" s="231">
        <f t="shared" si="3"/>
        <v>7.1723052026230374E-4</v>
      </c>
      <c r="G7" s="287">
        <f t="shared" ref="G7:G11" si="7">C7/$C$5</f>
        <v>3.8324750694046825E-2</v>
      </c>
      <c r="H7" s="287">
        <f t="shared" ref="H7:H11" si="8">D7/$D$5</f>
        <v>1.7708570870117603E-2</v>
      </c>
      <c r="I7" s="239">
        <f t="shared" si="0"/>
        <v>0.84322896096624211</v>
      </c>
      <c r="J7" s="239">
        <f t="shared" si="1"/>
        <v>0.15677103903375794</v>
      </c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</row>
    <row r="8" spans="1:30" ht="15.75">
      <c r="A8" s="235" t="s">
        <v>220</v>
      </c>
      <c r="B8" s="236">
        <f t="shared" si="6"/>
        <v>71255.951852564991</v>
      </c>
      <c r="C8" s="236">
        <v>48159</v>
      </c>
      <c r="D8" s="237">
        <v>23096.951852564991</v>
      </c>
      <c r="E8" s="231">
        <f t="shared" si="2"/>
        <v>1.2955528676429197E-2</v>
      </c>
      <c r="F8" s="231">
        <f t="shared" si="3"/>
        <v>4.1994137231252037E-3</v>
      </c>
      <c r="G8" s="287">
        <f t="shared" si="7"/>
        <v>8.6986599522792016E-2</v>
      </c>
      <c r="H8" s="287">
        <f t="shared" si="8"/>
        <v>0.10368439912695053</v>
      </c>
      <c r="I8" s="239">
        <f t="shared" si="0"/>
        <v>0.675859331717936</v>
      </c>
      <c r="J8" s="239">
        <f t="shared" si="1"/>
        <v>0.324140668282064</v>
      </c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</row>
    <row r="9" spans="1:30" ht="15.75">
      <c r="A9" s="235" t="s">
        <v>221</v>
      </c>
      <c r="B9" s="236">
        <f t="shared" si="6"/>
        <v>200208.05836017543</v>
      </c>
      <c r="C9" s="236">
        <v>118540</v>
      </c>
      <c r="D9" s="237">
        <v>81668.058360175433</v>
      </c>
      <c r="E9" s="231">
        <f t="shared" si="2"/>
        <v>3.6401187183693402E-2</v>
      </c>
      <c r="F9" s="231">
        <f t="shared" si="3"/>
        <v>1.4848624494172123E-2</v>
      </c>
      <c r="G9" s="287">
        <f t="shared" si="7"/>
        <v>0.21411141235141437</v>
      </c>
      <c r="H9" s="287">
        <f t="shared" si="8"/>
        <v>0.36661563019187543</v>
      </c>
      <c r="I9" s="239">
        <f t="shared" si="0"/>
        <v>0.59208405980715251</v>
      </c>
      <c r="J9" s="239">
        <f t="shared" si="1"/>
        <v>0.40791594019284744</v>
      </c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</row>
    <row r="10" spans="1:30" ht="15.75">
      <c r="A10" s="235" t="s">
        <v>222</v>
      </c>
      <c r="B10" s="236">
        <f t="shared" si="6"/>
        <v>340597.9117243808</v>
      </c>
      <c r="C10" s="236">
        <v>264580</v>
      </c>
      <c r="D10" s="237">
        <v>76017.911724380829</v>
      </c>
      <c r="E10" s="231">
        <f t="shared" si="2"/>
        <v>6.1926420148133557E-2</v>
      </c>
      <c r="F10" s="231">
        <f t="shared" si="3"/>
        <v>1.3821332950617618E-2</v>
      </c>
      <c r="G10" s="287">
        <f t="shared" si="7"/>
        <v>0.47789436038415062</v>
      </c>
      <c r="H10" s="287">
        <f t="shared" si="8"/>
        <v>0.34125158810307199</v>
      </c>
      <c r="I10" s="239">
        <f t="shared" si="0"/>
        <v>0.77681039986558653</v>
      </c>
      <c r="J10" s="239">
        <f t="shared" si="1"/>
        <v>0.22318960013441352</v>
      </c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</row>
    <row r="11" spans="1:30" ht="15.75">
      <c r="A11" s="235" t="s">
        <v>223</v>
      </c>
      <c r="B11" s="236">
        <f t="shared" si="6"/>
        <v>72840.812701920542</v>
      </c>
      <c r="C11" s="236">
        <v>55066</v>
      </c>
      <c r="D11" s="237">
        <v>17774.812701920535</v>
      </c>
      <c r="E11" s="231">
        <f t="shared" si="2"/>
        <v>1.324368299404269E-2</v>
      </c>
      <c r="F11" s="231">
        <f t="shared" si="3"/>
        <v>3.2317594487315795E-3</v>
      </c>
      <c r="G11" s="287">
        <f t="shared" si="7"/>
        <v>9.9462283048278921E-2</v>
      </c>
      <c r="H11" s="287">
        <f t="shared" si="8"/>
        <v>7.9792813629996406E-2</v>
      </c>
      <c r="I11" s="239">
        <f t="shared" si="0"/>
        <v>0.75597728742183723</v>
      </c>
      <c r="J11" s="239">
        <f t="shared" si="1"/>
        <v>0.24402271257816263</v>
      </c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</row>
    <row r="12" spans="1:30" ht="15.75">
      <c r="A12" s="228" t="s">
        <v>121</v>
      </c>
      <c r="B12" s="229">
        <f>SUM(B13:B15)</f>
        <v>622055.14139541541</v>
      </c>
      <c r="C12" s="229">
        <f>SUM(C13:C15)</f>
        <v>275373</v>
      </c>
      <c r="D12" s="230">
        <v>346682.14139541541</v>
      </c>
      <c r="E12" s="231">
        <f t="shared" si="2"/>
        <v>0.11310007112589603</v>
      </c>
      <c r="F12" s="231">
        <f t="shared" si="3"/>
        <v>6.3032635277224316E-2</v>
      </c>
      <c r="G12" s="286">
        <f t="shared" si="4"/>
        <v>6.8842527153464894E-2</v>
      </c>
      <c r="H12" s="286">
        <f t="shared" si="5"/>
        <v>0.2311214275969436</v>
      </c>
      <c r="I12" s="232">
        <f t="shared" si="0"/>
        <v>0.44268262035785744</v>
      </c>
      <c r="J12" s="232">
        <f t="shared" si="1"/>
        <v>0.55731737964214256</v>
      </c>
      <c r="K12" s="254" t="e">
        <f>'[2]Kamal Original'!H42</f>
        <v>#REF!</v>
      </c>
      <c r="L12" s="254" t="e">
        <f>'[2]Kamal Original'!I42</f>
        <v>#REF!</v>
      </c>
      <c r="M12" s="254" t="e">
        <f>'[2]Kamal Original'!J42</f>
        <v>#REF!</v>
      </c>
      <c r="N12" s="254" t="e">
        <f>'[2]Kamal Original'!K42</f>
        <v>#REF!</v>
      </c>
      <c r="O12" s="254" t="e">
        <f>'[2]Kamal Original'!L42</f>
        <v>#REF!</v>
      </c>
      <c r="P12" s="254" t="e">
        <f>'[2]Kamal Original'!M42</f>
        <v>#REF!</v>
      </c>
      <c r="Q12" s="254" t="e">
        <f>'[2]Kamal Original'!N42</f>
        <v>#REF!</v>
      </c>
      <c r="R12" s="254" t="e">
        <f>'[2]Kamal Original'!O42</f>
        <v>#REF!</v>
      </c>
      <c r="S12" s="254" t="e">
        <f>'[2]Kamal Original'!P42</f>
        <v>#REF!</v>
      </c>
      <c r="T12" s="254" t="e">
        <f>'[2]Kamal Original'!Q42</f>
        <v>#REF!</v>
      </c>
      <c r="U12" s="254" t="e">
        <f>'[2]Kamal Original'!R42</f>
        <v>#REF!</v>
      </c>
      <c r="V12" s="254" t="e">
        <f>'[2]Kamal Original'!S42</f>
        <v>#REF!</v>
      </c>
      <c r="W12" s="254" t="e">
        <f>'[2]Kamal Original'!T42</f>
        <v>#REF!</v>
      </c>
      <c r="X12" s="254" t="e">
        <f>'[2]Kamal Original'!U42</f>
        <v>#REF!</v>
      </c>
      <c r="Y12" s="254" t="e">
        <f>'[2]Kamal Original'!V42</f>
        <v>#REF!</v>
      </c>
      <c r="Z12" s="254" t="e">
        <f>'[2]Kamal Original'!W42</f>
        <v>#REF!</v>
      </c>
      <c r="AA12" s="254" t="e">
        <f>'[2]Kamal Original'!X42</f>
        <v>#REF!</v>
      </c>
      <c r="AB12" s="254" t="e">
        <f>'[2]Kamal Original'!Y42</f>
        <v>#REF!</v>
      </c>
      <c r="AC12" s="254" t="e">
        <f>'[2]Kamal Original'!Z42</f>
        <v>#REF!</v>
      </c>
      <c r="AD12" s="254" t="e">
        <f>'[2]Kamal Original'!AA42</f>
        <v>#REF!</v>
      </c>
    </row>
    <row r="13" spans="1:30" ht="15.75">
      <c r="A13" s="235" t="s">
        <v>224</v>
      </c>
      <c r="B13" s="236">
        <f>C13+D13</f>
        <v>47498.142611655589</v>
      </c>
      <c r="C13" s="236">
        <v>33105</v>
      </c>
      <c r="D13" s="237">
        <v>14393.142611655587</v>
      </c>
      <c r="E13" s="231">
        <f t="shared" si="2"/>
        <v>8.6359599820611532E-3</v>
      </c>
      <c r="F13" s="231">
        <f t="shared" si="3"/>
        <v>2.6169150365861907E-3</v>
      </c>
      <c r="G13" s="287">
        <f>C13/$C$12</f>
        <v>0.12021875783028838</v>
      </c>
      <c r="H13" s="287">
        <f>D13/$D$12</f>
        <v>4.1516827355808889E-2</v>
      </c>
      <c r="I13" s="239">
        <f t="shared" si="0"/>
        <v>0.6969746221587273</v>
      </c>
      <c r="J13" s="239">
        <f t="shared" si="1"/>
        <v>0.30302537784127265</v>
      </c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</row>
    <row r="14" spans="1:30" ht="15.75">
      <c r="A14" s="235" t="s">
        <v>225</v>
      </c>
      <c r="B14" s="236">
        <f>C14+D14</f>
        <v>156497.0070613529</v>
      </c>
      <c r="C14" s="236">
        <v>65443</v>
      </c>
      <c r="D14" s="237">
        <v>91054.007061352881</v>
      </c>
      <c r="E14" s="231">
        <f t="shared" si="2"/>
        <v>2.8453784000440886E-2</v>
      </c>
      <c r="F14" s="231">
        <f t="shared" si="3"/>
        <v>1.6555147590028019E-2</v>
      </c>
      <c r="G14" s="287">
        <f t="shared" ref="G14:G15" si="9">C14/$C$12</f>
        <v>0.23765220264877093</v>
      </c>
      <c r="H14" s="287">
        <f t="shared" ref="H14:H15" si="10">D14/$D$12</f>
        <v>0.26264406552600406</v>
      </c>
      <c r="I14" s="239">
        <f t="shared" si="0"/>
        <v>0.41817413143462739</v>
      </c>
      <c r="J14" s="239">
        <f t="shared" si="1"/>
        <v>0.58182586856537244</v>
      </c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</row>
    <row r="15" spans="1:30" ht="15.75">
      <c r="A15" s="235" t="s">
        <v>226</v>
      </c>
      <c r="B15" s="236">
        <f>C15+D15</f>
        <v>418059.99172240699</v>
      </c>
      <c r="C15" s="236">
        <v>176825</v>
      </c>
      <c r="D15" s="237">
        <v>241234.99172240699</v>
      </c>
      <c r="E15" s="231">
        <f t="shared" si="2"/>
        <v>7.6010327143393994E-2</v>
      </c>
      <c r="F15" s="231">
        <f t="shared" si="3"/>
        <v>4.3860572650610122E-2</v>
      </c>
      <c r="G15" s="287">
        <f t="shared" si="9"/>
        <v>0.64212903952094069</v>
      </c>
      <c r="H15" s="287">
        <f t="shared" si="10"/>
        <v>0.69583910711818719</v>
      </c>
      <c r="I15" s="239">
        <f t="shared" si="0"/>
        <v>0.42296561139821365</v>
      </c>
      <c r="J15" s="239">
        <f t="shared" si="1"/>
        <v>0.57703438860178635</v>
      </c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</row>
    <row r="16" spans="1:30" ht="15.75">
      <c r="A16" s="228" t="s">
        <v>122</v>
      </c>
      <c r="B16" s="229">
        <f>B17+B18</f>
        <v>444216.95697102987</v>
      </c>
      <c r="C16" s="229">
        <f>C17+C18</f>
        <v>263450</v>
      </c>
      <c r="D16" s="230">
        <v>180766.95697102987</v>
      </c>
      <c r="E16" s="231">
        <f t="shared" si="2"/>
        <v>8.0766102689948521E-2</v>
      </c>
      <c r="F16" s="231">
        <f t="shared" si="3"/>
        <v>3.2866468468973488E-2</v>
      </c>
      <c r="G16" s="286">
        <f t="shared" si="4"/>
        <v>6.5861808451011264E-2</v>
      </c>
      <c r="H16" s="286">
        <f t="shared" si="5"/>
        <v>0.12051130464735324</v>
      </c>
      <c r="I16" s="232">
        <f t="shared" si="0"/>
        <v>0.59306605897347864</v>
      </c>
      <c r="J16" s="232">
        <f t="shared" si="1"/>
        <v>0.40693394102652142</v>
      </c>
      <c r="K16" s="254" t="e">
        <f>'[2]Kamal Original'!H46</f>
        <v>#REF!</v>
      </c>
      <c r="L16" s="254" t="e">
        <f>'[2]Kamal Original'!I46</f>
        <v>#REF!</v>
      </c>
      <c r="M16" s="254" t="e">
        <f>'[2]Kamal Original'!J46</f>
        <v>#REF!</v>
      </c>
      <c r="N16" s="254" t="e">
        <f>'[2]Kamal Original'!K46</f>
        <v>#REF!</v>
      </c>
      <c r="O16" s="254" t="e">
        <f>'[2]Kamal Original'!L46</f>
        <v>#REF!</v>
      </c>
      <c r="P16" s="254" t="e">
        <f>'[2]Kamal Original'!M46</f>
        <v>#REF!</v>
      </c>
      <c r="Q16" s="254" t="e">
        <f>'[2]Kamal Original'!N46</f>
        <v>#REF!</v>
      </c>
      <c r="R16" s="254" t="e">
        <f>'[2]Kamal Original'!O46</f>
        <v>#REF!</v>
      </c>
      <c r="S16" s="254" t="e">
        <f>'[2]Kamal Original'!P46</f>
        <v>#REF!</v>
      </c>
      <c r="T16" s="254" t="e">
        <f>'[2]Kamal Original'!Q46</f>
        <v>#REF!</v>
      </c>
      <c r="U16" s="254" t="e">
        <f>'[2]Kamal Original'!R46</f>
        <v>#REF!</v>
      </c>
      <c r="V16" s="254" t="e">
        <f>'[2]Kamal Original'!S46</f>
        <v>#REF!</v>
      </c>
      <c r="W16" s="254" t="e">
        <f>'[2]Kamal Original'!T46</f>
        <v>#REF!</v>
      </c>
      <c r="X16" s="254" t="e">
        <f>'[2]Kamal Original'!U46</f>
        <v>#REF!</v>
      </c>
      <c r="Y16" s="254" t="e">
        <f>'[2]Kamal Original'!V46</f>
        <v>#REF!</v>
      </c>
      <c r="Z16" s="254" t="e">
        <f>'[2]Kamal Original'!W46</f>
        <v>#REF!</v>
      </c>
      <c r="AA16" s="254" t="e">
        <f>'[2]Kamal Original'!X46</f>
        <v>#REF!</v>
      </c>
      <c r="AB16" s="254" t="e">
        <f>'[2]Kamal Original'!Y46</f>
        <v>#REF!</v>
      </c>
      <c r="AC16" s="254" t="e">
        <f>'[2]Kamal Original'!Z46</f>
        <v>#REF!</v>
      </c>
      <c r="AD16" s="254" t="e">
        <f>'[2]Kamal Original'!AA46</f>
        <v>#REF!</v>
      </c>
    </row>
    <row r="17" spans="1:30" ht="15.75">
      <c r="A17" s="235" t="s">
        <v>227</v>
      </c>
      <c r="B17" s="236">
        <f>C17+D17</f>
        <v>399605.39671005588</v>
      </c>
      <c r="C17" s="236">
        <v>227490</v>
      </c>
      <c r="D17" s="237">
        <v>172115.39671005588</v>
      </c>
      <c r="E17" s="231">
        <f t="shared" si="2"/>
        <v>7.2654971854770545E-2</v>
      </c>
      <c r="F17" s="231">
        <f t="shared" si="3"/>
        <v>3.1293469524424702E-2</v>
      </c>
      <c r="G17" s="287">
        <f>C17/$C$16</f>
        <v>0.86350351110267598</v>
      </c>
      <c r="H17" s="287">
        <f>D17/$D$16</f>
        <v>0.95213970293054995</v>
      </c>
      <c r="I17" s="239">
        <f t="shared" si="0"/>
        <v>0.5692866059190419</v>
      </c>
      <c r="J17" s="239">
        <f t="shared" si="1"/>
        <v>0.43071339408095805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</row>
    <row r="18" spans="1:30" ht="15.75">
      <c r="A18" s="235" t="s">
        <v>228</v>
      </c>
      <c r="B18" s="236">
        <f>C18+D18</f>
        <v>44611.56026097398</v>
      </c>
      <c r="C18" s="236">
        <v>35960</v>
      </c>
      <c r="D18" s="237">
        <v>8651.5602609739781</v>
      </c>
      <c r="E18" s="231">
        <f t="shared" si="2"/>
        <v>8.1111308351779817E-3</v>
      </c>
      <c r="F18" s="231">
        <f t="shared" si="3"/>
        <v>1.5729989445487831E-3</v>
      </c>
      <c r="G18" s="287">
        <f>C18/$C$16</f>
        <v>0.13649648889732396</v>
      </c>
      <c r="H18" s="287">
        <f>D18/$D$16</f>
        <v>4.7860297069450018E-2</v>
      </c>
      <c r="I18" s="239">
        <f t="shared" si="0"/>
        <v>0.80606909486323586</v>
      </c>
      <c r="J18" s="239">
        <f t="shared" si="1"/>
        <v>0.19393090513676406</v>
      </c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</row>
    <row r="19" spans="1:30" ht="15.75">
      <c r="A19" s="228" t="s">
        <v>123</v>
      </c>
      <c r="B19" s="229">
        <f>B20</f>
        <v>440131.93902060256</v>
      </c>
      <c r="C19" s="229">
        <f>C20</f>
        <v>402861</v>
      </c>
      <c r="D19" s="230">
        <v>37270.939020602542</v>
      </c>
      <c r="E19" s="231">
        <f t="shared" si="2"/>
        <v>8.002337782522434E-2</v>
      </c>
      <c r="F19" s="231">
        <f t="shared" si="3"/>
        <v>6.7764826196968211E-3</v>
      </c>
      <c r="G19" s="286">
        <f t="shared" si="4"/>
        <v>0.10071419250097874</v>
      </c>
      <c r="H19" s="286">
        <f t="shared" si="5"/>
        <v>2.4847292680401693E-2</v>
      </c>
      <c r="I19" s="232">
        <f t="shared" si="0"/>
        <v>0.9153187130578635</v>
      </c>
      <c r="J19" s="232">
        <f t="shared" si="1"/>
        <v>8.4681286942136433E-2</v>
      </c>
      <c r="K19" s="254" t="e">
        <f>'[2]Kamal Original'!H49</f>
        <v>#REF!</v>
      </c>
      <c r="L19" s="254" t="e">
        <f>'[2]Kamal Original'!I49</f>
        <v>#REF!</v>
      </c>
      <c r="M19" s="254" t="e">
        <f>'[2]Kamal Original'!J49</f>
        <v>#REF!</v>
      </c>
      <c r="N19" s="254" t="e">
        <f>'[2]Kamal Original'!K49</f>
        <v>#REF!</v>
      </c>
      <c r="O19" s="254" t="e">
        <f>'[2]Kamal Original'!L49</f>
        <v>#REF!</v>
      </c>
      <c r="P19" s="254" t="e">
        <f>'[2]Kamal Original'!M49</f>
        <v>#REF!</v>
      </c>
      <c r="Q19" s="254" t="e">
        <f>'[2]Kamal Original'!N49</f>
        <v>#REF!</v>
      </c>
      <c r="R19" s="254" t="e">
        <f>'[2]Kamal Original'!O49</f>
        <v>#REF!</v>
      </c>
      <c r="S19" s="254" t="e">
        <f>'[2]Kamal Original'!P49</f>
        <v>#REF!</v>
      </c>
      <c r="T19" s="254" t="e">
        <f>'[2]Kamal Original'!Q49</f>
        <v>#REF!</v>
      </c>
      <c r="U19" s="254" t="e">
        <f>'[2]Kamal Original'!R49</f>
        <v>#REF!</v>
      </c>
      <c r="V19" s="254" t="e">
        <f>'[2]Kamal Original'!S49</f>
        <v>#REF!</v>
      </c>
      <c r="W19" s="254" t="e">
        <f>'[2]Kamal Original'!T49</f>
        <v>#REF!</v>
      </c>
      <c r="X19" s="254" t="e">
        <f>'[2]Kamal Original'!U49</f>
        <v>#REF!</v>
      </c>
      <c r="Y19" s="254" t="e">
        <f>'[2]Kamal Original'!V49</f>
        <v>#REF!</v>
      </c>
      <c r="Z19" s="254" t="e">
        <f>'[2]Kamal Original'!W49</f>
        <v>#REF!</v>
      </c>
      <c r="AA19" s="254" t="e">
        <f>'[2]Kamal Original'!X49</f>
        <v>#REF!</v>
      </c>
      <c r="AB19" s="254" t="e">
        <f>'[2]Kamal Original'!Y49</f>
        <v>#REF!</v>
      </c>
      <c r="AC19" s="254" t="e">
        <f>'[2]Kamal Original'!Z49</f>
        <v>#REF!</v>
      </c>
      <c r="AD19" s="254" t="e">
        <f>'[2]Kamal Original'!AA49</f>
        <v>#REF!</v>
      </c>
    </row>
    <row r="20" spans="1:30" ht="15.75">
      <c r="A20" s="235" t="s">
        <v>12</v>
      </c>
      <c r="B20" s="236">
        <f>C20+D20</f>
        <v>440131.93902060256</v>
      </c>
      <c r="C20" s="236">
        <v>402861</v>
      </c>
      <c r="D20" s="237">
        <v>37270.939020602542</v>
      </c>
      <c r="E20" s="231">
        <f t="shared" si="2"/>
        <v>8.002337782522434E-2</v>
      </c>
      <c r="F20" s="231">
        <f t="shared" si="3"/>
        <v>6.7764826196968211E-3</v>
      </c>
      <c r="G20" s="287">
        <f>C20/$C$19</f>
        <v>1</v>
      </c>
      <c r="H20" s="287">
        <f>D20/$D$19</f>
        <v>1</v>
      </c>
      <c r="I20" s="239">
        <f t="shared" si="0"/>
        <v>0.9153187130578635</v>
      </c>
      <c r="J20" s="239">
        <f t="shared" si="1"/>
        <v>8.4681286942136433E-2</v>
      </c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</row>
    <row r="21" spans="1:30" ht="15.75">
      <c r="A21" s="228" t="s">
        <v>124</v>
      </c>
      <c r="B21" s="229">
        <f>SUM(B22:B27)</f>
        <v>1902026.9600904875</v>
      </c>
      <c r="C21" s="229">
        <f>SUM(C22:C27)</f>
        <v>1505508</v>
      </c>
      <c r="D21" s="230">
        <v>396518.9600904875</v>
      </c>
      <c r="E21" s="231">
        <f t="shared" si="2"/>
        <v>0.34582044284216146</v>
      </c>
      <c r="F21" s="231">
        <f t="shared" si="3"/>
        <v>7.2093805845571263E-2</v>
      </c>
      <c r="G21" s="286">
        <f t="shared" si="4"/>
        <v>0.37637304808299515</v>
      </c>
      <c r="H21" s="286">
        <f t="shared" si="5"/>
        <v>0.26434597339365834</v>
      </c>
      <c r="I21" s="232">
        <f t="shared" si="0"/>
        <v>0.79152821258031836</v>
      </c>
      <c r="J21" s="232">
        <f t="shared" si="1"/>
        <v>0.2084717874196817</v>
      </c>
      <c r="K21" s="254" t="e">
        <f>'[2]Kamal Original'!H51</f>
        <v>#REF!</v>
      </c>
      <c r="L21" s="254" t="e">
        <f>'[2]Kamal Original'!I51</f>
        <v>#REF!</v>
      </c>
      <c r="M21" s="254" t="e">
        <f>'[2]Kamal Original'!J51</f>
        <v>#REF!</v>
      </c>
      <c r="N21" s="254" t="e">
        <f>'[2]Kamal Original'!K51</f>
        <v>#REF!</v>
      </c>
      <c r="O21" s="254" t="e">
        <f>'[2]Kamal Original'!L51</f>
        <v>#REF!</v>
      </c>
      <c r="P21" s="254" t="e">
        <f>'[2]Kamal Original'!M51</f>
        <v>#REF!</v>
      </c>
      <c r="Q21" s="254" t="e">
        <f>'[2]Kamal Original'!N51</f>
        <v>#REF!</v>
      </c>
      <c r="R21" s="254" t="e">
        <f>'[2]Kamal Original'!O51</f>
        <v>#REF!</v>
      </c>
      <c r="S21" s="254" t="e">
        <f>'[2]Kamal Original'!P51</f>
        <v>#REF!</v>
      </c>
      <c r="T21" s="254" t="e">
        <f>'[2]Kamal Original'!Q51</f>
        <v>#REF!</v>
      </c>
      <c r="U21" s="254" t="e">
        <f>'[2]Kamal Original'!R51</f>
        <v>#REF!</v>
      </c>
      <c r="V21" s="254" t="e">
        <f>'[2]Kamal Original'!S51</f>
        <v>#REF!</v>
      </c>
      <c r="W21" s="254" t="e">
        <f>'[2]Kamal Original'!T51</f>
        <v>#REF!</v>
      </c>
      <c r="X21" s="254" t="e">
        <f>'[2]Kamal Original'!U51</f>
        <v>#REF!</v>
      </c>
      <c r="Y21" s="254" t="e">
        <f>'[2]Kamal Original'!V51</f>
        <v>#REF!</v>
      </c>
      <c r="Z21" s="254" t="e">
        <f>'[2]Kamal Original'!W51</f>
        <v>#REF!</v>
      </c>
      <c r="AA21" s="254" t="e">
        <f>'[2]Kamal Original'!X51</f>
        <v>#REF!</v>
      </c>
      <c r="AB21" s="254" t="e">
        <f>'[2]Kamal Original'!Y51</f>
        <v>#REF!</v>
      </c>
      <c r="AC21" s="254" t="e">
        <f>'[2]Kamal Original'!Z51</f>
        <v>#REF!</v>
      </c>
      <c r="AD21" s="254" t="e">
        <f>'[2]Kamal Original'!AA51</f>
        <v>#REF!</v>
      </c>
    </row>
    <row r="22" spans="1:30" ht="15.75">
      <c r="A22" s="235" t="s">
        <v>229</v>
      </c>
      <c r="B22" s="236">
        <f t="shared" ref="B22:B27" si="11">C22+D22</f>
        <v>249748.58355918116</v>
      </c>
      <c r="C22" s="236">
        <v>163680</v>
      </c>
      <c r="D22" s="237">
        <v>86068.583559181163</v>
      </c>
      <c r="E22" s="231">
        <f t="shared" si="2"/>
        <v>4.5408486618680577E-2</v>
      </c>
      <c r="F22" s="231">
        <f t="shared" si="3"/>
        <v>1.5648713875126983E-2</v>
      </c>
      <c r="G22" s="287">
        <f>C22/$C$21</f>
        <v>0.10872077730573335</v>
      </c>
      <c r="H22" s="287">
        <f>D22/$D$21</f>
        <v>0.21706044911330319</v>
      </c>
      <c r="I22" s="239">
        <f t="shared" si="0"/>
        <v>0.65537909231510783</v>
      </c>
      <c r="J22" s="239">
        <f t="shared" si="1"/>
        <v>0.34462090768489223</v>
      </c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</row>
    <row r="23" spans="1:30" ht="15.75">
      <c r="A23" s="235" t="s">
        <v>230</v>
      </c>
      <c r="B23" s="236">
        <f t="shared" si="11"/>
        <v>648428.91445293871</v>
      </c>
      <c r="C23" s="236">
        <v>519551</v>
      </c>
      <c r="D23" s="237">
        <v>128877.91445293867</v>
      </c>
      <c r="E23" s="231">
        <f t="shared" si="2"/>
        <v>0.1178952659730487</v>
      </c>
      <c r="F23" s="231">
        <f t="shared" si="3"/>
        <v>2.34321691457881E-2</v>
      </c>
      <c r="G23" s="287">
        <f t="shared" ref="G23:G27" si="12">C23/$C$21</f>
        <v>0.34510012567186626</v>
      </c>
      <c r="H23" s="287">
        <f t="shared" ref="H23:H27" si="13">D23/$D$21</f>
        <v>0.32502333412638862</v>
      </c>
      <c r="I23" s="239">
        <f t="shared" si="0"/>
        <v>0.80124588589380008</v>
      </c>
      <c r="J23" s="239">
        <f t="shared" si="1"/>
        <v>0.19875411410619984</v>
      </c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</row>
    <row r="24" spans="1:30" ht="15.75">
      <c r="A24" s="235" t="s">
        <v>231</v>
      </c>
      <c r="B24" s="236">
        <f t="shared" si="11"/>
        <v>226408.48619610979</v>
      </c>
      <c r="C24" s="236">
        <v>153138</v>
      </c>
      <c r="D24" s="237">
        <v>73270.486196109778</v>
      </c>
      <c r="E24" s="231">
        <f t="shared" si="2"/>
        <v>4.1164864958505736E-2</v>
      </c>
      <c r="F24" s="231">
        <f t="shared" si="3"/>
        <v>1.3321804850964734E-2</v>
      </c>
      <c r="G24" s="287">
        <f t="shared" si="12"/>
        <v>0.1017184897058003</v>
      </c>
      <c r="H24" s="287">
        <f t="shared" si="13"/>
        <v>0.18478431946706686</v>
      </c>
      <c r="I24" s="239">
        <f t="shared" si="0"/>
        <v>0.67637924078232392</v>
      </c>
      <c r="J24" s="239">
        <f t="shared" si="1"/>
        <v>0.32362075921767602</v>
      </c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</row>
    <row r="25" spans="1:30" ht="15.75">
      <c r="A25" s="235" t="s">
        <v>232</v>
      </c>
      <c r="B25" s="236">
        <f t="shared" si="11"/>
        <v>502689.00185580633</v>
      </c>
      <c r="C25" s="236">
        <v>427375</v>
      </c>
      <c r="D25" s="237">
        <v>75314.00185580636</v>
      </c>
      <c r="E25" s="231">
        <f t="shared" si="2"/>
        <v>9.1397302394382873E-2</v>
      </c>
      <c r="F25" s="231">
        <f t="shared" si="3"/>
        <v>1.3693350315471475E-2</v>
      </c>
      <c r="G25" s="287">
        <f t="shared" si="12"/>
        <v>0.28387428030937067</v>
      </c>
      <c r="H25" s="287">
        <f t="shared" si="13"/>
        <v>0.18993795867571969</v>
      </c>
      <c r="I25" s="239">
        <f t="shared" si="0"/>
        <v>0.85017774095362098</v>
      </c>
      <c r="J25" s="239">
        <f t="shared" si="1"/>
        <v>0.14982225904637911</v>
      </c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</row>
    <row r="26" spans="1:30" ht="15.75">
      <c r="A26" s="235" t="s">
        <v>233</v>
      </c>
      <c r="B26" s="236">
        <f t="shared" si="11"/>
        <v>90007.761966225866</v>
      </c>
      <c r="C26" s="236">
        <v>80661</v>
      </c>
      <c r="D26" s="237">
        <v>9346.761966225873</v>
      </c>
      <c r="E26" s="231">
        <f t="shared" si="2"/>
        <v>1.6364922661722559E-2</v>
      </c>
      <c r="F26" s="231">
        <f t="shared" si="3"/>
        <v>1.6993982893632217E-3</v>
      </c>
      <c r="G26" s="287">
        <f t="shared" si="12"/>
        <v>5.3577264285543484E-2</v>
      </c>
      <c r="H26" s="287">
        <f t="shared" si="13"/>
        <v>2.3572042971395108E-2</v>
      </c>
      <c r="I26" s="239">
        <f t="shared" si="0"/>
        <v>0.8961560451893793</v>
      </c>
      <c r="J26" s="239">
        <f t="shared" si="1"/>
        <v>0.10384395481062081</v>
      </c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</row>
    <row r="27" spans="1:30" ht="15.75">
      <c r="A27" s="235" t="s">
        <v>234</v>
      </c>
      <c r="B27" s="236">
        <f t="shared" si="11"/>
        <v>184744.21206022566</v>
      </c>
      <c r="C27" s="236">
        <v>161103</v>
      </c>
      <c r="D27" s="237">
        <v>23641.212060225658</v>
      </c>
      <c r="E27" s="231">
        <f t="shared" si="2"/>
        <v>3.3589600235821047E-2</v>
      </c>
      <c r="F27" s="231">
        <f t="shared" si="3"/>
        <v>4.2983693688567574E-3</v>
      </c>
      <c r="G27" s="287">
        <f t="shared" si="12"/>
        <v>0.10700906272168596</v>
      </c>
      <c r="H27" s="287">
        <f t="shared" si="13"/>
        <v>5.9621895646126535E-2</v>
      </c>
      <c r="I27" s="239">
        <f t="shared" si="0"/>
        <v>0.87203273219450717</v>
      </c>
      <c r="J27" s="239">
        <f t="shared" si="1"/>
        <v>0.12796726780549283</v>
      </c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</row>
    <row r="28" spans="1:30" ht="15.75">
      <c r="A28" s="228" t="s">
        <v>125</v>
      </c>
      <c r="B28" s="229">
        <f>B29+B30+B31</f>
        <v>578056.09423780837</v>
      </c>
      <c r="C28" s="229">
        <f>C29+C30+C31</f>
        <v>471548</v>
      </c>
      <c r="D28" s="230">
        <v>106508.09423780833</v>
      </c>
      <c r="E28" s="231">
        <f t="shared" si="2"/>
        <v>0.10510030545908711</v>
      </c>
      <c r="F28" s="231">
        <f t="shared" si="3"/>
        <v>1.936496016536025E-2</v>
      </c>
      <c r="G28" s="286">
        <f t="shared" si="4"/>
        <v>0.11788576219949691</v>
      </c>
      <c r="H28" s="286">
        <f t="shared" si="5"/>
        <v>7.1005396158538889E-2</v>
      </c>
      <c r="I28" s="232">
        <f t="shared" si="0"/>
        <v>0.81574782222779985</v>
      </c>
      <c r="J28" s="232">
        <f t="shared" si="1"/>
        <v>0.1842521777722001</v>
      </c>
      <c r="K28" s="254" t="e">
        <f>'[2]Kamal Original'!H58</f>
        <v>#REF!</v>
      </c>
      <c r="L28" s="254" t="e">
        <f>'[2]Kamal Original'!I58</f>
        <v>#REF!</v>
      </c>
      <c r="M28" s="254" t="e">
        <f>'[2]Kamal Original'!J58</f>
        <v>#REF!</v>
      </c>
      <c r="N28" s="254" t="e">
        <f>'[2]Kamal Original'!K58</f>
        <v>#REF!</v>
      </c>
      <c r="O28" s="254" t="e">
        <f>'[2]Kamal Original'!L58</f>
        <v>#REF!</v>
      </c>
      <c r="P28" s="254" t="e">
        <f>'[2]Kamal Original'!M58</f>
        <v>#REF!</v>
      </c>
      <c r="Q28" s="254" t="e">
        <f>'[2]Kamal Original'!N58</f>
        <v>#REF!</v>
      </c>
      <c r="R28" s="254" t="e">
        <f>'[2]Kamal Original'!O58</f>
        <v>#REF!</v>
      </c>
      <c r="S28" s="254" t="e">
        <f>'[2]Kamal Original'!P58</f>
        <v>#REF!</v>
      </c>
      <c r="T28" s="254" t="e">
        <f>'[2]Kamal Original'!Q58</f>
        <v>#REF!</v>
      </c>
      <c r="U28" s="254" t="e">
        <f>'[2]Kamal Original'!R58</f>
        <v>#REF!</v>
      </c>
      <c r="V28" s="254" t="e">
        <f>'[2]Kamal Original'!S58</f>
        <v>#REF!</v>
      </c>
      <c r="W28" s="254" t="e">
        <f>'[2]Kamal Original'!T58</f>
        <v>#REF!</v>
      </c>
      <c r="X28" s="254" t="e">
        <f>'[2]Kamal Original'!U58</f>
        <v>#REF!</v>
      </c>
      <c r="Y28" s="254" t="e">
        <f>'[2]Kamal Original'!V58</f>
        <v>#REF!</v>
      </c>
      <c r="Z28" s="254" t="e">
        <f>'[2]Kamal Original'!W58</f>
        <v>#REF!</v>
      </c>
      <c r="AA28" s="254" t="e">
        <f>'[2]Kamal Original'!X58</f>
        <v>#REF!</v>
      </c>
      <c r="AB28" s="254" t="e">
        <f>'[2]Kamal Original'!Y58</f>
        <v>#REF!</v>
      </c>
      <c r="AC28" s="254" t="e">
        <f>'[2]Kamal Original'!Z58</f>
        <v>#REF!</v>
      </c>
      <c r="AD28" s="254" t="e">
        <f>'[2]Kamal Original'!AA58</f>
        <v>#REF!</v>
      </c>
    </row>
    <row r="29" spans="1:30" ht="15.75">
      <c r="A29" s="235" t="s">
        <v>235</v>
      </c>
      <c r="B29" s="236">
        <f>C29+D29</f>
        <v>24610.754790699295</v>
      </c>
      <c r="C29" s="236">
        <v>20232</v>
      </c>
      <c r="D29" s="237">
        <v>4378.7547906992941</v>
      </c>
      <c r="E29" s="231">
        <f t="shared" si="2"/>
        <v>4.4746485191748163E-3</v>
      </c>
      <c r="F29" s="231">
        <f t="shared" si="3"/>
        <v>7.9613115512559612E-4</v>
      </c>
      <c r="G29" s="287">
        <f>C29/$C$28</f>
        <v>4.2905494244488369E-2</v>
      </c>
      <c r="H29" s="287">
        <f>D29/$D$28</f>
        <v>4.1111943857736588E-2</v>
      </c>
      <c r="I29" s="239">
        <f t="shared" si="0"/>
        <v>0.82207962218395347</v>
      </c>
      <c r="J29" s="239">
        <f t="shared" si="1"/>
        <v>0.17792037781604647</v>
      </c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</row>
    <row r="30" spans="1:30" ht="15.75">
      <c r="A30" s="235" t="s">
        <v>236</v>
      </c>
      <c r="B30" s="236">
        <f>C30+D30</f>
        <v>313158.54258824029</v>
      </c>
      <c r="C30" s="236">
        <v>250602</v>
      </c>
      <c r="D30" s="237">
        <v>62556.542588240307</v>
      </c>
      <c r="E30" s="231">
        <f t="shared" si="2"/>
        <v>5.6937482038908117E-2</v>
      </c>
      <c r="F30" s="231">
        <f t="shared" si="3"/>
        <v>1.1373829979523848E-2</v>
      </c>
      <c r="G30" s="287">
        <f t="shared" ref="G30:G31" si="14">C30/$C$28</f>
        <v>0.53144536717364932</v>
      </c>
      <c r="H30" s="287">
        <f t="shared" ref="H30:H31" si="15">D30/$D$28</f>
        <v>0.58734073720787627</v>
      </c>
      <c r="I30" s="239">
        <f t="shared" si="0"/>
        <v>0.80024002516037573</v>
      </c>
      <c r="J30" s="239">
        <f t="shared" si="1"/>
        <v>0.19975997483962435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</row>
    <row r="31" spans="1:30" ht="15.75">
      <c r="A31" s="235" t="s">
        <v>237</v>
      </c>
      <c r="B31" s="236">
        <f>C31+D31</f>
        <v>240286.79685886874</v>
      </c>
      <c r="C31" s="236">
        <v>200714</v>
      </c>
      <c r="D31" s="237">
        <v>39572.796858868736</v>
      </c>
      <c r="E31" s="231">
        <f t="shared" si="2"/>
        <v>4.3688174901004163E-2</v>
      </c>
      <c r="F31" s="231">
        <f t="shared" si="3"/>
        <v>7.1949990307108086E-3</v>
      </c>
      <c r="G31" s="287">
        <f t="shared" si="14"/>
        <v>0.42564913858186232</v>
      </c>
      <c r="H31" s="287">
        <f t="shared" si="15"/>
        <v>0.37154731893438719</v>
      </c>
      <c r="I31" s="239">
        <f t="shared" si="0"/>
        <v>0.83531014863828901</v>
      </c>
      <c r="J31" s="239">
        <f t="shared" si="1"/>
        <v>0.16468985136171099</v>
      </c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</row>
    <row r="32" spans="1:30" ht="15.75">
      <c r="A32" s="228" t="s">
        <v>238</v>
      </c>
      <c r="B32" s="229">
        <f>SUM(B33:B36)</f>
        <v>340898.93648749462</v>
      </c>
      <c r="C32" s="229">
        <f>SUM(C33:C36)</f>
        <v>275042</v>
      </c>
      <c r="D32" s="230">
        <v>65856.93648749459</v>
      </c>
      <c r="E32" s="231">
        <f t="shared" si="2"/>
        <v>6.1981151505296615E-2</v>
      </c>
      <c r="F32" s="231">
        <f t="shared" si="3"/>
        <v>1.1973897015239991E-2</v>
      </c>
      <c r="G32" s="286">
        <f t="shared" si="4"/>
        <v>6.875977802233077E-2</v>
      </c>
      <c r="H32" s="286">
        <f t="shared" si="5"/>
        <v>4.3904624324996394E-2</v>
      </c>
      <c r="I32" s="232">
        <f t="shared" si="0"/>
        <v>0.8068138986701987</v>
      </c>
      <c r="J32" s="232">
        <f t="shared" si="1"/>
        <v>0.19318610132980119</v>
      </c>
      <c r="K32" s="254" t="e">
        <f>'[2]Kamal Original'!H62</f>
        <v>#REF!</v>
      </c>
      <c r="L32" s="254" t="e">
        <f>'[2]Kamal Original'!I62</f>
        <v>#REF!</v>
      </c>
      <c r="M32" s="254" t="e">
        <f>'[2]Kamal Original'!J62</f>
        <v>#REF!</v>
      </c>
      <c r="N32" s="254" t="e">
        <f>'[2]Kamal Original'!K62</f>
        <v>#REF!</v>
      </c>
      <c r="O32" s="254" t="e">
        <f>'[2]Kamal Original'!L62</f>
        <v>#REF!</v>
      </c>
      <c r="P32" s="254" t="e">
        <f>'[2]Kamal Original'!M62</f>
        <v>#REF!</v>
      </c>
      <c r="Q32" s="254" t="e">
        <f>'[2]Kamal Original'!N62</f>
        <v>#REF!</v>
      </c>
      <c r="R32" s="254" t="e">
        <f>'[2]Kamal Original'!O62</f>
        <v>#REF!</v>
      </c>
      <c r="S32" s="254" t="e">
        <f>'[2]Kamal Original'!P62</f>
        <v>#REF!</v>
      </c>
      <c r="T32" s="254" t="e">
        <f>'[2]Kamal Original'!Q62</f>
        <v>#REF!</v>
      </c>
      <c r="U32" s="254" t="e">
        <f>'[2]Kamal Original'!R62</f>
        <v>#REF!</v>
      </c>
      <c r="V32" s="254" t="e">
        <f>'[2]Kamal Original'!S62</f>
        <v>#REF!</v>
      </c>
      <c r="W32" s="254" t="e">
        <f>'[2]Kamal Original'!T62</f>
        <v>#REF!</v>
      </c>
      <c r="X32" s="254" t="e">
        <f>'[2]Kamal Original'!U62</f>
        <v>#REF!</v>
      </c>
      <c r="Y32" s="254" t="e">
        <f>'[2]Kamal Original'!V62</f>
        <v>#REF!</v>
      </c>
      <c r="Z32" s="254" t="e">
        <f>'[2]Kamal Original'!W62</f>
        <v>#REF!</v>
      </c>
      <c r="AA32" s="254" t="e">
        <f>'[2]Kamal Original'!X62</f>
        <v>#REF!</v>
      </c>
      <c r="AB32" s="254" t="e">
        <f>'[2]Kamal Original'!Y62</f>
        <v>#REF!</v>
      </c>
      <c r="AC32" s="254" t="e">
        <f>'[2]Kamal Original'!Z62</f>
        <v>#REF!</v>
      </c>
      <c r="AD32" s="254" t="e">
        <f>'[2]Kamal Original'!AA62</f>
        <v>#REF!</v>
      </c>
    </row>
    <row r="33" spans="1:30" ht="16.5">
      <c r="A33" s="241" t="s">
        <v>239</v>
      </c>
      <c r="B33" s="242">
        <f>C33+D33</f>
        <v>77372.320482664465</v>
      </c>
      <c r="C33" s="243">
        <v>66043</v>
      </c>
      <c r="D33" s="244">
        <v>11329.320482664465</v>
      </c>
      <c r="E33" s="231">
        <f t="shared" si="2"/>
        <v>1.4067587208000314E-2</v>
      </c>
      <c r="F33" s="231">
        <f t="shared" si="3"/>
        <v>2.059860721548029E-3</v>
      </c>
      <c r="G33" s="287">
        <f>C33/$C$32</f>
        <v>0.24011969081085799</v>
      </c>
      <c r="H33" s="287">
        <f>D33/$D$32</f>
        <v>0.17202926657263751</v>
      </c>
      <c r="I33" s="245">
        <f t="shared" si="0"/>
        <v>0.85357398599408896</v>
      </c>
      <c r="J33" s="245">
        <f t="shared" si="1"/>
        <v>0.14642601400591104</v>
      </c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</row>
    <row r="34" spans="1:30" ht="16.5">
      <c r="A34" s="241" t="s">
        <v>240</v>
      </c>
      <c r="B34" s="242">
        <f>C34+D34</f>
        <v>38985.218420087607</v>
      </c>
      <c r="C34" s="243">
        <v>30965</v>
      </c>
      <c r="D34" s="244">
        <v>8020.2184200876045</v>
      </c>
      <c r="E34" s="231">
        <f t="shared" si="2"/>
        <v>7.0881674031012141E-3</v>
      </c>
      <c r="F34" s="231">
        <f t="shared" si="3"/>
        <v>1.4582103955001807E-3</v>
      </c>
      <c r="G34" s="287">
        <f t="shared" ref="G34:G36" si="16">C34/$C$32</f>
        <v>0.11258280553515464</v>
      </c>
      <c r="H34" s="287">
        <f t="shared" ref="H34:H36" si="17">D34/$D$32</f>
        <v>0.1217824400564175</v>
      </c>
      <c r="I34" s="245">
        <f t="shared" si="0"/>
        <v>0.79427540116191597</v>
      </c>
      <c r="J34" s="245">
        <f t="shared" si="1"/>
        <v>0.20572459883808397</v>
      </c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</row>
    <row r="35" spans="1:30" ht="16.5">
      <c r="A35" s="241" t="s">
        <v>241</v>
      </c>
      <c r="B35" s="242">
        <f>C35+D35</f>
        <v>63233.422517181694</v>
      </c>
      <c r="C35" s="243">
        <v>52862</v>
      </c>
      <c r="D35" s="244">
        <v>10371.422517181691</v>
      </c>
      <c r="E35" s="231">
        <f t="shared" si="2"/>
        <v>1.1496898117720136E-2</v>
      </c>
      <c r="F35" s="231">
        <f t="shared" si="3"/>
        <v>1.8856987850604941E-3</v>
      </c>
      <c r="G35" s="287">
        <f t="shared" si="16"/>
        <v>0.19219610095912623</v>
      </c>
      <c r="H35" s="287">
        <f t="shared" si="17"/>
        <v>0.15748413258110017</v>
      </c>
      <c r="I35" s="245">
        <f t="shared" si="0"/>
        <v>0.83598195219682148</v>
      </c>
      <c r="J35" s="245">
        <f t="shared" si="1"/>
        <v>0.1640180478031785</v>
      </c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</row>
    <row r="36" spans="1:30" ht="16.5">
      <c r="A36" s="241" t="s">
        <v>238</v>
      </c>
      <c r="B36" s="242">
        <f>C36+D36</f>
        <v>161307.97506756085</v>
      </c>
      <c r="C36" s="243">
        <v>125172</v>
      </c>
      <c r="D36" s="244">
        <v>36135.975067560837</v>
      </c>
      <c r="E36" s="231">
        <f t="shared" si="2"/>
        <v>2.9328498776474952E-2</v>
      </c>
      <c r="F36" s="231">
        <f t="shared" si="3"/>
        <v>6.5701271131312885E-3</v>
      </c>
      <c r="G36" s="287">
        <f t="shared" si="16"/>
        <v>0.45510140269486116</v>
      </c>
      <c r="H36" s="287">
        <f t="shared" si="17"/>
        <v>0.54870416078984496</v>
      </c>
      <c r="I36" s="245">
        <f t="shared" si="0"/>
        <v>0.77598147238271409</v>
      </c>
      <c r="J36" s="245">
        <f t="shared" si="1"/>
        <v>0.22401852761728586</v>
      </c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</row>
    <row r="37" spans="1:30" ht="31.5">
      <c r="A37" s="255" t="s">
        <v>242</v>
      </c>
      <c r="B37" s="255">
        <f>B3+B5+B12+B16+B19+B21+B28+B32</f>
        <v>5500042</v>
      </c>
      <c r="C37" s="255">
        <f>C3+C5+C12+C16+C19+C21+C28+C32</f>
        <v>4000042</v>
      </c>
      <c r="D37" s="255">
        <v>1500000</v>
      </c>
      <c r="E37" s="255">
        <f t="shared" si="2"/>
        <v>1</v>
      </c>
      <c r="F37" s="231">
        <f t="shared" si="3"/>
        <v>0.27272519009854834</v>
      </c>
      <c r="G37" s="255">
        <f t="shared" si="4"/>
        <v>1</v>
      </c>
      <c r="H37" s="255">
        <f>D37/$D$37</f>
        <v>1</v>
      </c>
      <c r="I37" s="255">
        <f t="shared" si="0"/>
        <v>0.72727480990145166</v>
      </c>
      <c r="J37" s="255">
        <f t="shared" si="1"/>
        <v>0.27272519009854834</v>
      </c>
      <c r="K37" s="255" t="e">
        <f>'[2]Kamal Original'!H67</f>
        <v>#REF!</v>
      </c>
      <c r="L37" s="255" t="e">
        <f>'[2]Kamal Original'!I67</f>
        <v>#REF!</v>
      </c>
      <c r="M37" s="255" t="e">
        <f>'[2]Kamal Original'!J67</f>
        <v>#REF!</v>
      </c>
      <c r="N37" s="255" t="e">
        <f>'[2]Kamal Original'!K67</f>
        <v>#REF!</v>
      </c>
      <c r="O37" s="255" t="e">
        <f>'[2]Kamal Original'!L67</f>
        <v>#REF!</v>
      </c>
      <c r="P37" s="255" t="e">
        <f>'[2]Kamal Original'!M67</f>
        <v>#REF!</v>
      </c>
      <c r="Q37" s="255" t="e">
        <f>'[2]Kamal Original'!N67</f>
        <v>#REF!</v>
      </c>
      <c r="R37" s="255" t="e">
        <f>'[2]Kamal Original'!O67</f>
        <v>#REF!</v>
      </c>
      <c r="S37" s="255" t="e">
        <f>'[2]Kamal Original'!P67</f>
        <v>#REF!</v>
      </c>
      <c r="T37" s="255" t="e">
        <f>'[2]Kamal Original'!Q67</f>
        <v>#REF!</v>
      </c>
      <c r="U37" s="255" t="e">
        <f>'[2]Kamal Original'!R67</f>
        <v>#REF!</v>
      </c>
      <c r="V37" s="255" t="e">
        <f>'[2]Kamal Original'!S67</f>
        <v>#REF!</v>
      </c>
      <c r="W37" s="255" t="e">
        <f>'[2]Kamal Original'!T67</f>
        <v>#REF!</v>
      </c>
      <c r="X37" s="255" t="e">
        <f>'[2]Kamal Original'!U67</f>
        <v>#REF!</v>
      </c>
      <c r="Y37" s="255" t="e">
        <f>'[2]Kamal Original'!V67</f>
        <v>#REF!</v>
      </c>
      <c r="Z37" s="255" t="e">
        <f>'[2]Kamal Original'!W67</f>
        <v>#REF!</v>
      </c>
      <c r="AA37" s="255" t="e">
        <f>'[2]Kamal Original'!X67</f>
        <v>#REF!</v>
      </c>
      <c r="AB37" s="255" t="e">
        <f>'[2]Kamal Original'!Y67</f>
        <v>#REF!</v>
      </c>
      <c r="AC37" s="255" t="e">
        <f>'[2]Kamal Original'!Z67</f>
        <v>#REF!</v>
      </c>
      <c r="AD37" s="255" t="e">
        <f>'[2]Kamal Original'!AA67</f>
        <v>#REF!</v>
      </c>
    </row>
  </sheetData>
  <autoFilter ref="A2:AD37"/>
  <mergeCells count="4">
    <mergeCell ref="L1:O1"/>
    <mergeCell ref="Q1:T1"/>
    <mergeCell ref="V1:Y1"/>
    <mergeCell ref="AA1:AD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8" workbookViewId="0">
      <selection activeCell="F3" sqref="F3"/>
    </sheetView>
  </sheetViews>
  <sheetFormatPr defaultColWidth="11.42578125" defaultRowHeight="15"/>
  <cols>
    <col min="1" max="1" width="12.28515625" customWidth="1"/>
    <col min="2" max="2" width="45.28515625" customWidth="1"/>
    <col min="3" max="3" width="11.140625" customWidth="1"/>
    <col min="4" max="5" width="17.140625" bestFit="1" customWidth="1"/>
    <col min="6" max="7" width="24.28515625" customWidth="1"/>
    <col min="8" max="8" width="50.85546875" customWidth="1"/>
  </cols>
  <sheetData>
    <row r="1" spans="1:8" ht="21">
      <c r="A1" s="505" t="s">
        <v>70</v>
      </c>
      <c r="B1" s="505"/>
      <c r="C1" s="505"/>
      <c r="D1" s="187" t="s">
        <v>164</v>
      </c>
      <c r="E1" s="187" t="s">
        <v>165</v>
      </c>
      <c r="F1" s="268" t="s">
        <v>254</v>
      </c>
    </row>
    <row r="2" spans="1:8" ht="24.95" customHeight="1">
      <c r="A2" s="110" t="s">
        <v>64</v>
      </c>
      <c r="B2" s="458" t="s">
        <v>128</v>
      </c>
      <c r="C2" s="458"/>
      <c r="D2" s="110"/>
      <c r="E2" s="110"/>
      <c r="F2">
        <f>0.4*1310000</f>
        <v>524000</v>
      </c>
      <c r="H2" s="9" t="s">
        <v>86</v>
      </c>
    </row>
    <row r="3" spans="1:8" ht="24.95" customHeight="1">
      <c r="A3" s="111" t="s">
        <v>2</v>
      </c>
      <c r="B3" s="434" t="s">
        <v>158</v>
      </c>
      <c r="C3" s="434"/>
      <c r="D3" s="111"/>
      <c r="E3" s="111"/>
      <c r="H3" s="10" t="s">
        <v>75</v>
      </c>
    </row>
    <row r="4" spans="1:8" ht="24.95" customHeight="1">
      <c r="A4" s="110" t="s">
        <v>3</v>
      </c>
      <c r="B4" s="434" t="s">
        <v>129</v>
      </c>
      <c r="C4" s="434"/>
      <c r="D4" s="110"/>
      <c r="E4" s="110"/>
      <c r="H4" s="11" t="s">
        <v>76</v>
      </c>
    </row>
    <row r="5" spans="1:8" ht="24.95" customHeight="1">
      <c r="A5" s="111" t="s">
        <v>65</v>
      </c>
      <c r="B5" s="434" t="s">
        <v>130</v>
      </c>
      <c r="C5" s="434"/>
      <c r="D5" s="111"/>
      <c r="E5" s="111"/>
      <c r="H5" s="10" t="s">
        <v>102</v>
      </c>
    </row>
    <row r="6" spans="1:8" ht="30.95" customHeight="1">
      <c r="A6" s="110" t="s">
        <v>66</v>
      </c>
      <c r="B6" s="434" t="s">
        <v>131</v>
      </c>
      <c r="C6" s="434"/>
      <c r="D6" s="110"/>
      <c r="E6" s="110"/>
      <c r="H6" s="11" t="s">
        <v>84</v>
      </c>
    </row>
    <row r="7" spans="1:8" ht="30.95" customHeight="1">
      <c r="A7" s="110" t="s">
        <v>67</v>
      </c>
      <c r="B7" s="434" t="s">
        <v>132</v>
      </c>
      <c r="C7" s="434"/>
      <c r="D7" s="110"/>
      <c r="E7" s="110"/>
    </row>
    <row r="10" spans="1:8" ht="21">
      <c r="A10" s="471" t="s">
        <v>71</v>
      </c>
      <c r="B10" s="471"/>
      <c r="C10" s="471"/>
      <c r="D10" s="184"/>
      <c r="E10" s="184"/>
    </row>
    <row r="11" spans="1:8" ht="21.95" customHeight="1">
      <c r="A11" s="110" t="s">
        <v>64</v>
      </c>
      <c r="B11" s="434" t="s">
        <v>138</v>
      </c>
      <c r="C11" s="434"/>
      <c r="D11" s="110"/>
      <c r="E11" s="110"/>
      <c r="H11" s="106" t="s">
        <v>152</v>
      </c>
    </row>
    <row r="12" spans="1:8" ht="21.95" customHeight="1">
      <c r="A12" s="111" t="s">
        <v>2</v>
      </c>
      <c r="B12" s="434" t="s">
        <v>139</v>
      </c>
      <c r="C12" s="434"/>
      <c r="D12" s="111"/>
      <c r="E12" s="111"/>
      <c r="H12" s="107" t="s">
        <v>90</v>
      </c>
    </row>
    <row r="13" spans="1:8" ht="30" customHeight="1">
      <c r="A13" s="110" t="s">
        <v>3</v>
      </c>
      <c r="B13" s="434" t="s">
        <v>140</v>
      </c>
      <c r="C13" s="434"/>
      <c r="D13" s="110"/>
      <c r="E13" s="110"/>
      <c r="H13" s="11" t="s">
        <v>151</v>
      </c>
    </row>
    <row r="14" spans="1:8" ht="21.95" customHeight="1">
      <c r="A14" s="111" t="s">
        <v>65</v>
      </c>
      <c r="B14" s="434" t="s">
        <v>136</v>
      </c>
      <c r="C14" s="434"/>
      <c r="D14" s="111"/>
      <c r="E14" s="111"/>
      <c r="H14" s="107" t="s">
        <v>159</v>
      </c>
    </row>
    <row r="15" spans="1:8" ht="30.95" customHeight="1">
      <c r="A15" s="110" t="s">
        <v>66</v>
      </c>
      <c r="B15" s="434" t="s">
        <v>137</v>
      </c>
      <c r="C15" s="434"/>
      <c r="D15" s="110"/>
      <c r="E15" s="110"/>
      <c r="H15" s="107" t="s">
        <v>85</v>
      </c>
    </row>
    <row r="16" spans="1:8" ht="21.95" customHeight="1">
      <c r="A16" s="111" t="s">
        <v>67</v>
      </c>
      <c r="B16" s="434" t="s">
        <v>133</v>
      </c>
      <c r="C16" s="434"/>
      <c r="D16" s="111"/>
      <c r="E16" s="111"/>
      <c r="H16" s="11" t="s">
        <v>84</v>
      </c>
    </row>
    <row r="17" spans="1:8" ht="21.95" customHeight="1">
      <c r="A17" s="110" t="s">
        <v>68</v>
      </c>
      <c r="B17" s="434" t="s">
        <v>134</v>
      </c>
      <c r="C17" s="434"/>
      <c r="D17" s="110"/>
      <c r="E17" s="110"/>
    </row>
    <row r="18" spans="1:8" ht="35.1" customHeight="1">
      <c r="A18" s="111" t="s">
        <v>69</v>
      </c>
      <c r="B18" s="434" t="s">
        <v>135</v>
      </c>
      <c r="C18" s="434"/>
      <c r="D18" s="111"/>
      <c r="E18" s="111"/>
    </row>
    <row r="21" spans="1:8" ht="21">
      <c r="A21" s="471" t="s">
        <v>72</v>
      </c>
      <c r="B21" s="471"/>
      <c r="C21" s="471"/>
      <c r="D21" s="184"/>
      <c r="E21" s="184"/>
    </row>
    <row r="22" spans="1:8" ht="30.95" customHeight="1">
      <c r="A22" s="110" t="s">
        <v>64</v>
      </c>
      <c r="B22" s="458" t="s">
        <v>143</v>
      </c>
      <c r="C22" s="458"/>
      <c r="D22" s="110"/>
      <c r="E22" s="110"/>
      <c r="H22" s="169" t="s">
        <v>153</v>
      </c>
    </row>
    <row r="23" spans="1:8" ht="21.95" customHeight="1">
      <c r="A23" s="111" t="s">
        <v>2</v>
      </c>
      <c r="B23" s="458" t="s">
        <v>141</v>
      </c>
      <c r="C23" s="458"/>
      <c r="D23" s="111"/>
      <c r="E23" s="111"/>
      <c r="H23" s="9" t="s">
        <v>77</v>
      </c>
    </row>
    <row r="24" spans="1:8" ht="21.95" customHeight="1">
      <c r="A24" s="110" t="s">
        <v>3</v>
      </c>
      <c r="B24" s="458" t="s">
        <v>144</v>
      </c>
      <c r="C24" s="458"/>
      <c r="D24" s="110"/>
      <c r="E24" s="110"/>
    </row>
    <row r="25" spans="1:8" ht="21.95" customHeight="1">
      <c r="A25" s="111" t="s">
        <v>65</v>
      </c>
      <c r="B25" s="458" t="s">
        <v>142</v>
      </c>
      <c r="C25" s="458"/>
      <c r="D25" s="111"/>
      <c r="E25" s="111"/>
    </row>
    <row r="26" spans="1:8" ht="21.95" customHeight="1">
      <c r="A26" s="111" t="s">
        <v>66</v>
      </c>
      <c r="B26" s="458" t="s">
        <v>145</v>
      </c>
      <c r="C26" s="458"/>
      <c r="D26" s="111"/>
      <c r="E26" s="111"/>
    </row>
    <row r="27" spans="1:8" ht="36" customHeight="1">
      <c r="A27" s="111" t="s">
        <v>67</v>
      </c>
      <c r="B27" s="434" t="s">
        <v>146</v>
      </c>
      <c r="C27" s="434"/>
      <c r="D27" s="111"/>
      <c r="E27" s="111"/>
    </row>
    <row r="30" spans="1:8" ht="45">
      <c r="A30" s="471" t="s">
        <v>73</v>
      </c>
      <c r="B30" s="471"/>
      <c r="C30" s="471"/>
      <c r="D30" s="184"/>
      <c r="E30" s="184"/>
      <c r="H30" s="169" t="s">
        <v>154</v>
      </c>
    </row>
    <row r="31" spans="1:8" ht="33" customHeight="1">
      <c r="A31" s="151" t="s">
        <v>64</v>
      </c>
      <c r="B31" s="434" t="s">
        <v>148</v>
      </c>
      <c r="C31" s="434"/>
      <c r="D31" s="151"/>
      <c r="E31" s="151"/>
      <c r="H31" s="10" t="s">
        <v>77</v>
      </c>
    </row>
    <row r="32" spans="1:8" ht="33" customHeight="1">
      <c r="A32" s="151" t="s">
        <v>2</v>
      </c>
      <c r="B32" s="185" t="s">
        <v>166</v>
      </c>
      <c r="C32" s="186"/>
      <c r="D32" s="151"/>
      <c r="E32" s="151"/>
    </row>
    <row r="33" spans="1:9" ht="33" customHeight="1">
      <c r="A33" s="151" t="s">
        <v>3</v>
      </c>
      <c r="B33" s="434" t="s">
        <v>149</v>
      </c>
      <c r="C33" s="434"/>
      <c r="D33" s="151"/>
      <c r="E33" s="151"/>
    </row>
    <row r="34" spans="1:9" ht="33" customHeight="1">
      <c r="A34" s="151" t="s">
        <v>65</v>
      </c>
      <c r="B34" s="434" t="s">
        <v>167</v>
      </c>
      <c r="C34" s="434"/>
      <c r="D34" s="151"/>
      <c r="E34" s="151"/>
    </row>
    <row r="38" spans="1:9" ht="21.95" customHeight="1">
      <c r="B38" s="225" t="s">
        <v>245</v>
      </c>
      <c r="C38" s="225" t="s">
        <v>37</v>
      </c>
      <c r="D38" s="225" t="s">
        <v>55</v>
      </c>
      <c r="E38" s="225" t="s">
        <v>244</v>
      </c>
    </row>
    <row r="39" spans="1:9" ht="30">
      <c r="A39" s="503" t="s">
        <v>161</v>
      </c>
      <c r="B39" s="11" t="s">
        <v>177</v>
      </c>
      <c r="C39" s="190">
        <v>4</v>
      </c>
      <c r="D39" s="190">
        <v>27</v>
      </c>
      <c r="E39" s="190" t="s">
        <v>178</v>
      </c>
    </row>
    <row r="40" spans="1:9" ht="30">
      <c r="A40" s="503"/>
      <c r="B40" s="9" t="s">
        <v>183</v>
      </c>
      <c r="C40" s="191">
        <v>197000</v>
      </c>
      <c r="D40" s="191">
        <v>1310000</v>
      </c>
      <c r="E40" s="190" t="s">
        <v>179</v>
      </c>
    </row>
    <row r="41" spans="1:9" ht="30">
      <c r="A41" s="503"/>
      <c r="B41" s="11" t="s">
        <v>75</v>
      </c>
      <c r="C41" s="190">
        <v>38</v>
      </c>
      <c r="D41" s="190">
        <v>251</v>
      </c>
      <c r="E41" s="190" t="s">
        <v>180</v>
      </c>
    </row>
    <row r="42" spans="1:9" ht="30">
      <c r="A42" s="503"/>
      <c r="B42" s="11" t="s">
        <v>76</v>
      </c>
      <c r="C42" s="190">
        <v>5</v>
      </c>
      <c r="D42" s="190">
        <v>34</v>
      </c>
      <c r="E42" s="190" t="s">
        <v>181</v>
      </c>
    </row>
    <row r="43" spans="1:9" ht="90">
      <c r="A43" s="257" t="s">
        <v>162</v>
      </c>
      <c r="B43" s="192" t="s">
        <v>160</v>
      </c>
      <c r="C43" s="193" t="s">
        <v>184</v>
      </c>
      <c r="D43" s="193" t="s">
        <v>185</v>
      </c>
      <c r="E43" s="194" t="s">
        <v>182</v>
      </c>
    </row>
    <row r="44" spans="1:9" ht="45">
      <c r="A44" s="503" t="s">
        <v>163</v>
      </c>
      <c r="B44" s="9" t="s">
        <v>169</v>
      </c>
      <c r="C44" s="191">
        <v>94000</v>
      </c>
      <c r="D44" s="191">
        <v>236000</v>
      </c>
      <c r="E44" s="190" t="s">
        <v>179</v>
      </c>
    </row>
    <row r="45" spans="1:9" ht="45">
      <c r="A45" s="503"/>
      <c r="B45" s="9" t="s">
        <v>168</v>
      </c>
      <c r="C45" s="191">
        <v>277000</v>
      </c>
      <c r="D45" s="191">
        <v>693000</v>
      </c>
      <c r="E45" s="190" t="s">
        <v>179</v>
      </c>
    </row>
    <row r="47" spans="1:9">
      <c r="B47" s="258"/>
      <c r="C47" s="504" t="s">
        <v>156</v>
      </c>
      <c r="D47" s="504"/>
      <c r="E47" s="504"/>
      <c r="F47" s="504" t="s">
        <v>157</v>
      </c>
      <c r="G47" s="504"/>
      <c r="H47" s="504"/>
      <c r="I47" s="504"/>
    </row>
    <row r="48" spans="1:9" ht="24" customHeight="1">
      <c r="B48" s="225" t="s">
        <v>6</v>
      </c>
      <c r="C48" s="225" t="s">
        <v>1</v>
      </c>
      <c r="D48" s="225" t="s">
        <v>37</v>
      </c>
      <c r="E48" s="225" t="s">
        <v>55</v>
      </c>
      <c r="F48" s="225" t="s">
        <v>1</v>
      </c>
      <c r="G48" s="269"/>
      <c r="H48" s="225" t="s">
        <v>37</v>
      </c>
      <c r="I48" s="225" t="s">
        <v>55</v>
      </c>
    </row>
    <row r="49" spans="2:9" ht="30">
      <c r="B49" s="106" t="s">
        <v>57</v>
      </c>
      <c r="C49" s="256">
        <v>0</v>
      </c>
      <c r="D49" s="256">
        <v>0.17594146666666663</v>
      </c>
      <c r="E49" s="256">
        <v>0.18055333333333334</v>
      </c>
      <c r="F49" s="256">
        <v>0</v>
      </c>
      <c r="G49" s="256"/>
      <c r="H49" s="256">
        <v>7.188520000000001E-2</v>
      </c>
      <c r="I49" s="256">
        <v>0.16722000000000001</v>
      </c>
    </row>
    <row r="50" spans="2:9" ht="30">
      <c r="B50" s="106" t="s">
        <v>58</v>
      </c>
      <c r="C50" s="256">
        <v>0</v>
      </c>
      <c r="D50" s="256">
        <v>0.17594146666666663</v>
      </c>
      <c r="E50" s="256">
        <v>0.18055333333333334</v>
      </c>
      <c r="F50" s="256">
        <v>0</v>
      </c>
      <c r="G50" s="256"/>
      <c r="H50" s="256">
        <v>7.188520000000001E-2</v>
      </c>
      <c r="I50" s="256">
        <v>0.16722000000000001</v>
      </c>
    </row>
    <row r="51" spans="2:9" ht="30">
      <c r="B51" s="106" t="s">
        <v>59</v>
      </c>
      <c r="C51" s="256">
        <v>0</v>
      </c>
      <c r="D51" s="256">
        <v>5.8244399999999995E-2</v>
      </c>
      <c r="E51" s="256">
        <v>0.38829599999999997</v>
      </c>
      <c r="F51" s="256">
        <v>0</v>
      </c>
      <c r="G51" s="256"/>
      <c r="H51" s="256">
        <v>7.2805499999999995E-2</v>
      </c>
      <c r="I51" s="256">
        <v>0.48537000000000002</v>
      </c>
    </row>
    <row r="52" spans="2:9" ht="30">
      <c r="B52" s="106" t="s">
        <v>155</v>
      </c>
      <c r="C52" s="256">
        <v>0</v>
      </c>
      <c r="D52" s="256">
        <v>3.6723789999999999E-2</v>
      </c>
      <c r="E52" s="256">
        <v>0.38829599999999997</v>
      </c>
      <c r="F52" s="256">
        <v>0</v>
      </c>
      <c r="G52" s="256"/>
      <c r="H52" s="256">
        <v>3.6723789999999999E-2</v>
      </c>
      <c r="I52" s="256">
        <v>0.48537000000000002</v>
      </c>
    </row>
  </sheetData>
  <mergeCells count="31">
    <mergeCell ref="C47:E47"/>
    <mergeCell ref="F47:I47"/>
    <mergeCell ref="B14:C14"/>
    <mergeCell ref="A1:C1"/>
    <mergeCell ref="B2:C2"/>
    <mergeCell ref="B3:C3"/>
    <mergeCell ref="B4:C4"/>
    <mergeCell ref="B5:C5"/>
    <mergeCell ref="B6:C6"/>
    <mergeCell ref="B7:C7"/>
    <mergeCell ref="A10:C10"/>
    <mergeCell ref="B11:C11"/>
    <mergeCell ref="B12:C12"/>
    <mergeCell ref="B13:C13"/>
    <mergeCell ref="A30:C30"/>
    <mergeCell ref="B15:C15"/>
    <mergeCell ref="B16:C16"/>
    <mergeCell ref="B17:C17"/>
    <mergeCell ref="B18:C18"/>
    <mergeCell ref="A21:C21"/>
    <mergeCell ref="B22:C22"/>
    <mergeCell ref="B23:C23"/>
    <mergeCell ref="B24:C24"/>
    <mergeCell ref="B25:C25"/>
    <mergeCell ref="B26:C26"/>
    <mergeCell ref="B27:C27"/>
    <mergeCell ref="B31:C31"/>
    <mergeCell ref="B33:C33"/>
    <mergeCell ref="B34:C34"/>
    <mergeCell ref="A39:A42"/>
    <mergeCell ref="A44:A45"/>
  </mergeCells>
  <phoneticPr fontId="35" type="noConversion"/>
  <pageMargins left="0.7" right="0.7" top="0.75" bottom="0.75" header="0.3" footer="0.3"/>
  <pageSetup paperSize="9" scale="67" orientation="landscape" horizontalDpi="0" verticalDpi="0"/>
  <rowBreaks count="1" manualBreakCount="1">
    <brk id="27" max="16383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opLeftCell="H29" workbookViewId="0">
      <selection activeCell="S72" sqref="S72"/>
    </sheetView>
  </sheetViews>
  <sheetFormatPr defaultColWidth="8.85546875" defaultRowHeight="15"/>
  <cols>
    <col min="1" max="1" width="41.85546875" bestFit="1" customWidth="1"/>
    <col min="2" max="2" width="23.42578125" customWidth="1"/>
    <col min="3" max="3" width="14.42578125" customWidth="1"/>
    <col min="4" max="4" width="13" style="181" customWidth="1"/>
    <col min="5" max="5" width="17.42578125" customWidth="1"/>
    <col min="6" max="6" width="18" customWidth="1"/>
    <col min="7" max="7" width="18.28515625" customWidth="1"/>
    <col min="8" max="8" width="17.42578125" customWidth="1"/>
    <col min="9" max="10" width="11.42578125" bestFit="1" customWidth="1"/>
    <col min="11" max="11" width="12.42578125" bestFit="1" customWidth="1"/>
    <col min="12" max="12" width="12.28515625" customWidth="1"/>
    <col min="13" max="13" width="8.28515625" bestFit="1" customWidth="1"/>
    <col min="14" max="14" width="10.42578125" bestFit="1" customWidth="1"/>
    <col min="15" max="15" width="9.7109375" bestFit="1" customWidth="1"/>
    <col min="17" max="17" width="11.42578125" customWidth="1"/>
    <col min="19" max="19" width="10.42578125" bestFit="1" customWidth="1"/>
    <col min="20" max="20" width="9.7109375" bestFit="1" customWidth="1"/>
    <col min="22" max="22" width="10.42578125" customWidth="1"/>
    <col min="24" max="25" width="9.7109375" bestFit="1" customWidth="1"/>
    <col min="27" max="27" width="11.140625" bestFit="1" customWidth="1"/>
    <col min="32" max="32" width="13.28515625" customWidth="1"/>
  </cols>
  <sheetData>
    <row r="1" spans="1:8" ht="12" customHeight="1"/>
    <row r="2" spans="1:8" ht="44.25" customHeight="1">
      <c r="A2" s="516" t="s">
        <v>186</v>
      </c>
      <c r="B2" s="516"/>
      <c r="C2" s="516"/>
      <c r="D2" s="516"/>
      <c r="E2" s="516"/>
      <c r="F2" s="516"/>
      <c r="G2" s="516"/>
      <c r="H2" s="516"/>
    </row>
    <row r="3" spans="1:8" ht="6.75" customHeight="1"/>
    <row r="4" spans="1:8" ht="6.75" customHeight="1" thickBot="1">
      <c r="C4" s="180"/>
      <c r="D4" s="195"/>
    </row>
    <row r="5" spans="1:8" s="181" customFormat="1" ht="23.25" customHeight="1">
      <c r="A5" s="517" t="s">
        <v>187</v>
      </c>
      <c r="B5" s="518"/>
      <c r="C5" s="196">
        <v>1500000</v>
      </c>
      <c r="D5" s="197"/>
      <c r="E5" s="181">
        <f>4000000/18200</f>
        <v>219.78021978021977</v>
      </c>
    </row>
    <row r="6" spans="1:8" s="181" customFormat="1" ht="21" customHeight="1">
      <c r="A6" s="512" t="s">
        <v>188</v>
      </c>
      <c r="B6" s="198" t="s">
        <v>189</v>
      </c>
      <c r="C6" s="199">
        <v>250000</v>
      </c>
      <c r="D6" s="200">
        <f>C6/C5</f>
        <v>0.16666666666666666</v>
      </c>
      <c r="E6" s="181">
        <f>5850000/(18200+C17)</f>
        <v>309.52380952380952</v>
      </c>
    </row>
    <row r="7" spans="1:8" s="181" customFormat="1" ht="21.75" customHeight="1">
      <c r="A7" s="512"/>
      <c r="B7" s="198" t="s">
        <v>190</v>
      </c>
      <c r="C7" s="199">
        <f>C5-C6</f>
        <v>1250000</v>
      </c>
      <c r="D7" s="200">
        <f>C7/C5</f>
        <v>0.83333333333333337</v>
      </c>
    </row>
    <row r="8" spans="1:8" s="181" customFormat="1" ht="24" customHeight="1">
      <c r="A8" s="512" t="s">
        <v>191</v>
      </c>
      <c r="B8" s="513"/>
      <c r="C8" s="201">
        <v>447</v>
      </c>
      <c r="D8" s="202"/>
    </row>
    <row r="9" spans="1:8" s="181" customFormat="1" ht="26.25" customHeight="1">
      <c r="A9" s="203"/>
      <c r="B9" s="198" t="s">
        <v>189</v>
      </c>
      <c r="C9" s="199">
        <v>140</v>
      </c>
      <c r="D9" s="200">
        <f>C9/C8</f>
        <v>0.31319910514541388</v>
      </c>
    </row>
    <row r="10" spans="1:8" s="181" customFormat="1" ht="24" customHeight="1" thickBot="1">
      <c r="A10" s="204"/>
      <c r="B10" s="205" t="s">
        <v>190</v>
      </c>
      <c r="C10" s="206">
        <f>C8-C9</f>
        <v>307</v>
      </c>
      <c r="D10" s="207">
        <f>C10/C8</f>
        <v>0.68680089485458617</v>
      </c>
    </row>
    <row r="11" spans="1:8" ht="9" customHeight="1" thickBot="1">
      <c r="C11" s="180"/>
    </row>
    <row r="12" spans="1:8" s="181" customFormat="1" ht="26.25" customHeight="1" thickBot="1">
      <c r="A12" s="517" t="s">
        <v>192</v>
      </c>
      <c r="B12" s="518"/>
      <c r="C12" s="197">
        <f>C8*1000</f>
        <v>447000</v>
      </c>
      <c r="D12" s="208"/>
    </row>
    <row r="13" spans="1:8" s="181" customFormat="1" ht="27" customHeight="1" thickBot="1">
      <c r="A13" s="512" t="s">
        <v>193</v>
      </c>
      <c r="B13" s="513"/>
      <c r="C13" s="209">
        <v>250</v>
      </c>
      <c r="D13" s="208"/>
      <c r="E13" s="210" t="s">
        <v>194</v>
      </c>
      <c r="F13" s="210" t="s">
        <v>195</v>
      </c>
      <c r="G13" s="210" t="s">
        <v>196</v>
      </c>
      <c r="H13" s="211" t="s">
        <v>197</v>
      </c>
    </row>
    <row r="14" spans="1:8" s="181" customFormat="1" ht="23.25" customHeight="1">
      <c r="A14" s="512" t="s">
        <v>198</v>
      </c>
      <c r="B14" s="513"/>
      <c r="C14" s="200">
        <v>0.8</v>
      </c>
      <c r="D14" s="208"/>
      <c r="E14" s="212">
        <v>0.4</v>
      </c>
      <c r="F14" s="212">
        <v>0.25</v>
      </c>
      <c r="G14" s="212">
        <v>0.25</v>
      </c>
      <c r="H14" s="212">
        <v>0.1</v>
      </c>
    </row>
    <row r="15" spans="1:8" ht="23.25" customHeight="1">
      <c r="A15" s="512" t="s">
        <v>199</v>
      </c>
      <c r="B15" s="513"/>
      <c r="C15" s="209">
        <f>C12/(C13*C14)</f>
        <v>2235</v>
      </c>
      <c r="D15" s="208"/>
      <c r="E15" s="213">
        <f t="shared" ref="E15:H25" si="0">$C15*E$14</f>
        <v>894</v>
      </c>
      <c r="F15" s="213">
        <f t="shared" si="0"/>
        <v>558.75</v>
      </c>
      <c r="G15" s="213">
        <f t="shared" si="0"/>
        <v>558.75</v>
      </c>
      <c r="H15" s="214">
        <f t="shared" si="0"/>
        <v>223.5</v>
      </c>
    </row>
    <row r="16" spans="1:8" ht="23.25" customHeight="1">
      <c r="A16" s="514" t="s">
        <v>200</v>
      </c>
      <c r="B16" s="515"/>
      <c r="C16" s="209">
        <f>C15*33000000/1500</f>
        <v>49170000</v>
      </c>
      <c r="D16" s="208"/>
      <c r="E16" s="213">
        <f t="shared" si="0"/>
        <v>19668000</v>
      </c>
      <c r="F16" s="213">
        <f t="shared" si="0"/>
        <v>12292500</v>
      </c>
      <c r="G16" s="213">
        <f t="shared" si="0"/>
        <v>12292500</v>
      </c>
      <c r="H16" s="214">
        <f t="shared" si="0"/>
        <v>4917000</v>
      </c>
    </row>
    <row r="17" spans="1:32" ht="26.25" customHeight="1">
      <c r="A17" s="512" t="s">
        <v>109</v>
      </c>
      <c r="B17" s="513"/>
      <c r="C17" s="209">
        <f>C15*D9</f>
        <v>700</v>
      </c>
      <c r="D17" s="208"/>
      <c r="E17" s="213">
        <f>$C17*E$14</f>
        <v>280</v>
      </c>
      <c r="F17" s="213">
        <f t="shared" si="0"/>
        <v>175</v>
      </c>
      <c r="G17" s="213">
        <f t="shared" si="0"/>
        <v>175</v>
      </c>
      <c r="H17" s="214">
        <f t="shared" si="0"/>
        <v>70</v>
      </c>
      <c r="J17" s="215">
        <f>E17*310</f>
        <v>86800</v>
      </c>
      <c r="K17" s="215">
        <f t="shared" ref="K17:M18" si="1">F17*310</f>
        <v>54250</v>
      </c>
      <c r="L17" s="215">
        <f t="shared" si="1"/>
        <v>54250</v>
      </c>
      <c r="M17" s="215">
        <f t="shared" si="1"/>
        <v>21700</v>
      </c>
    </row>
    <row r="18" spans="1:32" ht="22.5" customHeight="1">
      <c r="A18" s="512" t="s">
        <v>110</v>
      </c>
      <c r="B18" s="513"/>
      <c r="C18" s="209">
        <f>C15*D10</f>
        <v>1535</v>
      </c>
      <c r="D18" s="208"/>
      <c r="E18" s="213">
        <f t="shared" si="0"/>
        <v>614</v>
      </c>
      <c r="F18" s="213">
        <f t="shared" si="0"/>
        <v>383.75</v>
      </c>
      <c r="G18" s="213">
        <f t="shared" si="0"/>
        <v>383.75</v>
      </c>
      <c r="H18" s="214">
        <f t="shared" si="0"/>
        <v>153.5</v>
      </c>
      <c r="J18" s="215">
        <f>E18*310</f>
        <v>190340</v>
      </c>
      <c r="K18" s="215">
        <f t="shared" si="1"/>
        <v>118962.5</v>
      </c>
      <c r="L18" s="215">
        <f t="shared" si="1"/>
        <v>118962.5</v>
      </c>
      <c r="M18" s="215">
        <f t="shared" si="1"/>
        <v>47585</v>
      </c>
    </row>
    <row r="19" spans="1:32" ht="23.25" customHeight="1">
      <c r="A19" s="512" t="s">
        <v>201</v>
      </c>
      <c r="B19" s="513"/>
      <c r="C19" s="209">
        <f>C17*50000</f>
        <v>35000000</v>
      </c>
      <c r="D19" s="208"/>
      <c r="E19" s="213">
        <f t="shared" si="0"/>
        <v>14000000</v>
      </c>
      <c r="F19" s="213">
        <f t="shared" si="0"/>
        <v>8750000</v>
      </c>
      <c r="G19" s="213">
        <f t="shared" si="0"/>
        <v>8750000</v>
      </c>
      <c r="H19" s="214">
        <f t="shared" si="0"/>
        <v>3500000</v>
      </c>
    </row>
    <row r="20" spans="1:32" ht="24" customHeight="1">
      <c r="A20" s="512" t="s">
        <v>202</v>
      </c>
      <c r="B20" s="513"/>
      <c r="C20" s="209">
        <f>C18*10000</f>
        <v>15350000</v>
      </c>
      <c r="D20" s="208"/>
      <c r="E20" s="213">
        <f t="shared" si="0"/>
        <v>6140000</v>
      </c>
      <c r="F20" s="213">
        <f t="shared" si="0"/>
        <v>3837500</v>
      </c>
      <c r="G20" s="213">
        <f t="shared" si="0"/>
        <v>3837500</v>
      </c>
      <c r="H20" s="214">
        <f t="shared" si="0"/>
        <v>1535000</v>
      </c>
    </row>
    <row r="21" spans="1:32" ht="24" customHeight="1">
      <c r="A21" s="512" t="s">
        <v>203</v>
      </c>
      <c r="B21" s="513"/>
      <c r="C21" s="209">
        <f>C15/50</f>
        <v>44.7</v>
      </c>
      <c r="D21" s="122"/>
      <c r="E21" s="213">
        <f t="shared" si="0"/>
        <v>17.880000000000003</v>
      </c>
      <c r="F21" s="213">
        <f t="shared" si="0"/>
        <v>11.175000000000001</v>
      </c>
      <c r="G21" s="213">
        <f t="shared" si="0"/>
        <v>11.175000000000001</v>
      </c>
      <c r="H21" s="214">
        <f t="shared" si="0"/>
        <v>4.4700000000000006</v>
      </c>
    </row>
    <row r="22" spans="1:32" ht="24" customHeight="1">
      <c r="A22" s="216"/>
      <c r="B22" s="217" t="s">
        <v>111</v>
      </c>
      <c r="C22" s="209">
        <f>C21*0.65</f>
        <v>29.055000000000003</v>
      </c>
      <c r="D22" s="122"/>
      <c r="E22" s="213">
        <f t="shared" si="0"/>
        <v>11.622000000000002</v>
      </c>
      <c r="F22" s="213">
        <f t="shared" si="0"/>
        <v>7.2637500000000008</v>
      </c>
      <c r="G22" s="213">
        <f t="shared" si="0"/>
        <v>7.2637500000000008</v>
      </c>
      <c r="H22" s="214">
        <f t="shared" si="0"/>
        <v>2.9055000000000004</v>
      </c>
    </row>
    <row r="23" spans="1:32" ht="24" customHeight="1">
      <c r="A23" s="216"/>
      <c r="B23" s="217" t="s">
        <v>112</v>
      </c>
      <c r="C23" s="209">
        <f>C21*(0.35)</f>
        <v>15.645</v>
      </c>
      <c r="D23" s="122"/>
      <c r="E23" s="213">
        <f t="shared" si="0"/>
        <v>6.258</v>
      </c>
      <c r="F23" s="213">
        <f t="shared" si="0"/>
        <v>3.9112499999999999</v>
      </c>
      <c r="G23" s="213">
        <f t="shared" si="0"/>
        <v>3.9112499999999999</v>
      </c>
      <c r="H23" s="214">
        <f t="shared" si="0"/>
        <v>1.5645</v>
      </c>
    </row>
    <row r="24" spans="1:32" ht="30" customHeight="1">
      <c r="A24" s="512" t="s">
        <v>204</v>
      </c>
      <c r="B24" s="513"/>
      <c r="C24" s="209">
        <f>C22*50000*9</f>
        <v>13074750.000000002</v>
      </c>
      <c r="D24" s="122"/>
      <c r="E24" s="213">
        <f t="shared" si="0"/>
        <v>5229900.0000000009</v>
      </c>
      <c r="F24" s="213">
        <f t="shared" si="0"/>
        <v>3268687.5000000005</v>
      </c>
      <c r="G24" s="213">
        <f t="shared" si="0"/>
        <v>3268687.5000000005</v>
      </c>
      <c r="H24" s="214">
        <f t="shared" si="0"/>
        <v>1307475.0000000002</v>
      </c>
    </row>
    <row r="25" spans="1:32" ht="27.75" customHeight="1">
      <c r="A25" s="512" t="s">
        <v>205</v>
      </c>
      <c r="B25" s="513"/>
      <c r="C25" s="209">
        <f>C23*75000*9</f>
        <v>10560375</v>
      </c>
      <c r="D25" s="122"/>
      <c r="E25" s="213">
        <f t="shared" si="0"/>
        <v>4224150</v>
      </c>
      <c r="F25" s="213">
        <f t="shared" si="0"/>
        <v>2640093.75</v>
      </c>
      <c r="G25" s="213">
        <f t="shared" si="0"/>
        <v>2640093.75</v>
      </c>
      <c r="H25" s="214">
        <f t="shared" si="0"/>
        <v>1056037.5</v>
      </c>
    </row>
    <row r="26" spans="1:32" ht="27" customHeight="1">
      <c r="A26" s="512" t="s">
        <v>206</v>
      </c>
      <c r="B26" s="513"/>
      <c r="C26" s="209">
        <f>C15/6</f>
        <v>372.5</v>
      </c>
      <c r="E26" s="218"/>
      <c r="F26" s="219"/>
      <c r="G26" s="219"/>
      <c r="H26" s="220"/>
    </row>
    <row r="27" spans="1:32" ht="26.25" customHeight="1">
      <c r="A27" s="512" t="s">
        <v>207</v>
      </c>
      <c r="B27" s="513"/>
      <c r="C27" s="209">
        <f>C26*1500</f>
        <v>558750</v>
      </c>
      <c r="E27" s="218"/>
      <c r="F27" s="219"/>
      <c r="G27" s="219"/>
      <c r="H27" s="220"/>
    </row>
    <row r="28" spans="1:32" ht="26.25" customHeight="1" thickBot="1">
      <c r="A28" s="507" t="s">
        <v>208</v>
      </c>
      <c r="B28" s="508"/>
      <c r="C28" s="221">
        <f>C27*4</f>
        <v>2235000</v>
      </c>
      <c r="E28" s="213">
        <f>$C28*E$14</f>
        <v>894000</v>
      </c>
      <c r="F28" s="213">
        <f>$C28*F$14</f>
        <v>558750</v>
      </c>
      <c r="G28" s="213">
        <f>$C28*G$14</f>
        <v>558750</v>
      </c>
      <c r="H28" s="213">
        <f>$C28*H$14</f>
        <v>223500</v>
      </c>
    </row>
    <row r="29" spans="1:32" ht="30.75" customHeight="1" thickBot="1">
      <c r="A29" s="509" t="s">
        <v>209</v>
      </c>
      <c r="B29" s="510"/>
      <c r="C29" s="222">
        <f>C16+C19+C20+C24+C28</f>
        <v>114829750</v>
      </c>
      <c r="D29" s="223"/>
      <c r="E29" s="222">
        <f>E16+E19+E20+E24+E28</f>
        <v>45931900</v>
      </c>
      <c r="F29" s="222">
        <f t="shared" ref="F29:H29" si="2">F16+F19+F20+F24+F28</f>
        <v>28707437.5</v>
      </c>
      <c r="G29" s="222">
        <f t="shared" si="2"/>
        <v>28707437.5</v>
      </c>
      <c r="H29" s="222">
        <f t="shared" si="2"/>
        <v>11482975</v>
      </c>
    </row>
    <row r="30" spans="1:32" ht="18.75" customHeight="1"/>
    <row r="31" spans="1:32" ht="28.5" customHeight="1">
      <c r="H31" s="224"/>
      <c r="I31" s="506">
        <v>2017</v>
      </c>
      <c r="J31" s="506"/>
      <c r="K31" s="506"/>
      <c r="L31" s="506"/>
      <c r="N31" s="511">
        <v>2018</v>
      </c>
      <c r="O31" s="511"/>
      <c r="P31" s="511"/>
      <c r="Q31" s="511"/>
      <c r="S31" s="511">
        <v>2019</v>
      </c>
      <c r="T31" s="511"/>
      <c r="U31" s="511"/>
      <c r="V31" s="511"/>
      <c r="X31" s="511">
        <v>2020</v>
      </c>
      <c r="Y31" s="511"/>
      <c r="Z31" s="511"/>
      <c r="AA31" s="511"/>
      <c r="AB31" s="224"/>
      <c r="AC31" s="506" t="s">
        <v>210</v>
      </c>
      <c r="AD31" s="506"/>
      <c r="AE31" s="506"/>
      <c r="AF31" s="506"/>
    </row>
    <row r="32" spans="1:32" ht="94.5" customHeight="1">
      <c r="A32" s="226" t="s">
        <v>211</v>
      </c>
      <c r="B32" s="155" t="s">
        <v>212</v>
      </c>
      <c r="C32" s="155" t="s">
        <v>156</v>
      </c>
      <c r="D32" s="155" t="s">
        <v>213</v>
      </c>
      <c r="E32" s="155" t="s">
        <v>214</v>
      </c>
      <c r="F32" s="155" t="s">
        <v>113</v>
      </c>
      <c r="G32" s="155" t="s">
        <v>114</v>
      </c>
      <c r="H32" s="227" t="str">
        <f>A17</f>
        <v>Estimated No. of New Transfos</v>
      </c>
      <c r="I32" s="227" t="str">
        <f>A18</f>
        <v>Estimated No. of Rehab. Transfos</v>
      </c>
      <c r="J32" s="227" t="str">
        <f>B22</f>
        <v>OH</v>
      </c>
      <c r="K32" s="227" t="str">
        <f>B23</f>
        <v>UG</v>
      </c>
      <c r="L32" s="227" t="s">
        <v>108</v>
      </c>
      <c r="M32" s="155" t="str">
        <f>H32</f>
        <v>Estimated No. of New Transfos</v>
      </c>
      <c r="N32" s="155" t="str">
        <f>I32</f>
        <v>Estimated No. of Rehab. Transfos</v>
      </c>
      <c r="O32" s="155" t="str">
        <f>J32</f>
        <v>OH</v>
      </c>
      <c r="P32" s="155" t="str">
        <f>K32</f>
        <v>UG</v>
      </c>
      <c r="Q32" s="155" t="s">
        <v>215</v>
      </c>
      <c r="R32" s="155" t="str">
        <f>M32</f>
        <v>Estimated No. of New Transfos</v>
      </c>
      <c r="S32" s="155" t="str">
        <f>N32</f>
        <v>Estimated No. of Rehab. Transfos</v>
      </c>
      <c r="T32" s="155" t="str">
        <f>O32</f>
        <v>OH</v>
      </c>
      <c r="U32" s="155" t="str">
        <f>P32</f>
        <v>UG</v>
      </c>
      <c r="V32" s="155" t="s">
        <v>216</v>
      </c>
      <c r="W32" s="155" t="str">
        <f>R32</f>
        <v>Estimated No. of New Transfos</v>
      </c>
      <c r="X32" s="155" t="str">
        <f>S32</f>
        <v>Estimated No. of Rehab. Transfos</v>
      </c>
      <c r="Y32" s="155" t="str">
        <f>T32</f>
        <v>OH</v>
      </c>
      <c r="Z32" s="155" t="str">
        <f>U32</f>
        <v>UG</v>
      </c>
      <c r="AA32" s="155" t="s">
        <v>217</v>
      </c>
      <c r="AB32" s="155" t="str">
        <f>W32</f>
        <v>Estimated No. of New Transfos</v>
      </c>
      <c r="AC32" s="155" t="str">
        <f>X32</f>
        <v>Estimated No. of Rehab. Transfos</v>
      </c>
      <c r="AD32" s="155" t="str">
        <f>Y32</f>
        <v>OH</v>
      </c>
      <c r="AE32" s="155" t="str">
        <f>Z32</f>
        <v>UG</v>
      </c>
      <c r="AF32" s="155" t="s">
        <v>217</v>
      </c>
    </row>
    <row r="33" spans="1:32" ht="15.75">
      <c r="A33" s="228" t="s">
        <v>119</v>
      </c>
      <c r="B33" s="229">
        <f>B34</f>
        <v>396256.89720303472</v>
      </c>
      <c r="C33" s="229">
        <f>C34</f>
        <v>252623</v>
      </c>
      <c r="D33" s="230">
        <v>143633.89720303469</v>
      </c>
      <c r="E33" s="231">
        <f>B33/$B$67</f>
        <v>7.204615841170571E-2</v>
      </c>
      <c r="F33" s="232">
        <f t="shared" ref="F33:F67" si="3">C33/B33</f>
        <v>0.63752328800616598</v>
      </c>
      <c r="G33" s="232">
        <f t="shared" ref="G33:G67" si="4">D33/B33</f>
        <v>0.36247671199383397</v>
      </c>
      <c r="H33" s="233">
        <f>$E$17*E33</f>
        <v>20.172924355277598</v>
      </c>
      <c r="I33" s="233">
        <f>$E$18*E33</f>
        <v>44.236341264787306</v>
      </c>
      <c r="J33" s="233">
        <f>$E$22*E33</f>
        <v>0.83732045306084391</v>
      </c>
      <c r="K33" s="233">
        <f>$E$23*E33</f>
        <v>0.45086485934045434</v>
      </c>
      <c r="L33" s="233">
        <f>$E$29*E33</f>
        <v>3309216.9435506254</v>
      </c>
      <c r="M33" s="234">
        <f>$F$17*E33</f>
        <v>12.608077722048499</v>
      </c>
      <c r="N33" s="234">
        <f>$F$18*E33</f>
        <v>27.647713290492067</v>
      </c>
      <c r="O33" s="234">
        <f>$F$22*E33</f>
        <v>0.5233252831630274</v>
      </c>
      <c r="P33" s="234">
        <f>$F$23*E33</f>
        <v>0.28179053708778395</v>
      </c>
      <c r="Q33" s="234">
        <f>$F$29*E33</f>
        <v>2068260.5897191409</v>
      </c>
      <c r="R33" s="234">
        <f>$G$17*E33</f>
        <v>12.608077722048499</v>
      </c>
      <c r="S33" s="234">
        <f>$G$18*E33</f>
        <v>27.647713290492067</v>
      </c>
      <c r="T33" s="234">
        <f>$G$22*E33</f>
        <v>0.5233252831630274</v>
      </c>
      <c r="U33" s="234">
        <f>$G$23*E33</f>
        <v>0.28179053708778395</v>
      </c>
      <c r="V33" s="234">
        <f>$G$29*E33</f>
        <v>2068260.5897191409</v>
      </c>
      <c r="W33" s="234">
        <f>$H$17*E33</f>
        <v>5.0432310888193994</v>
      </c>
      <c r="X33" s="234">
        <f>$H$18*E33</f>
        <v>11.059085316196827</v>
      </c>
      <c r="Y33" s="234">
        <f>$H$22*E33</f>
        <v>0.20933011326521098</v>
      </c>
      <c r="Z33" s="234">
        <f>$H$23*E33</f>
        <v>0.11271621483511358</v>
      </c>
      <c r="AA33" s="234">
        <f>$H$29*E33</f>
        <v>827304.23588765634</v>
      </c>
      <c r="AB33" s="233">
        <f>W33+R33+M33+H33</f>
        <v>50.432310888193996</v>
      </c>
      <c r="AC33" s="233">
        <f>X33+S33+N33+I33</f>
        <v>110.59085316196825</v>
      </c>
      <c r="AD33" s="233">
        <f>Y33+T33+O33+J33</f>
        <v>2.0933011326521096</v>
      </c>
      <c r="AE33" s="233">
        <f>Z33+U33+P33+K33</f>
        <v>1.1271621483511358</v>
      </c>
      <c r="AF33" s="233">
        <f>AA33+V33+Q33+L33</f>
        <v>8273042.3588765636</v>
      </c>
    </row>
    <row r="34" spans="1:32" ht="15.75" hidden="1">
      <c r="A34" s="235" t="s">
        <v>10</v>
      </c>
      <c r="B34" s="236">
        <f>C34+D34</f>
        <v>396256.89720303472</v>
      </c>
      <c r="C34" s="236">
        <v>252623</v>
      </c>
      <c r="D34" s="237">
        <v>143633.89720303469</v>
      </c>
      <c r="E34" s="238">
        <f>B34/$B$67</f>
        <v>7.204615841170571E-2</v>
      </c>
      <c r="F34" s="239">
        <f t="shared" si="3"/>
        <v>0.63752328800616598</v>
      </c>
      <c r="G34" s="239">
        <f t="shared" si="4"/>
        <v>0.36247671199383397</v>
      </c>
      <c r="H34" s="240"/>
      <c r="I34" s="240"/>
      <c r="J34" s="240"/>
      <c r="K34" s="240"/>
      <c r="L34" s="240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33">
        <f t="shared" ref="AB34:AF62" si="5">W34+R34+M34+H34</f>
        <v>0</v>
      </c>
      <c r="AC34" s="233">
        <f t="shared" si="5"/>
        <v>0</v>
      </c>
      <c r="AD34" s="233">
        <f t="shared" si="5"/>
        <v>0</v>
      </c>
      <c r="AE34" s="233">
        <f t="shared" si="5"/>
        <v>0</v>
      </c>
      <c r="AF34" s="233">
        <f t="shared" si="5"/>
        <v>0</v>
      </c>
    </row>
    <row r="35" spans="1:32" ht="15.75">
      <c r="A35" s="228" t="s">
        <v>120</v>
      </c>
      <c r="B35" s="229">
        <f>SUM(B36:B41)</f>
        <v>776399.07459412701</v>
      </c>
      <c r="C35" s="229">
        <f>SUM(C36:C41)</f>
        <v>553637</v>
      </c>
      <c r="D35" s="230">
        <v>222762.07459412701</v>
      </c>
      <c r="E35" s="231">
        <f t="shared" ref="E35:E66" si="6">B35/$B$67</f>
        <v>0.14116239014068019</v>
      </c>
      <c r="F35" s="232">
        <f t="shared" si="3"/>
        <v>0.71308302407421231</v>
      </c>
      <c r="G35" s="232">
        <f t="shared" si="4"/>
        <v>0.28691697592578774</v>
      </c>
      <c r="H35" s="233">
        <f t="shared" ref="H35:H62" si="7">$E$17*E35</f>
        <v>39.525469239390453</v>
      </c>
      <c r="I35" s="233">
        <f t="shared" ref="I35:I62" si="8">$E$18*E35</f>
        <v>86.673707546377642</v>
      </c>
      <c r="J35" s="233">
        <f t="shared" ref="J35:J62" si="9">$E$22*E35</f>
        <v>1.6405892982149854</v>
      </c>
      <c r="K35" s="233">
        <f t="shared" ref="K35:K62" si="10">$E$23*E35</f>
        <v>0.8833942375003766</v>
      </c>
      <c r="L35" s="233">
        <f t="shared" ref="L35:L62" si="11">$E$29*E35</f>
        <v>6483856.7877027085</v>
      </c>
      <c r="M35" s="234">
        <f>$F$17*E35</f>
        <v>24.703418274619033</v>
      </c>
      <c r="N35" s="234">
        <f>$F$18*E35</f>
        <v>54.171067216486023</v>
      </c>
      <c r="O35" s="234">
        <f>$F$22*E35</f>
        <v>1.0253683113843659</v>
      </c>
      <c r="P35" s="234">
        <f>$F$23*E35</f>
        <v>0.55212139843773533</v>
      </c>
      <c r="Q35" s="234">
        <f>$F$29*E35</f>
        <v>4052410.4923141929</v>
      </c>
      <c r="R35" s="234">
        <f>$G$17*E35</f>
        <v>24.703418274619033</v>
      </c>
      <c r="S35" s="234">
        <f>$G$18*E35</f>
        <v>54.171067216486023</v>
      </c>
      <c r="T35" s="234">
        <f>$G$22*E35</f>
        <v>1.0253683113843659</v>
      </c>
      <c r="U35" s="234">
        <f>$G$23*E35</f>
        <v>0.55212139843773533</v>
      </c>
      <c r="V35" s="234">
        <f>$G$29*E35</f>
        <v>4052410.4923141929</v>
      </c>
      <c r="W35" s="234">
        <f>$H$17*E35</f>
        <v>9.8813673098476134</v>
      </c>
      <c r="X35" s="234">
        <f>$H$18*E35</f>
        <v>21.668426886594411</v>
      </c>
      <c r="Y35" s="234">
        <f>$H$22*E35</f>
        <v>0.41014732455374636</v>
      </c>
      <c r="Z35" s="234">
        <f>$H$23*E35</f>
        <v>0.22084855937509415</v>
      </c>
      <c r="AA35" s="234">
        <f>$H$29*E35</f>
        <v>1620964.1969256771</v>
      </c>
      <c r="AB35" s="233">
        <f t="shared" si="5"/>
        <v>98.81367309847613</v>
      </c>
      <c r="AC35" s="233">
        <f t="shared" si="5"/>
        <v>216.68426886594409</v>
      </c>
      <c r="AD35" s="233">
        <f t="shared" si="5"/>
        <v>4.1014732455374636</v>
      </c>
      <c r="AE35" s="233">
        <f t="shared" si="5"/>
        <v>2.2084855937509413</v>
      </c>
      <c r="AF35" s="233">
        <f t="shared" si="5"/>
        <v>16209641.96925677</v>
      </c>
    </row>
    <row r="36" spans="1:32" ht="15.75" hidden="1">
      <c r="A36" s="235" t="s">
        <v>218</v>
      </c>
      <c r="B36" s="236">
        <f t="shared" ref="B36:B41" si="12">C36+D36</f>
        <v>66333.541969960701</v>
      </c>
      <c r="C36" s="236">
        <v>46074</v>
      </c>
      <c r="D36" s="237">
        <v>20259.541969960708</v>
      </c>
      <c r="E36" s="238">
        <f t="shared" si="6"/>
        <v>1.2060551895778378E-2</v>
      </c>
      <c r="F36" s="239">
        <f t="shared" si="3"/>
        <v>0.69458072992491071</v>
      </c>
      <c r="G36" s="239">
        <f t="shared" si="4"/>
        <v>0.30541927007508946</v>
      </c>
      <c r="H36" s="240"/>
      <c r="I36" s="240"/>
      <c r="J36" s="240"/>
      <c r="K36" s="240"/>
      <c r="L36" s="240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33">
        <f t="shared" si="5"/>
        <v>0</v>
      </c>
      <c r="AC36" s="233">
        <f t="shared" si="5"/>
        <v>0</v>
      </c>
      <c r="AD36" s="233">
        <f t="shared" si="5"/>
        <v>0</v>
      </c>
      <c r="AE36" s="233">
        <f t="shared" si="5"/>
        <v>0</v>
      </c>
      <c r="AF36" s="233">
        <f t="shared" si="5"/>
        <v>0</v>
      </c>
    </row>
    <row r="37" spans="1:32" ht="15.75" hidden="1">
      <c r="A37" s="235" t="s">
        <v>219</v>
      </c>
      <c r="B37" s="236">
        <f t="shared" si="12"/>
        <v>25162.797985124522</v>
      </c>
      <c r="C37" s="236">
        <v>21218</v>
      </c>
      <c r="D37" s="237">
        <v>3944.7979851245218</v>
      </c>
      <c r="E37" s="238">
        <f t="shared" si="6"/>
        <v>4.5750192426029694E-3</v>
      </c>
      <c r="F37" s="239">
        <f t="shared" si="3"/>
        <v>0.84322896096624211</v>
      </c>
      <c r="G37" s="239">
        <f t="shared" si="4"/>
        <v>0.15677103903375794</v>
      </c>
      <c r="H37" s="240"/>
      <c r="I37" s="240"/>
      <c r="J37" s="240"/>
      <c r="K37" s="240"/>
      <c r="L37" s="240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33">
        <f t="shared" si="5"/>
        <v>0</v>
      </c>
      <c r="AC37" s="233">
        <f t="shared" si="5"/>
        <v>0</v>
      </c>
      <c r="AD37" s="233">
        <f t="shared" si="5"/>
        <v>0</v>
      </c>
      <c r="AE37" s="233">
        <f t="shared" si="5"/>
        <v>0</v>
      </c>
      <c r="AF37" s="233">
        <f t="shared" si="5"/>
        <v>0</v>
      </c>
    </row>
    <row r="38" spans="1:32" ht="15.75" hidden="1">
      <c r="A38" s="235" t="s">
        <v>220</v>
      </c>
      <c r="B38" s="236">
        <f t="shared" si="12"/>
        <v>71255.951852564991</v>
      </c>
      <c r="C38" s="236">
        <v>48159</v>
      </c>
      <c r="D38" s="237">
        <v>23096.951852564991</v>
      </c>
      <c r="E38" s="238">
        <f t="shared" si="6"/>
        <v>1.2955528676429197E-2</v>
      </c>
      <c r="F38" s="239">
        <f t="shared" si="3"/>
        <v>0.675859331717936</v>
      </c>
      <c r="G38" s="239">
        <f t="shared" si="4"/>
        <v>0.324140668282064</v>
      </c>
      <c r="H38" s="240"/>
      <c r="I38" s="240"/>
      <c r="J38" s="240"/>
      <c r="K38" s="240"/>
      <c r="L38" s="240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33">
        <f t="shared" si="5"/>
        <v>0</v>
      </c>
      <c r="AC38" s="233">
        <f t="shared" si="5"/>
        <v>0</v>
      </c>
      <c r="AD38" s="233">
        <f t="shared" si="5"/>
        <v>0</v>
      </c>
      <c r="AE38" s="233">
        <f t="shared" si="5"/>
        <v>0</v>
      </c>
      <c r="AF38" s="233">
        <f t="shared" si="5"/>
        <v>0</v>
      </c>
    </row>
    <row r="39" spans="1:32" ht="15.75" hidden="1">
      <c r="A39" s="235" t="s">
        <v>221</v>
      </c>
      <c r="B39" s="236">
        <f t="shared" si="12"/>
        <v>200208.05836017543</v>
      </c>
      <c r="C39" s="236">
        <v>118540</v>
      </c>
      <c r="D39" s="237">
        <v>81668.058360175433</v>
      </c>
      <c r="E39" s="238">
        <f t="shared" si="6"/>
        <v>3.6401187183693402E-2</v>
      </c>
      <c r="F39" s="239">
        <f t="shared" si="3"/>
        <v>0.59208405980715251</v>
      </c>
      <c r="G39" s="239">
        <f t="shared" si="4"/>
        <v>0.40791594019284744</v>
      </c>
      <c r="H39" s="240"/>
      <c r="I39" s="240"/>
      <c r="J39" s="240"/>
      <c r="K39" s="240"/>
      <c r="L39" s="240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33">
        <f t="shared" si="5"/>
        <v>0</v>
      </c>
      <c r="AC39" s="233">
        <f t="shared" si="5"/>
        <v>0</v>
      </c>
      <c r="AD39" s="233">
        <f t="shared" si="5"/>
        <v>0</v>
      </c>
      <c r="AE39" s="233">
        <f t="shared" si="5"/>
        <v>0</v>
      </c>
      <c r="AF39" s="233">
        <f t="shared" si="5"/>
        <v>0</v>
      </c>
    </row>
    <row r="40" spans="1:32" ht="15.75" hidden="1">
      <c r="A40" s="235" t="s">
        <v>222</v>
      </c>
      <c r="B40" s="236">
        <f t="shared" si="12"/>
        <v>340597.9117243808</v>
      </c>
      <c r="C40" s="236">
        <v>264580</v>
      </c>
      <c r="D40" s="237">
        <v>76017.911724380829</v>
      </c>
      <c r="E40" s="238">
        <f t="shared" si="6"/>
        <v>6.1926420148133557E-2</v>
      </c>
      <c r="F40" s="239">
        <f t="shared" si="3"/>
        <v>0.77681039986558653</v>
      </c>
      <c r="G40" s="239">
        <f t="shared" si="4"/>
        <v>0.22318960013441352</v>
      </c>
      <c r="H40" s="240"/>
      <c r="I40" s="240"/>
      <c r="J40" s="240"/>
      <c r="K40" s="240"/>
      <c r="L40" s="240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33">
        <f t="shared" si="5"/>
        <v>0</v>
      </c>
      <c r="AC40" s="233">
        <f t="shared" si="5"/>
        <v>0</v>
      </c>
      <c r="AD40" s="233">
        <f t="shared" si="5"/>
        <v>0</v>
      </c>
      <c r="AE40" s="233">
        <f t="shared" si="5"/>
        <v>0</v>
      </c>
      <c r="AF40" s="233">
        <f t="shared" si="5"/>
        <v>0</v>
      </c>
    </row>
    <row r="41" spans="1:32" ht="15.75" hidden="1">
      <c r="A41" s="235" t="s">
        <v>223</v>
      </c>
      <c r="B41" s="236">
        <f t="shared" si="12"/>
        <v>72840.812701920542</v>
      </c>
      <c r="C41" s="236">
        <v>55066</v>
      </c>
      <c r="D41" s="237">
        <v>17774.812701920535</v>
      </c>
      <c r="E41" s="238">
        <f t="shared" si="6"/>
        <v>1.324368299404269E-2</v>
      </c>
      <c r="F41" s="239">
        <f t="shared" si="3"/>
        <v>0.75597728742183723</v>
      </c>
      <c r="G41" s="239">
        <f t="shared" si="4"/>
        <v>0.24402271257816263</v>
      </c>
      <c r="H41" s="240"/>
      <c r="I41" s="240"/>
      <c r="J41" s="240"/>
      <c r="K41" s="240"/>
      <c r="L41" s="240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33">
        <f t="shared" si="5"/>
        <v>0</v>
      </c>
      <c r="AC41" s="233">
        <f t="shared" si="5"/>
        <v>0</v>
      </c>
      <c r="AD41" s="233">
        <f t="shared" si="5"/>
        <v>0</v>
      </c>
      <c r="AE41" s="233">
        <f t="shared" si="5"/>
        <v>0</v>
      </c>
      <c r="AF41" s="233">
        <f t="shared" si="5"/>
        <v>0</v>
      </c>
    </row>
    <row r="42" spans="1:32" ht="15.75">
      <c r="A42" s="228" t="s">
        <v>121</v>
      </c>
      <c r="B42" s="229">
        <f>SUM(B43:B45)</f>
        <v>622055.14139541541</v>
      </c>
      <c r="C42" s="229">
        <f>SUM(C43:C45)</f>
        <v>275373</v>
      </c>
      <c r="D42" s="230">
        <v>346682.14139541541</v>
      </c>
      <c r="E42" s="231">
        <f t="shared" si="6"/>
        <v>0.11310007112589603</v>
      </c>
      <c r="F42" s="232">
        <f t="shared" si="3"/>
        <v>0.44268262035785744</v>
      </c>
      <c r="G42" s="232">
        <f t="shared" si="4"/>
        <v>0.55731737964214256</v>
      </c>
      <c r="H42" s="233">
        <f t="shared" si="7"/>
        <v>31.668019915250888</v>
      </c>
      <c r="I42" s="233">
        <f t="shared" si="8"/>
        <v>69.443443671300159</v>
      </c>
      <c r="J42" s="233">
        <f t="shared" si="9"/>
        <v>1.3144490266251638</v>
      </c>
      <c r="K42" s="233">
        <f t="shared" si="10"/>
        <v>0.70778024510585735</v>
      </c>
      <c r="L42" s="233">
        <f t="shared" si="11"/>
        <v>5194901.1569475438</v>
      </c>
      <c r="M42" s="234">
        <f>$F$17*E42</f>
        <v>19.792512447031804</v>
      </c>
      <c r="N42" s="234">
        <f>$F$18*E42</f>
        <v>43.402152294562597</v>
      </c>
      <c r="O42" s="234">
        <f>$F$22*E42</f>
        <v>0.82153064164072731</v>
      </c>
      <c r="P42" s="234">
        <f>$F$23*E42</f>
        <v>0.4423626531911608</v>
      </c>
      <c r="Q42" s="234">
        <f>$F$29*E42</f>
        <v>3246813.2230922147</v>
      </c>
      <c r="R42" s="234">
        <f>$G$17*E42</f>
        <v>19.792512447031804</v>
      </c>
      <c r="S42" s="234">
        <f>$G$18*E42</f>
        <v>43.402152294562597</v>
      </c>
      <c r="T42" s="234">
        <f>$G$22*E42</f>
        <v>0.82153064164072731</v>
      </c>
      <c r="U42" s="234">
        <f>$G$23*E42</f>
        <v>0.4423626531911608</v>
      </c>
      <c r="V42" s="234">
        <f>$G$29*E42</f>
        <v>3246813.2230922147</v>
      </c>
      <c r="W42" s="234">
        <f>$H$17*E42</f>
        <v>7.9170049788127219</v>
      </c>
      <c r="X42" s="234">
        <f>$H$18*E42</f>
        <v>17.36086091782504</v>
      </c>
      <c r="Y42" s="234">
        <f>$H$22*E42</f>
        <v>0.32861225665629096</v>
      </c>
      <c r="Z42" s="234">
        <f>$H$23*E42</f>
        <v>0.17694506127646434</v>
      </c>
      <c r="AA42" s="234">
        <f>$H$29*E42</f>
        <v>1298725.289236886</v>
      </c>
      <c r="AB42" s="233">
        <f t="shared" si="5"/>
        <v>79.170049788127216</v>
      </c>
      <c r="AC42" s="233">
        <f t="shared" si="5"/>
        <v>173.60860917825039</v>
      </c>
      <c r="AD42" s="233">
        <f t="shared" si="5"/>
        <v>3.2861225665629092</v>
      </c>
      <c r="AE42" s="233">
        <f t="shared" si="5"/>
        <v>1.7694506127646434</v>
      </c>
      <c r="AF42" s="233">
        <f t="shared" si="5"/>
        <v>12987252.892368859</v>
      </c>
    </row>
    <row r="43" spans="1:32" ht="15.75" hidden="1">
      <c r="A43" s="235" t="s">
        <v>224</v>
      </c>
      <c r="B43" s="236">
        <f>C43+D43</f>
        <v>47498.142611655589</v>
      </c>
      <c r="C43" s="236">
        <v>33105</v>
      </c>
      <c r="D43" s="237">
        <v>14393.142611655587</v>
      </c>
      <c r="E43" s="238">
        <f t="shared" si="6"/>
        <v>8.6359599820611532E-3</v>
      </c>
      <c r="F43" s="239">
        <f t="shared" si="3"/>
        <v>0.6969746221587273</v>
      </c>
      <c r="G43" s="239">
        <f t="shared" si="4"/>
        <v>0.30302537784127265</v>
      </c>
      <c r="H43" s="240"/>
      <c r="I43" s="240"/>
      <c r="J43" s="240"/>
      <c r="K43" s="240"/>
      <c r="L43" s="240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33">
        <f t="shared" si="5"/>
        <v>0</v>
      </c>
      <c r="AC43" s="233">
        <f t="shared" si="5"/>
        <v>0</v>
      </c>
      <c r="AD43" s="233">
        <f t="shared" si="5"/>
        <v>0</v>
      </c>
      <c r="AE43" s="233">
        <f t="shared" si="5"/>
        <v>0</v>
      </c>
      <c r="AF43" s="233">
        <f t="shared" si="5"/>
        <v>0</v>
      </c>
    </row>
    <row r="44" spans="1:32" ht="15.75" hidden="1">
      <c r="A44" s="235" t="s">
        <v>225</v>
      </c>
      <c r="B44" s="236">
        <f>C44+D44</f>
        <v>156497.0070613529</v>
      </c>
      <c r="C44" s="236">
        <v>65443</v>
      </c>
      <c r="D44" s="237">
        <v>91054.007061352881</v>
      </c>
      <c r="E44" s="238">
        <f t="shared" si="6"/>
        <v>2.8453784000440886E-2</v>
      </c>
      <c r="F44" s="239">
        <f t="shared" si="3"/>
        <v>0.41817413143462739</v>
      </c>
      <c r="G44" s="239">
        <f t="shared" si="4"/>
        <v>0.58182586856537244</v>
      </c>
      <c r="H44" s="240"/>
      <c r="I44" s="240"/>
      <c r="J44" s="240"/>
      <c r="K44" s="240"/>
      <c r="L44" s="240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33">
        <f t="shared" si="5"/>
        <v>0</v>
      </c>
      <c r="AC44" s="233">
        <f t="shared" si="5"/>
        <v>0</v>
      </c>
      <c r="AD44" s="233">
        <f t="shared" si="5"/>
        <v>0</v>
      </c>
      <c r="AE44" s="233">
        <f t="shared" si="5"/>
        <v>0</v>
      </c>
      <c r="AF44" s="233">
        <f t="shared" si="5"/>
        <v>0</v>
      </c>
    </row>
    <row r="45" spans="1:32" ht="15.75" hidden="1">
      <c r="A45" s="235" t="s">
        <v>226</v>
      </c>
      <c r="B45" s="236">
        <f>C45+D45</f>
        <v>418059.99172240699</v>
      </c>
      <c r="C45" s="236">
        <v>176825</v>
      </c>
      <c r="D45" s="237">
        <v>241234.99172240699</v>
      </c>
      <c r="E45" s="238">
        <f t="shared" si="6"/>
        <v>7.6010327143393994E-2</v>
      </c>
      <c r="F45" s="239">
        <f t="shared" si="3"/>
        <v>0.42296561139821365</v>
      </c>
      <c r="G45" s="239">
        <f t="shared" si="4"/>
        <v>0.57703438860178635</v>
      </c>
      <c r="H45" s="240"/>
      <c r="I45" s="240"/>
      <c r="J45" s="240"/>
      <c r="K45" s="240"/>
      <c r="L45" s="240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33">
        <f t="shared" si="5"/>
        <v>0</v>
      </c>
      <c r="AC45" s="233">
        <f t="shared" si="5"/>
        <v>0</v>
      </c>
      <c r="AD45" s="233">
        <f t="shared" si="5"/>
        <v>0</v>
      </c>
      <c r="AE45" s="233">
        <f t="shared" si="5"/>
        <v>0</v>
      </c>
      <c r="AF45" s="233">
        <f t="shared" si="5"/>
        <v>0</v>
      </c>
    </row>
    <row r="46" spans="1:32" ht="15.75">
      <c r="A46" s="228" t="s">
        <v>122</v>
      </c>
      <c r="B46" s="229">
        <f>B47+B48</f>
        <v>444216.95697102987</v>
      </c>
      <c r="C46" s="229">
        <f>C47+C48</f>
        <v>263450</v>
      </c>
      <c r="D46" s="230">
        <v>180766.95697102987</v>
      </c>
      <c r="E46" s="231">
        <f t="shared" si="6"/>
        <v>8.0766102689948521E-2</v>
      </c>
      <c r="F46" s="232">
        <f t="shared" si="3"/>
        <v>0.59306605897347864</v>
      </c>
      <c r="G46" s="232">
        <f t="shared" si="4"/>
        <v>0.40693394102652142</v>
      </c>
      <c r="H46" s="233">
        <f t="shared" si="7"/>
        <v>22.614508753185586</v>
      </c>
      <c r="I46" s="233">
        <f t="shared" si="8"/>
        <v>49.59038705162839</v>
      </c>
      <c r="J46" s="233">
        <f t="shared" si="9"/>
        <v>0.93866364546258185</v>
      </c>
      <c r="K46" s="233">
        <f t="shared" si="10"/>
        <v>0.50543427063369784</v>
      </c>
      <c r="L46" s="233">
        <f t="shared" si="11"/>
        <v>3709740.5521444464</v>
      </c>
      <c r="M46" s="234">
        <f>$F$17*E46</f>
        <v>14.134067970740992</v>
      </c>
      <c r="N46" s="234">
        <f>$F$18*E46</f>
        <v>30.993991907267745</v>
      </c>
      <c r="O46" s="234">
        <f>$F$22*E46</f>
        <v>0.58666477841411369</v>
      </c>
      <c r="P46" s="234">
        <f>$F$23*E46</f>
        <v>0.31589641914606115</v>
      </c>
      <c r="Q46" s="234">
        <f>$F$29*E46</f>
        <v>2318587.8450902789</v>
      </c>
      <c r="R46" s="234">
        <f>$G$17*E46</f>
        <v>14.134067970740992</v>
      </c>
      <c r="S46" s="234">
        <f>$G$18*E46</f>
        <v>30.993991907267745</v>
      </c>
      <c r="T46" s="234">
        <f>$G$22*E46</f>
        <v>0.58666477841411369</v>
      </c>
      <c r="U46" s="234">
        <f>$G$23*E46</f>
        <v>0.31589641914606115</v>
      </c>
      <c r="V46" s="234">
        <f>$G$29*E46</f>
        <v>2318587.8450902789</v>
      </c>
      <c r="W46" s="234">
        <f>$H$17*E46</f>
        <v>5.6536271882963964</v>
      </c>
      <c r="X46" s="234">
        <f>$H$18*E46</f>
        <v>12.397596762907098</v>
      </c>
      <c r="Y46" s="234">
        <f>$H$22*E46</f>
        <v>0.23466591136564546</v>
      </c>
      <c r="Z46" s="234">
        <f>$H$23*E46</f>
        <v>0.12635856765842446</v>
      </c>
      <c r="AA46" s="234">
        <f>$H$29*E46</f>
        <v>927435.1380361116</v>
      </c>
      <c r="AB46" s="233">
        <f t="shared" si="5"/>
        <v>56.536271882963959</v>
      </c>
      <c r="AC46" s="233">
        <f t="shared" si="5"/>
        <v>123.97596762907096</v>
      </c>
      <c r="AD46" s="233">
        <f t="shared" si="5"/>
        <v>2.3466591136564547</v>
      </c>
      <c r="AE46" s="233">
        <f t="shared" si="5"/>
        <v>1.2635856765842446</v>
      </c>
      <c r="AF46" s="233">
        <f t="shared" si="5"/>
        <v>9274351.3803611174</v>
      </c>
    </row>
    <row r="47" spans="1:32" ht="15.75" hidden="1">
      <c r="A47" s="235" t="s">
        <v>227</v>
      </c>
      <c r="B47" s="236">
        <f>C47+D47</f>
        <v>399605.39671005588</v>
      </c>
      <c r="C47" s="236">
        <v>227490</v>
      </c>
      <c r="D47" s="237">
        <v>172115.39671005588</v>
      </c>
      <c r="E47" s="238">
        <f t="shared" si="6"/>
        <v>7.2654971854770545E-2</v>
      </c>
      <c r="F47" s="239">
        <f t="shared" si="3"/>
        <v>0.5692866059190419</v>
      </c>
      <c r="G47" s="239">
        <f t="shared" si="4"/>
        <v>0.43071339408095805</v>
      </c>
      <c r="H47" s="240"/>
      <c r="I47" s="240"/>
      <c r="J47" s="240"/>
      <c r="K47" s="240"/>
      <c r="L47" s="240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33">
        <f t="shared" si="5"/>
        <v>0</v>
      </c>
      <c r="AC47" s="233">
        <f t="shared" si="5"/>
        <v>0</v>
      </c>
      <c r="AD47" s="233">
        <f t="shared" si="5"/>
        <v>0</v>
      </c>
      <c r="AE47" s="233">
        <f t="shared" si="5"/>
        <v>0</v>
      </c>
      <c r="AF47" s="233">
        <f t="shared" si="5"/>
        <v>0</v>
      </c>
    </row>
    <row r="48" spans="1:32" ht="15.75" hidden="1">
      <c r="A48" s="235" t="s">
        <v>228</v>
      </c>
      <c r="B48" s="236">
        <f>C48+D48</f>
        <v>44611.56026097398</v>
      </c>
      <c r="C48" s="236">
        <v>35960</v>
      </c>
      <c r="D48" s="237">
        <v>8651.5602609739781</v>
      </c>
      <c r="E48" s="238">
        <f t="shared" si="6"/>
        <v>8.1111308351779817E-3</v>
      </c>
      <c r="F48" s="239">
        <f t="shared" si="3"/>
        <v>0.80606909486323586</v>
      </c>
      <c r="G48" s="239">
        <f t="shared" si="4"/>
        <v>0.19393090513676406</v>
      </c>
      <c r="H48" s="240"/>
      <c r="I48" s="240"/>
      <c r="J48" s="240"/>
      <c r="K48" s="240"/>
      <c r="L48" s="240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33">
        <f t="shared" si="5"/>
        <v>0</v>
      </c>
      <c r="AC48" s="233">
        <f t="shared" si="5"/>
        <v>0</v>
      </c>
      <c r="AD48" s="233">
        <f t="shared" si="5"/>
        <v>0</v>
      </c>
      <c r="AE48" s="233">
        <f t="shared" si="5"/>
        <v>0</v>
      </c>
      <c r="AF48" s="233">
        <f t="shared" si="5"/>
        <v>0</v>
      </c>
    </row>
    <row r="49" spans="1:32" ht="15.75">
      <c r="A49" s="228" t="s">
        <v>123</v>
      </c>
      <c r="B49" s="229">
        <f>B50</f>
        <v>440131.93902060256</v>
      </c>
      <c r="C49" s="229">
        <f>C50</f>
        <v>402861</v>
      </c>
      <c r="D49" s="230">
        <v>37270.939020602542</v>
      </c>
      <c r="E49" s="231">
        <f t="shared" si="6"/>
        <v>8.002337782522434E-2</v>
      </c>
      <c r="F49" s="232">
        <f t="shared" si="3"/>
        <v>0.9153187130578635</v>
      </c>
      <c r="G49" s="232">
        <f t="shared" si="4"/>
        <v>8.4681286942136433E-2</v>
      </c>
      <c r="H49" s="233">
        <f t="shared" si="7"/>
        <v>22.406545791062815</v>
      </c>
      <c r="I49" s="233">
        <f t="shared" si="8"/>
        <v>49.134353984687742</v>
      </c>
      <c r="J49" s="233">
        <f t="shared" si="9"/>
        <v>0.93003169708475741</v>
      </c>
      <c r="K49" s="233">
        <f t="shared" si="10"/>
        <v>0.50078629843025391</v>
      </c>
      <c r="L49" s="233">
        <f t="shared" si="11"/>
        <v>3675625.787930422</v>
      </c>
      <c r="M49" s="234">
        <f>$F$17*E49</f>
        <v>14.004091119414259</v>
      </c>
      <c r="N49" s="234">
        <f>$F$18*E49</f>
        <v>30.70897124042984</v>
      </c>
      <c r="O49" s="234">
        <f>$F$22*E49</f>
        <v>0.58126981067797334</v>
      </c>
      <c r="P49" s="234">
        <f>$F$23*E49</f>
        <v>0.31299143651890871</v>
      </c>
      <c r="Q49" s="234">
        <f>$F$29*E49</f>
        <v>2297266.1174565135</v>
      </c>
      <c r="R49" s="234">
        <f>$G$17*E49</f>
        <v>14.004091119414259</v>
      </c>
      <c r="S49" s="234">
        <f>$G$18*E49</f>
        <v>30.70897124042984</v>
      </c>
      <c r="T49" s="234">
        <f>$G$22*E49</f>
        <v>0.58126981067797334</v>
      </c>
      <c r="U49" s="234">
        <f>$G$23*E49</f>
        <v>0.31299143651890871</v>
      </c>
      <c r="V49" s="234">
        <f>$G$29*E49</f>
        <v>2297266.1174565135</v>
      </c>
      <c r="W49" s="234">
        <f>$H$17*E49</f>
        <v>5.6016364477657037</v>
      </c>
      <c r="X49" s="234">
        <f>$H$18*E49</f>
        <v>12.283588496171935</v>
      </c>
      <c r="Y49" s="234">
        <f>$H$22*E49</f>
        <v>0.23250792427118935</v>
      </c>
      <c r="Z49" s="234">
        <f>$H$23*E49</f>
        <v>0.12519657460756348</v>
      </c>
      <c r="AA49" s="234">
        <f>$H$29*E49</f>
        <v>918906.4469826055</v>
      </c>
      <c r="AB49" s="233">
        <f t="shared" si="5"/>
        <v>56.016364477657035</v>
      </c>
      <c r="AC49" s="233">
        <f t="shared" si="5"/>
        <v>122.83588496171936</v>
      </c>
      <c r="AD49" s="233">
        <f t="shared" si="5"/>
        <v>2.3250792427118934</v>
      </c>
      <c r="AE49" s="233">
        <f t="shared" si="5"/>
        <v>1.2519657460756348</v>
      </c>
      <c r="AF49" s="233">
        <f t="shared" si="5"/>
        <v>9189064.4698260538</v>
      </c>
    </row>
    <row r="50" spans="1:32" ht="15.75" hidden="1">
      <c r="A50" s="235" t="s">
        <v>12</v>
      </c>
      <c r="B50" s="236">
        <f>C50+D50</f>
        <v>440131.93902060256</v>
      </c>
      <c r="C50" s="236">
        <v>402861</v>
      </c>
      <c r="D50" s="237">
        <v>37270.939020602542</v>
      </c>
      <c r="E50" s="238">
        <f t="shared" si="6"/>
        <v>8.002337782522434E-2</v>
      </c>
      <c r="F50" s="239">
        <f t="shared" si="3"/>
        <v>0.9153187130578635</v>
      </c>
      <c r="G50" s="239">
        <f t="shared" si="4"/>
        <v>8.4681286942136433E-2</v>
      </c>
      <c r="H50" s="240"/>
      <c r="I50" s="240"/>
      <c r="J50" s="240"/>
      <c r="K50" s="240"/>
      <c r="L50" s="240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33">
        <f t="shared" si="5"/>
        <v>0</v>
      </c>
      <c r="AC50" s="233">
        <f t="shared" si="5"/>
        <v>0</v>
      </c>
      <c r="AD50" s="233">
        <f t="shared" si="5"/>
        <v>0</v>
      </c>
      <c r="AE50" s="233">
        <f t="shared" si="5"/>
        <v>0</v>
      </c>
      <c r="AF50" s="233">
        <f t="shared" si="5"/>
        <v>0</v>
      </c>
    </row>
    <row r="51" spans="1:32" ht="15.75">
      <c r="A51" s="228" t="s">
        <v>124</v>
      </c>
      <c r="B51" s="229">
        <f>SUM(B52:B57)</f>
        <v>1902026.9600904875</v>
      </c>
      <c r="C51" s="229">
        <f>SUM(C52:C57)</f>
        <v>1505508</v>
      </c>
      <c r="D51" s="230">
        <v>396518.9600904875</v>
      </c>
      <c r="E51" s="231">
        <f t="shared" si="6"/>
        <v>0.34582044284216146</v>
      </c>
      <c r="F51" s="232">
        <f t="shared" si="3"/>
        <v>0.79152821258031836</v>
      </c>
      <c r="G51" s="232">
        <f t="shared" si="4"/>
        <v>0.2084717874196817</v>
      </c>
      <c r="H51" s="233">
        <f t="shared" si="7"/>
        <v>96.82972399580521</v>
      </c>
      <c r="I51" s="233">
        <f t="shared" si="8"/>
        <v>212.33375190508713</v>
      </c>
      <c r="J51" s="233">
        <f t="shared" si="9"/>
        <v>4.0191251867116007</v>
      </c>
      <c r="K51" s="233">
        <f t="shared" si="10"/>
        <v>2.1641443313062463</v>
      </c>
      <c r="L51" s="233">
        <f t="shared" si="11"/>
        <v>15884189.998581875</v>
      </c>
      <c r="M51" s="234">
        <f>$F$17*E51</f>
        <v>60.518577497378253</v>
      </c>
      <c r="N51" s="234">
        <f>$F$18*E51</f>
        <v>132.70859494067946</v>
      </c>
      <c r="O51" s="234">
        <f>$F$22*E51</f>
        <v>2.5119532416947505</v>
      </c>
      <c r="P51" s="234">
        <f>$F$23*E51</f>
        <v>1.352590207066404</v>
      </c>
      <c r="Q51" s="234">
        <f>$F$29*E51</f>
        <v>9927618.7491136715</v>
      </c>
      <c r="R51" s="234">
        <f>$G$17*E51</f>
        <v>60.518577497378253</v>
      </c>
      <c r="S51" s="234">
        <f>$G$18*E51</f>
        <v>132.70859494067946</v>
      </c>
      <c r="T51" s="234">
        <f>$G$22*E51</f>
        <v>2.5119532416947505</v>
      </c>
      <c r="U51" s="234">
        <f>$G$23*E51</f>
        <v>1.352590207066404</v>
      </c>
      <c r="V51" s="234">
        <f>$G$29*E51</f>
        <v>9927618.7491136715</v>
      </c>
      <c r="W51" s="234">
        <f>$H$17*E51</f>
        <v>24.207430998951303</v>
      </c>
      <c r="X51" s="234">
        <f>$H$18*E51</f>
        <v>53.083437976271782</v>
      </c>
      <c r="Y51" s="234">
        <f>$H$22*E51</f>
        <v>1.0047812966779002</v>
      </c>
      <c r="Z51" s="234">
        <f>$H$23*E51</f>
        <v>0.54103608282656157</v>
      </c>
      <c r="AA51" s="234">
        <f>$H$29*E51</f>
        <v>3971047.4996454688</v>
      </c>
      <c r="AB51" s="233">
        <f t="shared" si="5"/>
        <v>242.07430998951301</v>
      </c>
      <c r="AC51" s="233">
        <f t="shared" si="5"/>
        <v>530.83437976271784</v>
      </c>
      <c r="AD51" s="233">
        <f t="shared" si="5"/>
        <v>10.047812966779002</v>
      </c>
      <c r="AE51" s="233">
        <f t="shared" si="5"/>
        <v>5.410360828265615</v>
      </c>
      <c r="AF51" s="233">
        <f t="shared" si="5"/>
        <v>39710474.996454686</v>
      </c>
    </row>
    <row r="52" spans="1:32" ht="15.75" hidden="1">
      <c r="A52" s="235" t="s">
        <v>229</v>
      </c>
      <c r="B52" s="236">
        <f t="shared" ref="B52:B57" si="13">C52+D52</f>
        <v>249748.58355918116</v>
      </c>
      <c r="C52" s="236">
        <v>163680</v>
      </c>
      <c r="D52" s="237">
        <v>86068.583559181163</v>
      </c>
      <c r="E52" s="238">
        <f t="shared" si="6"/>
        <v>4.5408486618680577E-2</v>
      </c>
      <c r="F52" s="239">
        <f t="shared" si="3"/>
        <v>0.65537909231510783</v>
      </c>
      <c r="G52" s="239">
        <f t="shared" si="4"/>
        <v>0.34462090768489223</v>
      </c>
      <c r="H52" s="240"/>
      <c r="I52" s="240"/>
      <c r="J52" s="240"/>
      <c r="K52" s="240"/>
      <c r="L52" s="240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33">
        <f t="shared" si="5"/>
        <v>0</v>
      </c>
      <c r="AC52" s="233">
        <f t="shared" si="5"/>
        <v>0</v>
      </c>
      <c r="AD52" s="233">
        <f t="shared" si="5"/>
        <v>0</v>
      </c>
      <c r="AE52" s="233">
        <f t="shared" si="5"/>
        <v>0</v>
      </c>
      <c r="AF52" s="233">
        <f t="shared" si="5"/>
        <v>0</v>
      </c>
    </row>
    <row r="53" spans="1:32" ht="15.75" hidden="1">
      <c r="A53" s="235" t="s">
        <v>230</v>
      </c>
      <c r="B53" s="236">
        <f t="shared" si="13"/>
        <v>648428.91445293871</v>
      </c>
      <c r="C53" s="236">
        <v>519551</v>
      </c>
      <c r="D53" s="237">
        <v>128877.91445293867</v>
      </c>
      <c r="E53" s="238">
        <f t="shared" si="6"/>
        <v>0.1178952659730487</v>
      </c>
      <c r="F53" s="239">
        <f t="shared" si="3"/>
        <v>0.80124588589380008</v>
      </c>
      <c r="G53" s="239">
        <f t="shared" si="4"/>
        <v>0.19875411410619984</v>
      </c>
      <c r="H53" s="240"/>
      <c r="I53" s="240"/>
      <c r="J53" s="240"/>
      <c r="K53" s="240"/>
      <c r="L53" s="240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33">
        <f t="shared" si="5"/>
        <v>0</v>
      </c>
      <c r="AC53" s="233">
        <f t="shared" si="5"/>
        <v>0</v>
      </c>
      <c r="AD53" s="233">
        <f t="shared" si="5"/>
        <v>0</v>
      </c>
      <c r="AE53" s="233">
        <f t="shared" si="5"/>
        <v>0</v>
      </c>
      <c r="AF53" s="233">
        <f t="shared" si="5"/>
        <v>0</v>
      </c>
    </row>
    <row r="54" spans="1:32" ht="15.75" hidden="1">
      <c r="A54" s="235" t="s">
        <v>231</v>
      </c>
      <c r="B54" s="236">
        <f t="shared" si="13"/>
        <v>226408.48619610979</v>
      </c>
      <c r="C54" s="236">
        <v>153138</v>
      </c>
      <c r="D54" s="237">
        <v>73270.486196109778</v>
      </c>
      <c r="E54" s="238">
        <f t="shared" si="6"/>
        <v>4.1164864958505736E-2</v>
      </c>
      <c r="F54" s="239">
        <f t="shared" si="3"/>
        <v>0.67637924078232392</v>
      </c>
      <c r="G54" s="239">
        <f t="shared" si="4"/>
        <v>0.32362075921767602</v>
      </c>
      <c r="H54" s="240"/>
      <c r="I54" s="240"/>
      <c r="J54" s="240"/>
      <c r="K54" s="240"/>
      <c r="L54" s="240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33">
        <f t="shared" si="5"/>
        <v>0</v>
      </c>
      <c r="AC54" s="233">
        <f t="shared" si="5"/>
        <v>0</v>
      </c>
      <c r="AD54" s="233">
        <f t="shared" si="5"/>
        <v>0</v>
      </c>
      <c r="AE54" s="233">
        <f t="shared" si="5"/>
        <v>0</v>
      </c>
      <c r="AF54" s="233">
        <f t="shared" si="5"/>
        <v>0</v>
      </c>
    </row>
    <row r="55" spans="1:32" ht="15.75" hidden="1">
      <c r="A55" s="235" t="s">
        <v>232</v>
      </c>
      <c r="B55" s="236">
        <f t="shared" si="13"/>
        <v>502689.00185580633</v>
      </c>
      <c r="C55" s="236">
        <v>427375</v>
      </c>
      <c r="D55" s="237">
        <v>75314.00185580636</v>
      </c>
      <c r="E55" s="238">
        <f t="shared" si="6"/>
        <v>9.1397302394382873E-2</v>
      </c>
      <c r="F55" s="239">
        <f t="shared" si="3"/>
        <v>0.85017774095362098</v>
      </c>
      <c r="G55" s="239">
        <f t="shared" si="4"/>
        <v>0.14982225904637911</v>
      </c>
      <c r="H55" s="240"/>
      <c r="I55" s="240"/>
      <c r="J55" s="240"/>
      <c r="K55" s="240"/>
      <c r="L55" s="240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33">
        <f t="shared" si="5"/>
        <v>0</v>
      </c>
      <c r="AC55" s="233">
        <f t="shared" si="5"/>
        <v>0</v>
      </c>
      <c r="AD55" s="233">
        <f t="shared" si="5"/>
        <v>0</v>
      </c>
      <c r="AE55" s="233">
        <f t="shared" si="5"/>
        <v>0</v>
      </c>
      <c r="AF55" s="233">
        <f t="shared" si="5"/>
        <v>0</v>
      </c>
    </row>
    <row r="56" spans="1:32" ht="15.75" hidden="1">
      <c r="A56" s="235" t="s">
        <v>233</v>
      </c>
      <c r="B56" s="236">
        <f t="shared" si="13"/>
        <v>90007.761966225866</v>
      </c>
      <c r="C56" s="236">
        <v>80661</v>
      </c>
      <c r="D56" s="237">
        <v>9346.761966225873</v>
      </c>
      <c r="E56" s="238">
        <f t="shared" si="6"/>
        <v>1.6364922661722559E-2</v>
      </c>
      <c r="F56" s="239">
        <f t="shared" si="3"/>
        <v>0.8961560451893793</v>
      </c>
      <c r="G56" s="239">
        <f t="shared" si="4"/>
        <v>0.10384395481062081</v>
      </c>
      <c r="H56" s="240"/>
      <c r="I56" s="240"/>
      <c r="J56" s="240"/>
      <c r="K56" s="240"/>
      <c r="L56" s="240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33">
        <f t="shared" si="5"/>
        <v>0</v>
      </c>
      <c r="AC56" s="233">
        <f t="shared" si="5"/>
        <v>0</v>
      </c>
      <c r="AD56" s="233">
        <f t="shared" si="5"/>
        <v>0</v>
      </c>
      <c r="AE56" s="233">
        <f t="shared" si="5"/>
        <v>0</v>
      </c>
      <c r="AF56" s="233">
        <f t="shared" si="5"/>
        <v>0</v>
      </c>
    </row>
    <row r="57" spans="1:32" ht="15.75" hidden="1">
      <c r="A57" s="235" t="s">
        <v>234</v>
      </c>
      <c r="B57" s="236">
        <f t="shared" si="13"/>
        <v>184744.21206022566</v>
      </c>
      <c r="C57" s="236">
        <v>161103</v>
      </c>
      <c r="D57" s="237">
        <v>23641.212060225658</v>
      </c>
      <c r="E57" s="238">
        <f t="shared" si="6"/>
        <v>3.3589600235821047E-2</v>
      </c>
      <c r="F57" s="239">
        <f t="shared" si="3"/>
        <v>0.87203273219450717</v>
      </c>
      <c r="G57" s="239">
        <f t="shared" si="4"/>
        <v>0.12796726780549283</v>
      </c>
      <c r="H57" s="240"/>
      <c r="I57" s="240"/>
      <c r="J57" s="240"/>
      <c r="K57" s="240"/>
      <c r="L57" s="240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33">
        <f t="shared" si="5"/>
        <v>0</v>
      </c>
      <c r="AC57" s="233">
        <f t="shared" si="5"/>
        <v>0</v>
      </c>
      <c r="AD57" s="233">
        <f t="shared" si="5"/>
        <v>0</v>
      </c>
      <c r="AE57" s="233">
        <f t="shared" si="5"/>
        <v>0</v>
      </c>
      <c r="AF57" s="233">
        <f t="shared" si="5"/>
        <v>0</v>
      </c>
    </row>
    <row r="58" spans="1:32" ht="15.75">
      <c r="A58" s="228" t="s">
        <v>125</v>
      </c>
      <c r="B58" s="229">
        <f>B59+B60+B61</f>
        <v>578056.09423780837</v>
      </c>
      <c r="C58" s="229">
        <f>C59+C60+C61</f>
        <v>471548</v>
      </c>
      <c r="D58" s="230">
        <v>106508.09423780833</v>
      </c>
      <c r="E58" s="231">
        <f t="shared" si="6"/>
        <v>0.10510030545908711</v>
      </c>
      <c r="F58" s="232">
        <f t="shared" si="3"/>
        <v>0.81574782222779985</v>
      </c>
      <c r="G58" s="232">
        <f t="shared" si="4"/>
        <v>0.1842521777722001</v>
      </c>
      <c r="H58" s="233">
        <f t="shared" si="7"/>
        <v>29.42808552854439</v>
      </c>
      <c r="I58" s="233">
        <f t="shared" si="8"/>
        <v>64.531587551879483</v>
      </c>
      <c r="J58" s="233">
        <f t="shared" si="9"/>
        <v>1.2214757500455105</v>
      </c>
      <c r="K58" s="233">
        <f t="shared" si="10"/>
        <v>0.6577177115629671</v>
      </c>
      <c r="L58" s="233">
        <f t="shared" si="11"/>
        <v>4827456.7203162434</v>
      </c>
      <c r="M58" s="234">
        <f>$F$17*E58</f>
        <v>18.392553455340245</v>
      </c>
      <c r="N58" s="234">
        <f>$F$18*E58</f>
        <v>40.33224221992468</v>
      </c>
      <c r="O58" s="234">
        <f>$F$22*E58</f>
        <v>0.76342234377844409</v>
      </c>
      <c r="P58" s="234">
        <f>$F$23*E58</f>
        <v>0.41107356972685444</v>
      </c>
      <c r="Q58" s="234">
        <f>$F$29*E58</f>
        <v>3017160.450197652</v>
      </c>
      <c r="R58" s="234">
        <f>$G$17*E58</f>
        <v>18.392553455340245</v>
      </c>
      <c r="S58" s="234">
        <f>$G$18*E58</f>
        <v>40.33224221992468</v>
      </c>
      <c r="T58" s="234">
        <f>$G$22*E58</f>
        <v>0.76342234377844409</v>
      </c>
      <c r="U58" s="234">
        <f>$G$23*E58</f>
        <v>0.41107356972685444</v>
      </c>
      <c r="V58" s="234">
        <f>$G$29*E58</f>
        <v>3017160.450197652</v>
      </c>
      <c r="W58" s="234">
        <f>$H$17*E58</f>
        <v>7.3570213821360975</v>
      </c>
      <c r="X58" s="234">
        <f>$H$18*E58</f>
        <v>16.132896887969871</v>
      </c>
      <c r="Y58" s="234">
        <f>$H$22*E58</f>
        <v>0.30536893751137761</v>
      </c>
      <c r="Z58" s="234">
        <f>$H$23*E58</f>
        <v>0.16442942789074178</v>
      </c>
      <c r="AA58" s="234">
        <f>$H$29*E58</f>
        <v>1206864.1800790608</v>
      </c>
      <c r="AB58" s="233">
        <f t="shared" si="5"/>
        <v>73.57021382136098</v>
      </c>
      <c r="AC58" s="233">
        <f t="shared" si="5"/>
        <v>161.32896887969872</v>
      </c>
      <c r="AD58" s="233">
        <f t="shared" si="5"/>
        <v>3.0536893751137764</v>
      </c>
      <c r="AE58" s="233">
        <f t="shared" si="5"/>
        <v>1.6442942789074178</v>
      </c>
      <c r="AF58" s="233">
        <f t="shared" si="5"/>
        <v>12068641.800790608</v>
      </c>
    </row>
    <row r="59" spans="1:32" ht="15.75" hidden="1">
      <c r="A59" s="235" t="s">
        <v>235</v>
      </c>
      <c r="B59" s="236">
        <f>C59+D59</f>
        <v>24610.754790699295</v>
      </c>
      <c r="C59" s="236">
        <v>20232</v>
      </c>
      <c r="D59" s="237">
        <v>4378.7547906992941</v>
      </c>
      <c r="E59" s="238">
        <f t="shared" si="6"/>
        <v>4.4746485191748163E-3</v>
      </c>
      <c r="F59" s="239">
        <f t="shared" si="3"/>
        <v>0.82207962218395347</v>
      </c>
      <c r="G59" s="239">
        <f t="shared" si="4"/>
        <v>0.17792037781604647</v>
      </c>
      <c r="H59" s="240"/>
      <c r="I59" s="240"/>
      <c r="J59" s="240"/>
      <c r="K59" s="240"/>
      <c r="L59" s="240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33">
        <f t="shared" si="5"/>
        <v>0</v>
      </c>
      <c r="AC59" s="233">
        <f t="shared" si="5"/>
        <v>0</v>
      </c>
      <c r="AD59" s="233">
        <f t="shared" si="5"/>
        <v>0</v>
      </c>
      <c r="AE59" s="233">
        <f t="shared" si="5"/>
        <v>0</v>
      </c>
      <c r="AF59" s="233">
        <f t="shared" si="5"/>
        <v>0</v>
      </c>
    </row>
    <row r="60" spans="1:32" ht="15.75" hidden="1">
      <c r="A60" s="235" t="s">
        <v>236</v>
      </c>
      <c r="B60" s="236">
        <f>C60+D60</f>
        <v>313158.54258824029</v>
      </c>
      <c r="C60" s="236">
        <v>250602</v>
      </c>
      <c r="D60" s="237">
        <v>62556.542588240307</v>
      </c>
      <c r="E60" s="238">
        <f t="shared" si="6"/>
        <v>5.6937482038908117E-2</v>
      </c>
      <c r="F60" s="239">
        <f t="shared" si="3"/>
        <v>0.80024002516037573</v>
      </c>
      <c r="G60" s="239">
        <f t="shared" si="4"/>
        <v>0.19975997483962435</v>
      </c>
      <c r="H60" s="240"/>
      <c r="I60" s="240"/>
      <c r="J60" s="240"/>
      <c r="K60" s="240"/>
      <c r="L60" s="240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33">
        <f t="shared" si="5"/>
        <v>0</v>
      </c>
      <c r="AC60" s="233">
        <f t="shared" si="5"/>
        <v>0</v>
      </c>
      <c r="AD60" s="233">
        <f t="shared" si="5"/>
        <v>0</v>
      </c>
      <c r="AE60" s="233">
        <f t="shared" si="5"/>
        <v>0</v>
      </c>
      <c r="AF60" s="233">
        <f t="shared" si="5"/>
        <v>0</v>
      </c>
    </row>
    <row r="61" spans="1:32" ht="15.75" hidden="1">
      <c r="A61" s="235" t="s">
        <v>237</v>
      </c>
      <c r="B61" s="236">
        <f>C61+D61</f>
        <v>240286.79685886874</v>
      </c>
      <c r="C61" s="236">
        <v>200714</v>
      </c>
      <c r="D61" s="237">
        <v>39572.796858868736</v>
      </c>
      <c r="E61" s="238">
        <f t="shared" si="6"/>
        <v>4.3688174901004163E-2</v>
      </c>
      <c r="F61" s="239">
        <f t="shared" si="3"/>
        <v>0.83531014863828901</v>
      </c>
      <c r="G61" s="239">
        <f t="shared" si="4"/>
        <v>0.16468985136171099</v>
      </c>
      <c r="H61" s="240"/>
      <c r="I61" s="240"/>
      <c r="J61" s="240"/>
      <c r="K61" s="240"/>
      <c r="L61" s="240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33">
        <f t="shared" si="5"/>
        <v>0</v>
      </c>
      <c r="AC61" s="233">
        <f t="shared" si="5"/>
        <v>0</v>
      </c>
      <c r="AD61" s="233">
        <f t="shared" si="5"/>
        <v>0</v>
      </c>
      <c r="AE61" s="233">
        <f t="shared" si="5"/>
        <v>0</v>
      </c>
      <c r="AF61" s="233">
        <f t="shared" si="5"/>
        <v>0</v>
      </c>
    </row>
    <row r="62" spans="1:32" ht="15.75">
      <c r="A62" s="228" t="s">
        <v>238</v>
      </c>
      <c r="B62" s="229">
        <f>SUM(B63:B66)</f>
        <v>340898.93648749462</v>
      </c>
      <c r="C62" s="229">
        <f>SUM(C63:C66)</f>
        <v>275042</v>
      </c>
      <c r="D62" s="230">
        <v>65856.93648749459</v>
      </c>
      <c r="E62" s="231">
        <f t="shared" si="6"/>
        <v>6.1981151505296615E-2</v>
      </c>
      <c r="F62" s="232">
        <f t="shared" si="3"/>
        <v>0.8068138986701987</v>
      </c>
      <c r="G62" s="232">
        <f t="shared" si="4"/>
        <v>0.19318610132980119</v>
      </c>
      <c r="H62" s="233">
        <f t="shared" si="7"/>
        <v>17.354722421483054</v>
      </c>
      <c r="I62" s="233">
        <f t="shared" si="8"/>
        <v>38.056427024252123</v>
      </c>
      <c r="J62" s="233">
        <f t="shared" si="9"/>
        <v>0.72034494279455741</v>
      </c>
      <c r="K62" s="233">
        <f t="shared" si="10"/>
        <v>0.3878780461201462</v>
      </c>
      <c r="L62" s="233">
        <f t="shared" si="11"/>
        <v>2846912.0528261336</v>
      </c>
      <c r="M62" s="234">
        <f>$F$17*E62</f>
        <v>10.846701513426908</v>
      </c>
      <c r="N62" s="234">
        <f>$F$18*E62</f>
        <v>23.785266890157576</v>
      </c>
      <c r="O62" s="234">
        <f>$F$22*E62</f>
        <v>0.45021558924659832</v>
      </c>
      <c r="P62" s="234">
        <f>$F$23*E62</f>
        <v>0.24242377882509139</v>
      </c>
      <c r="Q62" s="234">
        <f>$F$29*E62</f>
        <v>1779320.0330163336</v>
      </c>
      <c r="R62" s="234">
        <f>$G$17*E62</f>
        <v>10.846701513426908</v>
      </c>
      <c r="S62" s="234">
        <f>$G$18*E62</f>
        <v>23.785266890157576</v>
      </c>
      <c r="T62" s="234">
        <f>$G$22*E62</f>
        <v>0.45021558924659832</v>
      </c>
      <c r="U62" s="234">
        <f>$G$23*E62</f>
        <v>0.24242377882509139</v>
      </c>
      <c r="V62" s="234">
        <f>$G$29*E62</f>
        <v>1779320.0330163336</v>
      </c>
      <c r="W62" s="234">
        <f>$H$17*E62</f>
        <v>4.3386806053707634</v>
      </c>
      <c r="X62" s="234">
        <f>$H$18*E62</f>
        <v>9.5141067560630308</v>
      </c>
      <c r="Y62" s="234">
        <f>$H$22*E62</f>
        <v>0.18008623569863935</v>
      </c>
      <c r="Z62" s="234">
        <f>$H$23*E62</f>
        <v>9.6969511530036551E-2</v>
      </c>
      <c r="AA62" s="234">
        <f>$H$29*E62</f>
        <v>711728.01320653339</v>
      </c>
      <c r="AB62" s="233">
        <f t="shared" si="5"/>
        <v>43.38680605370763</v>
      </c>
      <c r="AC62" s="233">
        <f t="shared" si="5"/>
        <v>95.141067560630319</v>
      </c>
      <c r="AD62" s="233">
        <f t="shared" si="5"/>
        <v>1.8008623569863933</v>
      </c>
      <c r="AE62" s="233">
        <f t="shared" si="5"/>
        <v>0.96969511530036556</v>
      </c>
      <c r="AF62" s="233">
        <f t="shared" si="5"/>
        <v>7117280.1320653344</v>
      </c>
    </row>
    <row r="63" spans="1:32" ht="16.5" hidden="1">
      <c r="A63" s="241" t="s">
        <v>239</v>
      </c>
      <c r="B63" s="242">
        <f>C63+D63</f>
        <v>77372.320482664465</v>
      </c>
      <c r="C63" s="243">
        <v>66043</v>
      </c>
      <c r="D63" s="244">
        <v>11329.320482664465</v>
      </c>
      <c r="E63" s="238">
        <f t="shared" si="6"/>
        <v>1.4067587208000314E-2</v>
      </c>
      <c r="F63" s="245">
        <f t="shared" si="3"/>
        <v>0.85357398599408896</v>
      </c>
      <c r="G63" s="245">
        <f t="shared" si="4"/>
        <v>0.14642601400591104</v>
      </c>
      <c r="H63" s="240"/>
      <c r="I63" s="240"/>
      <c r="J63" s="240"/>
      <c r="K63" s="240"/>
      <c r="L63" s="240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40"/>
      <c r="AC63" s="240"/>
      <c r="AD63" s="240"/>
      <c r="AE63" s="240"/>
      <c r="AF63" s="240"/>
    </row>
    <row r="64" spans="1:32" ht="16.5" hidden="1">
      <c r="A64" s="241" t="s">
        <v>240</v>
      </c>
      <c r="B64" s="242">
        <f>C64+D64</f>
        <v>38985.218420087607</v>
      </c>
      <c r="C64" s="243">
        <v>30965</v>
      </c>
      <c r="D64" s="244">
        <v>8020.2184200876045</v>
      </c>
      <c r="E64" s="238">
        <f t="shared" si="6"/>
        <v>7.0881674031012141E-3</v>
      </c>
      <c r="F64" s="245">
        <f t="shared" si="3"/>
        <v>0.79427540116191597</v>
      </c>
      <c r="G64" s="245">
        <f t="shared" si="4"/>
        <v>0.20572459883808397</v>
      </c>
      <c r="H64" s="240"/>
      <c r="I64" s="240"/>
      <c r="J64" s="240"/>
      <c r="K64" s="240"/>
      <c r="L64" s="240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40"/>
      <c r="AC64" s="240"/>
      <c r="AD64" s="240"/>
      <c r="AE64" s="240"/>
      <c r="AF64" s="240"/>
    </row>
    <row r="65" spans="1:32" ht="16.5" hidden="1">
      <c r="A65" s="241" t="s">
        <v>241</v>
      </c>
      <c r="B65" s="242">
        <f>C65+D65</f>
        <v>63233.422517181694</v>
      </c>
      <c r="C65" s="243">
        <v>52862</v>
      </c>
      <c r="D65" s="244">
        <v>10371.422517181691</v>
      </c>
      <c r="E65" s="238">
        <f t="shared" si="6"/>
        <v>1.1496898117720136E-2</v>
      </c>
      <c r="F65" s="245">
        <f t="shared" si="3"/>
        <v>0.83598195219682148</v>
      </c>
      <c r="G65" s="245">
        <f t="shared" si="4"/>
        <v>0.1640180478031785</v>
      </c>
      <c r="H65" s="240"/>
      <c r="I65" s="240"/>
      <c r="J65" s="240"/>
      <c r="K65" s="240"/>
      <c r="L65" s="240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40"/>
      <c r="AC65" s="240"/>
      <c r="AD65" s="240"/>
      <c r="AE65" s="240"/>
      <c r="AF65" s="240"/>
    </row>
    <row r="66" spans="1:32" ht="16.5" hidden="1">
      <c r="A66" s="241" t="s">
        <v>238</v>
      </c>
      <c r="B66" s="242">
        <f>C66+D66</f>
        <v>161307.97506756085</v>
      </c>
      <c r="C66" s="243">
        <v>125172</v>
      </c>
      <c r="D66" s="244">
        <v>36135.975067560837</v>
      </c>
      <c r="E66" s="238">
        <f t="shared" si="6"/>
        <v>2.9328498776474952E-2</v>
      </c>
      <c r="F66" s="245">
        <f t="shared" si="3"/>
        <v>0.77598147238271409</v>
      </c>
      <c r="G66" s="245">
        <f t="shared" si="4"/>
        <v>0.22401852761728586</v>
      </c>
      <c r="H66" s="240"/>
      <c r="I66" s="240"/>
      <c r="J66" s="240"/>
      <c r="K66" s="240"/>
      <c r="L66" s="240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40"/>
      <c r="AC66" s="240"/>
      <c r="AD66" s="240"/>
      <c r="AE66" s="240"/>
      <c r="AF66" s="240"/>
    </row>
    <row r="67" spans="1:32" ht="16.5">
      <c r="A67" s="246" t="s">
        <v>242</v>
      </c>
      <c r="B67" s="247">
        <f>B33+B35+B42+B46+B49+B51+B58+B62</f>
        <v>5500042</v>
      </c>
      <c r="C67" s="248">
        <f>C33+C35+C42+C46+C49+C51+C58+C62</f>
        <v>4000042</v>
      </c>
      <c r="D67" s="249">
        <v>1500000</v>
      </c>
      <c r="E67" s="250">
        <f>B67/$B$67</f>
        <v>1</v>
      </c>
      <c r="F67" s="251">
        <f t="shared" si="3"/>
        <v>0.72727480990145166</v>
      </c>
      <c r="G67" s="251">
        <f t="shared" si="4"/>
        <v>0.27272519009854834</v>
      </c>
      <c r="H67" s="252">
        <f>H33+H35+H42+H46+H49+H51+H58+H62</f>
        <v>280.00000000000006</v>
      </c>
      <c r="I67" s="252">
        <f t="shared" ref="I67:L67" si="14">I33+I35+I42+I46+I49+I51+I58+I62</f>
        <v>614</v>
      </c>
      <c r="J67" s="252">
        <f t="shared" si="14"/>
        <v>11.622000000000002</v>
      </c>
      <c r="K67" s="252">
        <f t="shared" si="14"/>
        <v>6.2579999999999991</v>
      </c>
      <c r="L67" s="252">
        <f t="shared" si="14"/>
        <v>45931900</v>
      </c>
      <c r="M67" s="253">
        <f>$F$17*E67</f>
        <v>175</v>
      </c>
      <c r="N67" s="253">
        <f>$F$18*E67</f>
        <v>383.75</v>
      </c>
      <c r="O67" s="253">
        <f>$F$22*E67</f>
        <v>7.2637500000000008</v>
      </c>
      <c r="P67" s="253">
        <f>$F$23*E67</f>
        <v>3.9112499999999999</v>
      </c>
      <c r="Q67" s="253">
        <f>$F$29*E67</f>
        <v>28707437.5</v>
      </c>
      <c r="R67" s="253">
        <f>$G$17*E67</f>
        <v>175</v>
      </c>
      <c r="S67" s="253">
        <f>$G$18*E67</f>
        <v>383.75</v>
      </c>
      <c r="T67" s="253">
        <f>$G$22*E67</f>
        <v>7.2637500000000008</v>
      </c>
      <c r="U67" s="253">
        <f>$G$23*E67</f>
        <v>3.9112499999999999</v>
      </c>
      <c r="V67" s="253">
        <f>$G$29*E67</f>
        <v>28707437.5</v>
      </c>
      <c r="W67" s="253">
        <f>$H$17*E67</f>
        <v>70</v>
      </c>
      <c r="X67" s="253">
        <f>$H$18*E67</f>
        <v>153.5</v>
      </c>
      <c r="Y67" s="253">
        <f>$H$22*E67</f>
        <v>2.9055000000000004</v>
      </c>
      <c r="Z67" s="253">
        <f>$H$23*E67</f>
        <v>1.5645</v>
      </c>
      <c r="AA67" s="253">
        <f>$H$29*E67</f>
        <v>11482975</v>
      </c>
      <c r="AB67" s="252">
        <f>AB33+AB35+AB42+AB46+AB49+AB51+AB58+AB62</f>
        <v>700</v>
      </c>
      <c r="AC67" s="252">
        <f t="shared" ref="AC67:AF67" si="15">AC33+AC35+AC42+AC46+AC49+AC51+AC58+AC62</f>
        <v>1535</v>
      </c>
      <c r="AD67" s="252">
        <f t="shared" si="15"/>
        <v>29.055000000000003</v>
      </c>
      <c r="AE67" s="252">
        <f t="shared" si="15"/>
        <v>15.645</v>
      </c>
      <c r="AF67" s="252">
        <f t="shared" si="15"/>
        <v>114829750</v>
      </c>
    </row>
    <row r="68" spans="1:32">
      <c r="H68">
        <f>H67*310</f>
        <v>86800.000000000015</v>
      </c>
      <c r="I68">
        <f>I67*310</f>
        <v>190340</v>
      </c>
      <c r="M68" s="411">
        <f>M67*310</f>
        <v>54250</v>
      </c>
      <c r="N68" s="411">
        <f>N67*310</f>
        <v>118962.5</v>
      </c>
      <c r="R68" s="411">
        <f>R67*310</f>
        <v>54250</v>
      </c>
      <c r="S68" s="411">
        <f>S67*310</f>
        <v>118962.5</v>
      </c>
      <c r="W68" s="411">
        <f>W67*310</f>
        <v>21700</v>
      </c>
      <c r="X68" s="411">
        <f>X67*310</f>
        <v>47585</v>
      </c>
      <c r="AB68">
        <f>AB67*310</f>
        <v>217000</v>
      </c>
      <c r="AC68">
        <f>AC67*310</f>
        <v>475850</v>
      </c>
    </row>
    <row r="69" spans="1:32">
      <c r="I69" s="147">
        <f>SUM(H68:I68)</f>
        <v>277140</v>
      </c>
      <c r="N69" s="147">
        <f>SUM(M68:N68)</f>
        <v>173212.5</v>
      </c>
      <c r="S69" s="147">
        <f>SUM(R68:S68)</f>
        <v>173212.5</v>
      </c>
      <c r="X69" s="147">
        <f>SUM(W68:X68)</f>
        <v>69285</v>
      </c>
    </row>
    <row r="70" spans="1:32">
      <c r="I70" s="270">
        <f>I69*F67</f>
        <v>201556.94081608832</v>
      </c>
      <c r="J70" s="270">
        <f>I69*G67</f>
        <v>75583.059183911682</v>
      </c>
      <c r="N70" s="270">
        <f>N69*F67</f>
        <v>125973.0880100552</v>
      </c>
      <c r="O70" s="270">
        <f>N69*G67</f>
        <v>47239.411989944805</v>
      </c>
      <c r="S70" s="270">
        <f>S69*F67</f>
        <v>125973.0880100552</v>
      </c>
      <c r="T70" s="270">
        <f>S69*G67</f>
        <v>47239.411989944805</v>
      </c>
      <c r="X70" s="270">
        <f>X69*F67</f>
        <v>50389.235204022079</v>
      </c>
      <c r="Y70" s="270">
        <f>X69*G67</f>
        <v>18895.764795977921</v>
      </c>
    </row>
    <row r="71" spans="1:32">
      <c r="I71" s="412">
        <f>I70/1500000</f>
        <v>0.13437129387739222</v>
      </c>
      <c r="J71" s="412">
        <f>J70/1500000</f>
        <v>5.038870612260779E-2</v>
      </c>
      <c r="N71" s="412">
        <f>N70/1500000</f>
        <v>8.3982058673370136E-2</v>
      </c>
      <c r="O71" s="412">
        <f>O70/1500000</f>
        <v>3.1492941326629872E-2</v>
      </c>
      <c r="S71" s="412">
        <f>S70/1500000</f>
        <v>8.3982058673370136E-2</v>
      </c>
      <c r="T71" s="412">
        <f>T70/1500000</f>
        <v>3.1492941326629872E-2</v>
      </c>
      <c r="X71" s="412">
        <f>X70/1500000</f>
        <v>3.3592823469348054E-2</v>
      </c>
      <c r="Y71" s="412">
        <f>Y70/1500000</f>
        <v>1.2597176530651948E-2</v>
      </c>
    </row>
    <row r="73" spans="1:32">
      <c r="H73" t="s">
        <v>243</v>
      </c>
    </row>
    <row r="74" spans="1:32">
      <c r="H74">
        <f>H33*G33</f>
        <v>7.3122152916013565</v>
      </c>
    </row>
  </sheetData>
  <mergeCells count="25">
    <mergeCell ref="A13:B13"/>
    <mergeCell ref="A2:H2"/>
    <mergeCell ref="A5:B5"/>
    <mergeCell ref="A6:A7"/>
    <mergeCell ref="A8:B8"/>
    <mergeCell ref="A12:B12"/>
    <mergeCell ref="A27:B27"/>
    <mergeCell ref="A14:B14"/>
    <mergeCell ref="A15:B15"/>
    <mergeCell ref="A16:B16"/>
    <mergeCell ref="A17:B17"/>
    <mergeCell ref="A18:B18"/>
    <mergeCell ref="A19:B19"/>
    <mergeCell ref="A20:B20"/>
    <mergeCell ref="A21:B21"/>
    <mergeCell ref="A24:B24"/>
    <mergeCell ref="A25:B25"/>
    <mergeCell ref="A26:B26"/>
    <mergeCell ref="AC31:AF31"/>
    <mergeCell ref="A28:B28"/>
    <mergeCell ref="A29:B29"/>
    <mergeCell ref="I31:L31"/>
    <mergeCell ref="N31:Q31"/>
    <mergeCell ref="S31:V31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Readme</vt:lpstr>
      <vt:lpstr>Summary</vt:lpstr>
      <vt:lpstr>Sheet2</vt:lpstr>
      <vt:lpstr>Impact 1 (2018-2020)</vt:lpstr>
      <vt:lpstr>Impact 1 (2018-2021)</vt:lpstr>
      <vt:lpstr>Target Dist per Caza</vt:lpstr>
      <vt:lpstr>Population Distribution</vt:lpstr>
      <vt:lpstr>Sheet1</vt:lpstr>
      <vt:lpstr>Kamal Original</vt:lpstr>
      <vt:lpstr>Appeal MoEW 2017</vt:lpstr>
      <vt:lpstr>'Impact 1 (2018-2021)'!Activity_5Activity_5_51_5551_5651_5551_5451_5551_56</vt:lpstr>
      <vt:lpstr>Activity_5Activity_5_51_5551_5651_5551_5451_5551_56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Hrayr Wannis</dc:creator>
  <cp:lastModifiedBy>Hiba Taha</cp:lastModifiedBy>
  <cp:lastPrinted>2017-01-09T10:58:21Z</cp:lastPrinted>
  <dcterms:created xsi:type="dcterms:W3CDTF">2014-08-29T13:09:43Z</dcterms:created>
  <dcterms:modified xsi:type="dcterms:W3CDTF">2018-06-11T11:36:39Z</dcterms:modified>
</cp:coreProperties>
</file>