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320" windowHeight="7900" activeTab="0"/>
  </bookViews>
  <sheets>
    <sheet name="water" sheetId="1" r:id="rId1"/>
    <sheet name="sanitation" sheetId="2" r:id="rId2"/>
  </sheets>
  <definedNames/>
  <calcPr fullCalcOnLoad="1"/>
</workbook>
</file>

<file path=xl/sharedStrings.xml><?xml version="1.0" encoding="utf-8"?>
<sst xmlns="http://schemas.openxmlformats.org/spreadsheetml/2006/main" count="66" uniqueCount="48">
  <si>
    <t>Population size</t>
  </si>
  <si>
    <t>Coverage in terms of water points</t>
  </si>
  <si>
    <t>Number of taps</t>
  </si>
  <si>
    <t>Standard (l/p/d)</t>
  </si>
  <si>
    <t>Actual (l/p/d)</t>
  </si>
  <si>
    <t>Actual number</t>
  </si>
  <si>
    <t>Total</t>
  </si>
  <si>
    <t>Total volume of water provided                    (liters/d)</t>
  </si>
  <si>
    <t>Number of distribution hours per day</t>
  </si>
  <si>
    <t>Water needed to meet std (GAP) (liters/day)</t>
  </si>
  <si>
    <t>Number of water collection points (locations)</t>
  </si>
  <si>
    <t>Req’d (1:80)</t>
  </si>
  <si>
    <t xml:space="preserve">Additional taps required </t>
  </si>
  <si>
    <t xml:space="preserve">Additional water collection points (6 taps) required </t>
  </si>
  <si>
    <t xml:space="preserve">Ratio per user   </t>
  </si>
  <si>
    <t>Number of HHs</t>
  </si>
  <si>
    <t>1:20</t>
  </si>
  <si>
    <t>Type of facilities</t>
  </si>
  <si>
    <t>Communal Toilets</t>
  </si>
  <si>
    <t>HHs Toilets</t>
  </si>
  <si>
    <t>Showers</t>
  </si>
  <si>
    <t>Washing basins</t>
  </si>
  <si>
    <t>Solid waste pits</t>
  </si>
  <si>
    <t>Existing number of blocks</t>
  </si>
  <si>
    <t>Existing number of stances (holes)</t>
  </si>
  <si>
    <t>Standard</t>
  </si>
  <si>
    <t>Coverage (%)</t>
  </si>
  <si>
    <t xml:space="preserve">Actual coverage (persons) </t>
  </si>
  <si>
    <t>Comment</t>
  </si>
  <si>
    <t>1&lt;50</t>
  </si>
  <si>
    <t>1&lt;100</t>
  </si>
  <si>
    <t>1&lt;500</t>
  </si>
  <si>
    <t>GAP (number of facilities needed to meet standard)</t>
  </si>
  <si>
    <t>Refugee Camp</t>
  </si>
  <si>
    <t>Ratio Refugee:Taps</t>
  </si>
  <si>
    <t>Water coverage</t>
  </si>
  <si>
    <t>Sheder</t>
  </si>
  <si>
    <t>Awbarre</t>
  </si>
  <si>
    <t>SHEDER Refugee Camp</t>
  </si>
  <si>
    <t>AWBARRE Refugee Camp</t>
  </si>
  <si>
    <t>Solid waste pits (7-62m3,10-42m3)</t>
  </si>
  <si>
    <t>Solid waste pits (7pcs-62m3,10pcs-42m3)</t>
  </si>
  <si>
    <t>Kebribeyah</t>
  </si>
  <si>
    <t>KEBRIBEYAH Refugee camp</t>
  </si>
  <si>
    <t>Replacement on demolishing the old latrines constructed by IRC,i.e. the figures are same weekly</t>
  </si>
  <si>
    <t xml:space="preserve">No communal toilets in Kebribeyah </t>
  </si>
  <si>
    <t xml:space="preserve">WASH training being provided for community workers in the camp with four groups organized by ARRA at Awbare camp,health center </t>
  </si>
  <si>
    <t>WASH Engineer: Simeneh Gebeyehu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</si>
</sst>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</numFmts>
  <fonts count="41"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3" fontId="5" fillId="0" borderId="10" xfId="48" applyNumberFormat="1" applyFont="1" applyFill="1" applyBorder="1" applyAlignment="1">
      <alignment vertical="center"/>
      <protection/>
    </xf>
    <xf numFmtId="0" fontId="5" fillId="0" borderId="10" xfId="48" applyFont="1" applyFill="1" applyBorder="1" applyAlignment="1">
      <alignment vertical="center"/>
      <protection/>
    </xf>
    <xf numFmtId="0" fontId="5" fillId="0" borderId="11" xfId="48" applyFont="1" applyFill="1" applyBorder="1" applyAlignment="1">
      <alignment vertical="center"/>
      <protection/>
    </xf>
    <xf numFmtId="3" fontId="5" fillId="0" borderId="12" xfId="48" applyNumberFormat="1" applyFont="1" applyFill="1" applyBorder="1" applyAlignment="1">
      <alignment vertical="center"/>
      <protection/>
    </xf>
    <xf numFmtId="3" fontId="5" fillId="0" borderId="13" xfId="48" applyNumberFormat="1" applyFont="1" applyFill="1" applyBorder="1" applyAlignment="1">
      <alignment vertical="center"/>
      <protection/>
    </xf>
    <xf numFmtId="0" fontId="6" fillId="0" borderId="14" xfId="48" applyFont="1" applyFill="1" applyBorder="1" applyAlignment="1">
      <alignment vertical="center"/>
      <protection/>
    </xf>
    <xf numFmtId="3" fontId="6" fillId="0" borderId="15" xfId="48" applyNumberFormat="1" applyFont="1" applyFill="1" applyBorder="1" applyAlignment="1">
      <alignment vertical="center"/>
      <protection/>
    </xf>
    <xf numFmtId="0" fontId="6" fillId="0" borderId="15" xfId="48" applyFont="1" applyFill="1" applyBorder="1" applyAlignment="1">
      <alignment vertical="center"/>
      <protection/>
    </xf>
    <xf numFmtId="1" fontId="6" fillId="0" borderId="16" xfId="48" applyNumberFormat="1" applyFont="1" applyFill="1" applyBorder="1" applyAlignment="1">
      <alignment vertical="center"/>
      <protection/>
    </xf>
    <xf numFmtId="0" fontId="3" fillId="0" borderId="0" xfId="48" applyFont="1" applyAlignment="1">
      <alignment vertical="center"/>
      <protection/>
    </xf>
    <xf numFmtId="0" fontId="5" fillId="0" borderId="17" xfId="48" applyFont="1" applyFill="1" applyBorder="1" applyAlignment="1">
      <alignment vertical="center" wrapText="1"/>
      <protection/>
    </xf>
    <xf numFmtId="0" fontId="4" fillId="0" borderId="0" xfId="48" applyFont="1" applyAlignment="1">
      <alignment horizontal="center" vertical="center"/>
      <protection/>
    </xf>
    <xf numFmtId="3" fontId="5" fillId="0" borderId="10" xfId="48" applyNumberFormat="1" applyFont="1" applyFill="1" applyBorder="1" applyAlignment="1">
      <alignment horizontal="center" vertical="center"/>
      <protection/>
    </xf>
    <xf numFmtId="3" fontId="5" fillId="33" borderId="18" xfId="48" applyNumberFormat="1" applyFont="1" applyFill="1" applyBorder="1" applyAlignment="1">
      <alignment horizontal="right" vertical="center"/>
      <protection/>
    </xf>
    <xf numFmtId="3" fontId="5" fillId="33" borderId="12" xfId="48" applyNumberFormat="1" applyFont="1" applyFill="1" applyBorder="1" applyAlignment="1">
      <alignment horizontal="right" vertical="center"/>
      <protection/>
    </xf>
    <xf numFmtId="1" fontId="5" fillId="33" borderId="18" xfId="48" applyNumberFormat="1" applyFont="1" applyFill="1" applyBorder="1" applyAlignment="1">
      <alignment vertical="center"/>
      <protection/>
    </xf>
    <xf numFmtId="1" fontId="5" fillId="33" borderId="12" xfId="48" applyNumberFormat="1" applyFont="1" applyFill="1" applyBorder="1" applyAlignment="1">
      <alignment vertical="center"/>
      <protection/>
    </xf>
    <xf numFmtId="1" fontId="6" fillId="0" borderId="15" xfId="48" applyNumberFormat="1" applyFont="1" applyFill="1" applyBorder="1" applyAlignment="1">
      <alignment vertical="center"/>
      <protection/>
    </xf>
    <xf numFmtId="1" fontId="5" fillId="0" borderId="19" xfId="48" applyNumberFormat="1" applyFont="1" applyFill="1" applyBorder="1" applyAlignment="1">
      <alignment vertical="center"/>
      <protection/>
    </xf>
    <xf numFmtId="9" fontId="5" fillId="33" borderId="18" xfId="51" applyFont="1" applyFill="1" applyBorder="1" applyAlignment="1">
      <alignment horizontal="right" vertical="center"/>
    </xf>
    <xf numFmtId="9" fontId="5" fillId="33" borderId="12" xfId="51" applyFont="1" applyFill="1" applyBorder="1" applyAlignment="1">
      <alignment horizontal="right" vertical="center"/>
    </xf>
    <xf numFmtId="9" fontId="5" fillId="33" borderId="15" xfId="51" applyFont="1" applyFill="1" applyBorder="1" applyAlignment="1">
      <alignment horizontal="right" vertical="center"/>
    </xf>
    <xf numFmtId="3" fontId="5" fillId="0" borderId="12" xfId="48" applyNumberFormat="1" applyFont="1" applyFill="1" applyBorder="1" applyAlignment="1">
      <alignment horizontal="center" vertical="center"/>
      <protection/>
    </xf>
    <xf numFmtId="178" fontId="6" fillId="0" borderId="15" xfId="48" applyNumberFormat="1" applyFont="1" applyFill="1" applyBorder="1" applyAlignment="1">
      <alignment vertical="center"/>
      <protection/>
    </xf>
    <xf numFmtId="0" fontId="5" fillId="33" borderId="12" xfId="48" applyFont="1" applyFill="1" applyBorder="1" applyAlignment="1">
      <alignment vertical="center"/>
      <protection/>
    </xf>
    <xf numFmtId="1" fontId="5" fillId="0" borderId="20" xfId="48" applyNumberFormat="1" applyFont="1" applyFill="1" applyBorder="1" applyAlignment="1">
      <alignment vertical="center"/>
      <protection/>
    </xf>
    <xf numFmtId="3" fontId="5" fillId="33" borderId="10" xfId="48" applyNumberFormat="1" applyFont="1" applyFill="1" applyBorder="1" applyAlignment="1">
      <alignment vertical="center"/>
      <protection/>
    </xf>
    <xf numFmtId="3" fontId="5" fillId="33" borderId="12" xfId="48" applyNumberFormat="1" applyFont="1" applyFill="1" applyBorder="1" applyAlignment="1">
      <alignment vertical="center"/>
      <protection/>
    </xf>
    <xf numFmtId="3" fontId="5" fillId="33" borderId="21" xfId="48" applyNumberFormat="1" applyFont="1" applyFill="1" applyBorder="1" applyAlignment="1">
      <alignment vertical="center"/>
      <protection/>
    </xf>
    <xf numFmtId="3" fontId="5" fillId="0" borderId="21" xfId="48" applyNumberFormat="1" applyFont="1" applyFill="1" applyBorder="1" applyAlignment="1">
      <alignment vertical="center"/>
      <protection/>
    </xf>
    <xf numFmtId="0" fontId="5" fillId="0" borderId="18" xfId="48" applyFont="1" applyFill="1" applyBorder="1" applyAlignment="1" quotePrefix="1">
      <alignment horizontal="center" vertical="center"/>
      <protection/>
    </xf>
    <xf numFmtId="0" fontId="5" fillId="0" borderId="12" xfId="48" applyFont="1" applyFill="1" applyBorder="1" applyAlignment="1" quotePrefix="1">
      <alignment horizontal="center" vertical="center"/>
      <protection/>
    </xf>
    <xf numFmtId="9" fontId="5" fillId="0" borderId="12" xfId="48" applyNumberFormat="1" applyFont="1" applyFill="1" applyBorder="1" applyAlignment="1" quotePrefix="1">
      <alignment horizontal="center" vertical="center"/>
      <protection/>
    </xf>
    <xf numFmtId="0" fontId="5" fillId="0" borderId="21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3" fontId="5" fillId="33" borderId="12" xfId="48" applyNumberFormat="1" applyFont="1" applyFill="1" applyBorder="1" applyAlignment="1">
      <alignment horizontal="center" vertical="center"/>
      <protection/>
    </xf>
    <xf numFmtId="178" fontId="5" fillId="0" borderId="18" xfId="48" applyNumberFormat="1" applyFont="1" applyFill="1" applyBorder="1" applyAlignment="1">
      <alignment horizontal="center" vertical="center"/>
      <protection/>
    </xf>
    <xf numFmtId="178" fontId="5" fillId="0" borderId="12" xfId="48" applyNumberFormat="1" applyFont="1" applyFill="1" applyBorder="1" applyAlignment="1">
      <alignment horizontal="center" vertical="center"/>
      <protection/>
    </xf>
    <xf numFmtId="9" fontId="5" fillId="0" borderId="12" xfId="51" applyFont="1" applyFill="1" applyBorder="1" applyAlignment="1">
      <alignment horizontal="center" vertical="center"/>
    </xf>
    <xf numFmtId="178" fontId="5" fillId="0" borderId="21" xfId="48" applyNumberFormat="1" applyFont="1" applyFill="1" applyBorder="1" applyAlignment="1">
      <alignment horizontal="center" vertical="center"/>
      <protection/>
    </xf>
    <xf numFmtId="1" fontId="5" fillId="0" borderId="13" xfId="48" applyNumberFormat="1" applyFont="1" applyFill="1" applyBorder="1" applyAlignment="1">
      <alignment horizontal="center" vertical="center"/>
      <protection/>
    </xf>
    <xf numFmtId="3" fontId="5" fillId="33" borderId="21" xfId="48" applyNumberFormat="1" applyFont="1" applyFill="1" applyBorder="1" applyAlignment="1">
      <alignment horizontal="center" vertical="center"/>
      <protection/>
    </xf>
    <xf numFmtId="3" fontId="5" fillId="0" borderId="13" xfId="48" applyNumberFormat="1" applyFont="1" applyFill="1" applyBorder="1" applyAlignment="1">
      <alignment horizontal="center" vertical="center"/>
      <protection/>
    </xf>
    <xf numFmtId="9" fontId="5" fillId="0" borderId="13" xfId="51" applyFont="1" applyFill="1" applyBorder="1" applyAlignment="1">
      <alignment horizontal="center" vertical="center"/>
    </xf>
    <xf numFmtId="0" fontId="4" fillId="0" borderId="20" xfId="48" applyFont="1" applyBorder="1" applyAlignment="1">
      <alignment horizontal="left" vertical="center"/>
      <protection/>
    </xf>
    <xf numFmtId="0" fontId="4" fillId="0" borderId="22" xfId="48" applyFont="1" applyBorder="1" applyAlignment="1">
      <alignment horizontal="left" vertical="center"/>
      <protection/>
    </xf>
    <xf numFmtId="1" fontId="5" fillId="0" borderId="10" xfId="48" applyNumberFormat="1" applyFont="1" applyFill="1" applyBorder="1" applyAlignment="1">
      <alignment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2" xfId="48" applyFont="1" applyFill="1" applyBorder="1" applyAlignment="1">
      <alignment horizontal="center" vertical="center"/>
      <protection/>
    </xf>
    <xf numFmtId="3" fontId="5" fillId="0" borderId="13" xfId="48" applyNumberFormat="1" applyFont="1" applyFill="1" applyBorder="1" applyAlignment="1">
      <alignment vertical="center" wrapText="1"/>
      <protection/>
    </xf>
    <xf numFmtId="0" fontId="5" fillId="0" borderId="23" xfId="48" applyFont="1" applyFill="1" applyBorder="1" applyAlignment="1">
      <alignment vertical="center"/>
      <protection/>
    </xf>
    <xf numFmtId="3" fontId="5" fillId="33" borderId="24" xfId="48" applyNumberFormat="1" applyFont="1" applyFill="1" applyBorder="1" applyAlignment="1">
      <alignment vertical="center"/>
      <protection/>
    </xf>
    <xf numFmtId="3" fontId="5" fillId="0" borderId="24" xfId="48" applyNumberFormat="1" applyFont="1" applyFill="1" applyBorder="1" applyAlignment="1">
      <alignment vertical="center"/>
      <protection/>
    </xf>
    <xf numFmtId="3" fontId="5" fillId="0" borderId="24" xfId="48" applyNumberFormat="1" applyFont="1" applyFill="1" applyBorder="1" applyAlignment="1">
      <alignment horizontal="center" vertical="center"/>
      <protection/>
    </xf>
    <xf numFmtId="0" fontId="5" fillId="0" borderId="24" xfId="48" applyFont="1" applyFill="1" applyBorder="1" applyAlignment="1">
      <alignment horizontal="center" vertical="center"/>
      <protection/>
    </xf>
    <xf numFmtId="0" fontId="5" fillId="33" borderId="24" xfId="48" applyFont="1" applyFill="1" applyBorder="1" applyAlignment="1">
      <alignment vertical="center"/>
      <protection/>
    </xf>
    <xf numFmtId="1" fontId="5" fillId="0" borderId="25" xfId="48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0" fontId="4" fillId="34" borderId="26" xfId="48" applyFont="1" applyFill="1" applyBorder="1" applyAlignment="1">
      <alignment vertical="center"/>
      <protection/>
    </xf>
    <xf numFmtId="0" fontId="3" fillId="34" borderId="23" xfId="48" applyFont="1" applyFill="1" applyBorder="1" applyAlignment="1">
      <alignment vertical="center" wrapText="1"/>
      <protection/>
    </xf>
    <xf numFmtId="3" fontId="5" fillId="33" borderId="0" xfId="48" applyNumberFormat="1" applyFont="1" applyFill="1" applyBorder="1" applyAlignment="1">
      <alignment horizontal="center" vertical="center"/>
      <protection/>
    </xf>
    <xf numFmtId="0" fontId="3" fillId="0" borderId="0" xfId="48" applyFont="1" applyAlignment="1">
      <alignment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3" fillId="33" borderId="27" xfId="48" applyFont="1" applyFill="1" applyBorder="1" applyAlignment="1">
      <alignment horizontal="center" vertical="center" wrapText="1"/>
      <protection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  <xf numFmtId="0" fontId="3" fillId="0" borderId="24" xfId="48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3" fillId="0" borderId="29" xfId="48" applyFont="1" applyFill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center" vertical="center" wrapText="1"/>
      <protection/>
    </xf>
    <xf numFmtId="0" fontId="3" fillId="0" borderId="30" xfId="48" applyFont="1" applyFill="1" applyBorder="1" applyAlignment="1">
      <alignment horizontal="center" vertical="center" wrapText="1"/>
      <protection/>
    </xf>
    <xf numFmtId="0" fontId="4" fillId="0" borderId="19" xfId="48" applyFont="1" applyBorder="1" applyAlignment="1">
      <alignment horizontal="center" vertical="center" wrapText="1"/>
      <protection/>
    </xf>
    <xf numFmtId="0" fontId="4" fillId="0" borderId="25" xfId="48" applyFont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3" fontId="5" fillId="33" borderId="18" xfId="48" applyNumberFormat="1" applyFont="1" applyFill="1" applyBorder="1" applyAlignment="1">
      <alignment horizontal="center" vertical="center"/>
      <protection/>
    </xf>
    <xf numFmtId="3" fontId="5" fillId="33" borderId="32" xfId="48" applyNumberFormat="1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 wrapText="1"/>
      <protection/>
    </xf>
    <xf numFmtId="0" fontId="3" fillId="34" borderId="27" xfId="48" applyFont="1" applyFill="1" applyBorder="1" applyAlignment="1">
      <alignment horizontal="center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3" fillId="34" borderId="33" xfId="48" applyFont="1" applyFill="1" applyBorder="1" applyAlignment="1">
      <alignment horizontal="center" vertical="center" wrapText="1"/>
      <protection/>
    </xf>
    <xf numFmtId="0" fontId="3" fillId="34" borderId="34" xfId="48" applyFont="1" applyFill="1" applyBorder="1" applyAlignment="1">
      <alignment horizontal="center" vertical="center" wrapText="1"/>
      <protection/>
    </xf>
    <xf numFmtId="0" fontId="3" fillId="34" borderId="35" xfId="48" applyFont="1" applyFill="1" applyBorder="1" applyAlignment="1">
      <alignment horizontal="center" vertical="center" wrapText="1"/>
      <protection/>
    </xf>
    <xf numFmtId="0" fontId="3" fillId="34" borderId="36" xfId="48" applyFont="1" applyFill="1" applyBorder="1" applyAlignment="1">
      <alignment horizontal="center" vertical="center" wrapText="1"/>
      <protection/>
    </xf>
    <xf numFmtId="0" fontId="3" fillId="34" borderId="0" xfId="48" applyFont="1" applyFill="1" applyBorder="1" applyAlignment="1">
      <alignment horizontal="center" vertical="center" wrapText="1"/>
      <protection/>
    </xf>
    <xf numFmtId="0" fontId="3" fillId="34" borderId="37" xfId="48" applyFont="1" applyFill="1" applyBorder="1" applyAlignment="1">
      <alignment horizontal="center" vertical="center" wrapText="1"/>
      <protection/>
    </xf>
    <xf numFmtId="0" fontId="3" fillId="34" borderId="19" xfId="48" applyFont="1" applyFill="1" applyBorder="1" applyAlignment="1">
      <alignment horizontal="center" vertical="center" wrapText="1"/>
      <protection/>
    </xf>
    <xf numFmtId="0" fontId="3" fillId="34" borderId="25" xfId="48" applyFont="1" applyFill="1" applyBorder="1" applyAlignment="1">
      <alignment horizontal="center" vertical="center" wrapText="1"/>
      <protection/>
    </xf>
    <xf numFmtId="0" fontId="3" fillId="0" borderId="23" xfId="48" applyFont="1" applyBorder="1" applyAlignment="1">
      <alignment horizontal="center" vertical="center" wrapText="1"/>
      <protection/>
    </xf>
    <xf numFmtId="0" fontId="3" fillId="0" borderId="30" xfId="48" applyFont="1" applyBorder="1" applyAlignment="1">
      <alignment horizontal="center" vertical="center" wrapText="1"/>
      <protection/>
    </xf>
    <xf numFmtId="0" fontId="4" fillId="0" borderId="38" xfId="48" applyFont="1" applyBorder="1" applyAlignment="1">
      <alignment horizontal="left" vertical="center" wrapText="1"/>
      <protection/>
    </xf>
    <xf numFmtId="0" fontId="4" fillId="0" borderId="39" xfId="48" applyFont="1" applyBorder="1" applyAlignment="1">
      <alignment horizontal="left" vertical="center" wrapText="1"/>
      <protection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25" zoomScaleNormal="125" workbookViewId="0" topLeftCell="A1">
      <selection activeCell="H13" sqref="H13"/>
    </sheetView>
  </sheetViews>
  <sheetFormatPr defaultColWidth="9.140625" defaultRowHeight="15"/>
  <cols>
    <col min="1" max="1" width="9.421875" style="1" customWidth="1"/>
    <col min="2" max="2" width="14.421875" style="1" customWidth="1"/>
    <col min="3" max="3" width="12.00390625" style="1" customWidth="1"/>
    <col min="4" max="4" width="10.140625" style="1" customWidth="1"/>
    <col min="5" max="5" width="7.7109375" style="1" customWidth="1"/>
    <col min="6" max="6" width="6.8515625" style="1" customWidth="1"/>
    <col min="7" max="7" width="12.421875" style="1" customWidth="1"/>
    <col min="8" max="8" width="12.28125" style="1" customWidth="1"/>
    <col min="9" max="10" width="7.8515625" style="1" customWidth="1"/>
    <col min="11" max="11" width="6.00390625" style="1" customWidth="1"/>
    <col min="12" max="12" width="7.421875" style="1" customWidth="1"/>
    <col min="13" max="13" width="8.8515625" style="1" customWidth="1"/>
    <col min="14" max="14" width="13.140625" style="1" customWidth="1"/>
    <col min="15" max="16384" width="9.140625" style="1" customWidth="1"/>
  </cols>
  <sheetData>
    <row r="1" spans="1:14" ht="10.5">
      <c r="A1" s="79" t="s">
        <v>33</v>
      </c>
      <c r="B1" s="64" t="s">
        <v>0</v>
      </c>
      <c r="C1" s="70" t="s">
        <v>7</v>
      </c>
      <c r="D1" s="67" t="s">
        <v>8</v>
      </c>
      <c r="E1" s="64" t="s">
        <v>35</v>
      </c>
      <c r="F1" s="64"/>
      <c r="G1" s="76" t="s">
        <v>9</v>
      </c>
      <c r="H1" s="64" t="s">
        <v>10</v>
      </c>
      <c r="I1" s="70" t="s">
        <v>1</v>
      </c>
      <c r="J1" s="67" t="s">
        <v>34</v>
      </c>
      <c r="K1" s="64" t="s">
        <v>2</v>
      </c>
      <c r="L1" s="64"/>
      <c r="M1" s="64" t="s">
        <v>12</v>
      </c>
      <c r="N1" s="73" t="s">
        <v>13</v>
      </c>
    </row>
    <row r="2" spans="1:14" ht="13.5" customHeight="1">
      <c r="A2" s="80"/>
      <c r="B2" s="65"/>
      <c r="C2" s="71"/>
      <c r="D2" s="68"/>
      <c r="E2" s="65"/>
      <c r="F2" s="65"/>
      <c r="G2" s="77"/>
      <c r="H2" s="65"/>
      <c r="I2" s="71"/>
      <c r="J2" s="68"/>
      <c r="K2" s="65"/>
      <c r="L2" s="65"/>
      <c r="M2" s="65"/>
      <c r="N2" s="74"/>
    </row>
    <row r="3" spans="1:14" ht="12.75" customHeight="1">
      <c r="A3" s="80"/>
      <c r="B3" s="65"/>
      <c r="C3" s="71"/>
      <c r="D3" s="68"/>
      <c r="E3" s="71" t="s">
        <v>3</v>
      </c>
      <c r="F3" s="65" t="s">
        <v>4</v>
      </c>
      <c r="G3" s="77"/>
      <c r="H3" s="65"/>
      <c r="I3" s="71"/>
      <c r="J3" s="68"/>
      <c r="K3" s="65" t="s">
        <v>11</v>
      </c>
      <c r="L3" s="65" t="s">
        <v>5</v>
      </c>
      <c r="M3" s="65"/>
      <c r="N3" s="74"/>
    </row>
    <row r="4" spans="1:14" ht="24" customHeight="1" thickBot="1">
      <c r="A4" s="81"/>
      <c r="B4" s="66"/>
      <c r="C4" s="72"/>
      <c r="D4" s="69"/>
      <c r="E4" s="72"/>
      <c r="F4" s="66"/>
      <c r="G4" s="78"/>
      <c r="H4" s="66"/>
      <c r="I4" s="72"/>
      <c r="J4" s="69"/>
      <c r="K4" s="66"/>
      <c r="L4" s="66"/>
      <c r="M4" s="66"/>
      <c r="N4" s="75"/>
    </row>
    <row r="5" spans="1:14" ht="12.75" customHeight="1" thickBot="1">
      <c r="A5" s="12" t="s">
        <v>36</v>
      </c>
      <c r="B5" s="28">
        <f>11569</f>
        <v>11569</v>
      </c>
      <c r="C5" s="2">
        <v>80000</v>
      </c>
      <c r="D5" s="14">
        <v>10</v>
      </c>
      <c r="E5" s="49">
        <v>20</v>
      </c>
      <c r="F5" s="38">
        <f>C5/B5</f>
        <v>6.915031549831446</v>
      </c>
      <c r="G5" s="15">
        <v>0</v>
      </c>
      <c r="H5" s="3">
        <v>18</v>
      </c>
      <c r="I5" s="21">
        <f>(L5*80)/B5</f>
        <v>0.9957645431757283</v>
      </c>
      <c r="J5" s="48">
        <f>B5/L5</f>
        <v>80.34027777777777</v>
      </c>
      <c r="K5" s="17">
        <f>B5/80</f>
        <v>144.6125</v>
      </c>
      <c r="L5" s="3">
        <f>H5*8</f>
        <v>144</v>
      </c>
      <c r="M5" s="17">
        <f>K5-L5</f>
        <v>0.6125000000000114</v>
      </c>
      <c r="N5" s="20">
        <f>M5/6</f>
        <v>0.10208333333333523</v>
      </c>
    </row>
    <row r="6" spans="1:14" ht="12.75" thickBot="1">
      <c r="A6" s="4" t="s">
        <v>37</v>
      </c>
      <c r="B6" s="29">
        <v>13374</v>
      </c>
      <c r="C6" s="5">
        <v>260000</v>
      </c>
      <c r="D6" s="24">
        <v>8</v>
      </c>
      <c r="E6" s="50">
        <v>20</v>
      </c>
      <c r="F6" s="39">
        <f>C6/B6</f>
        <v>19.440705847166143</v>
      </c>
      <c r="G6" s="16">
        <f>B6*E6-C6</f>
        <v>7480</v>
      </c>
      <c r="H6" s="26">
        <v>23</v>
      </c>
      <c r="I6" s="22">
        <f>(L6*80)/B6</f>
        <v>0.8254822790489008</v>
      </c>
      <c r="J6" s="48">
        <f>B6/L6</f>
        <v>96.91304347826087</v>
      </c>
      <c r="K6" s="18">
        <f>B6/80</f>
        <v>167.175</v>
      </c>
      <c r="L6" s="26">
        <f>H6*6</f>
        <v>138</v>
      </c>
      <c r="M6" s="18">
        <f>K6-L6</f>
        <v>29.17500000000001</v>
      </c>
      <c r="N6" s="27">
        <f>M6/6</f>
        <v>4.862500000000002</v>
      </c>
    </row>
    <row r="7" spans="1:14" ht="12.75" thickBot="1">
      <c r="A7" s="52" t="s">
        <v>42</v>
      </c>
      <c r="B7" s="53">
        <v>16569</v>
      </c>
      <c r="C7" s="54">
        <v>350000</v>
      </c>
      <c r="D7" s="55">
        <v>8</v>
      </c>
      <c r="E7" s="56">
        <v>20</v>
      </c>
      <c r="F7" s="39">
        <f>C7/B7</f>
        <v>21.123785382340515</v>
      </c>
      <c r="G7" s="16">
        <f>B7*E7-C7</f>
        <v>-18620</v>
      </c>
      <c r="H7" s="57">
        <v>42</v>
      </c>
      <c r="I7" s="22">
        <f>(L7*80)/B7</f>
        <v>1.2167300380228137</v>
      </c>
      <c r="J7" s="48">
        <f>B7/L7</f>
        <v>65.75</v>
      </c>
      <c r="K7" s="18">
        <f>B7/80</f>
        <v>207.1125</v>
      </c>
      <c r="L7" s="57">
        <f>H7*6</f>
        <v>252</v>
      </c>
      <c r="M7" s="18">
        <v>0</v>
      </c>
      <c r="N7" s="58">
        <v>0</v>
      </c>
    </row>
    <row r="8" spans="1:14" s="11" customFormat="1" ht="12.75" thickBot="1">
      <c r="A8" s="7" t="s">
        <v>6</v>
      </c>
      <c r="B8" s="8">
        <f>SUM(B5:B7)</f>
        <v>41512</v>
      </c>
      <c r="C8" s="8">
        <f>SUM(C5:C6)</f>
        <v>340000</v>
      </c>
      <c r="D8" s="8"/>
      <c r="E8" s="9"/>
      <c r="F8" s="25">
        <f>C8/B8</f>
        <v>8.190402775101175</v>
      </c>
      <c r="G8" s="8">
        <f>SUM(G5:G6)</f>
        <v>7480</v>
      </c>
      <c r="H8" s="9">
        <f>SUM(H5:H6)</f>
        <v>41</v>
      </c>
      <c r="I8" s="23">
        <f>(L8*80)/B8</f>
        <v>0.5434573135478897</v>
      </c>
      <c r="J8" s="23"/>
      <c r="K8" s="19">
        <f>SUM(K5:K6)</f>
        <v>311.7875</v>
      </c>
      <c r="L8" s="9">
        <f>SUM(L5:L6)</f>
        <v>282</v>
      </c>
      <c r="M8" s="19">
        <f>SUM(M5:M6)</f>
        <v>29.787500000000023</v>
      </c>
      <c r="N8" s="10">
        <f>SUM(N5:N6)</f>
        <v>4.964583333333337</v>
      </c>
    </row>
    <row r="11" ht="10.5" customHeight="1"/>
    <row r="12" spans="6:10" ht="10.5">
      <c r="F12" s="13"/>
      <c r="G12" s="13"/>
      <c r="I12" s="13"/>
      <c r="J12" s="13"/>
    </row>
    <row r="13" spans="2:8" ht="48" customHeight="1">
      <c r="B13" s="63" t="s">
        <v>47</v>
      </c>
      <c r="F13" s="13"/>
      <c r="G13" s="13"/>
      <c r="H13" s="13"/>
    </row>
    <row r="14" spans="6:8" ht="10.5">
      <c r="F14" s="13"/>
      <c r="G14" s="13"/>
      <c r="H14" s="13"/>
    </row>
    <row r="15" ht="10.5">
      <c r="F15" s="13"/>
    </row>
  </sheetData>
  <sheetProtection/>
  <mergeCells count="16">
    <mergeCell ref="D1:D4"/>
    <mergeCell ref="G1:G4"/>
    <mergeCell ref="A1:A4"/>
    <mergeCell ref="B1:B4"/>
    <mergeCell ref="C1:C4"/>
    <mergeCell ref="E1:F2"/>
    <mergeCell ref="E3:E4"/>
    <mergeCell ref="F3:F4"/>
    <mergeCell ref="H1:H4"/>
    <mergeCell ref="J1:J4"/>
    <mergeCell ref="I1:I4"/>
    <mergeCell ref="K1:L2"/>
    <mergeCell ref="M1:M4"/>
    <mergeCell ref="N1:N4"/>
    <mergeCell ref="K3:K4"/>
    <mergeCell ref="L3:L4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125" zoomScaleNormal="125" workbookViewId="0" topLeftCell="A1">
      <selection activeCell="F9" sqref="F9"/>
    </sheetView>
  </sheetViews>
  <sheetFormatPr defaultColWidth="9.140625" defaultRowHeight="15"/>
  <cols>
    <col min="1" max="1" width="12.28125" style="1" customWidth="1"/>
    <col min="2" max="2" width="11.140625" style="1" customWidth="1"/>
    <col min="3" max="3" width="7.7109375" style="1" customWidth="1"/>
    <col min="4" max="4" width="14.421875" style="1" customWidth="1"/>
    <col min="5" max="5" width="8.7109375" style="1" customWidth="1"/>
    <col min="6" max="6" width="9.421875" style="1" customWidth="1"/>
    <col min="7" max="7" width="7.8515625" style="1" bestFit="1" customWidth="1"/>
    <col min="8" max="8" width="10.8515625" style="1" customWidth="1"/>
    <col min="9" max="9" width="8.00390625" style="1" customWidth="1"/>
    <col min="10" max="10" width="11.7109375" style="1" customWidth="1"/>
    <col min="11" max="11" width="17.7109375" style="1" customWidth="1"/>
    <col min="12" max="16384" width="9.140625" style="1" customWidth="1"/>
  </cols>
  <sheetData>
    <row r="1" spans="1:11" ht="15" customHeight="1">
      <c r="A1" s="60"/>
      <c r="B1" s="91" t="s">
        <v>0</v>
      </c>
      <c r="C1" s="88" t="s">
        <v>15</v>
      </c>
      <c r="D1" s="88" t="s">
        <v>17</v>
      </c>
      <c r="E1" s="88" t="s">
        <v>23</v>
      </c>
      <c r="F1" s="91" t="s">
        <v>24</v>
      </c>
      <c r="G1" s="94" t="s">
        <v>14</v>
      </c>
      <c r="H1" s="95"/>
      <c r="I1" s="96"/>
      <c r="J1" s="88" t="s">
        <v>32</v>
      </c>
      <c r="K1" s="100" t="s">
        <v>28</v>
      </c>
    </row>
    <row r="2" spans="1:11" ht="15" customHeight="1">
      <c r="A2" s="61"/>
      <c r="B2" s="92"/>
      <c r="C2" s="89"/>
      <c r="D2" s="89"/>
      <c r="E2" s="89"/>
      <c r="F2" s="92"/>
      <c r="G2" s="97"/>
      <c r="H2" s="98"/>
      <c r="I2" s="99"/>
      <c r="J2" s="89"/>
      <c r="K2" s="101"/>
    </row>
    <row r="3" spans="1:11" ht="15" customHeight="1">
      <c r="A3" s="61"/>
      <c r="B3" s="92"/>
      <c r="C3" s="89"/>
      <c r="D3" s="89"/>
      <c r="E3" s="89"/>
      <c r="F3" s="92"/>
      <c r="G3" s="92" t="s">
        <v>25</v>
      </c>
      <c r="H3" s="92" t="s">
        <v>27</v>
      </c>
      <c r="I3" s="92" t="s">
        <v>26</v>
      </c>
      <c r="J3" s="89"/>
      <c r="K3" s="101"/>
    </row>
    <row r="4" spans="1:11" ht="22.5" customHeight="1" thickBot="1">
      <c r="A4" s="61"/>
      <c r="B4" s="93"/>
      <c r="C4" s="90"/>
      <c r="D4" s="90"/>
      <c r="E4" s="90"/>
      <c r="F4" s="93"/>
      <c r="G4" s="93"/>
      <c r="H4" s="93"/>
      <c r="I4" s="93"/>
      <c r="J4" s="90"/>
      <c r="K4" s="101"/>
    </row>
    <row r="5" spans="1:11" ht="28.5" customHeight="1">
      <c r="A5" s="102" t="s">
        <v>38</v>
      </c>
      <c r="B5" s="28">
        <v>11569</v>
      </c>
      <c r="C5" s="28">
        <v>2995</v>
      </c>
      <c r="D5" s="28" t="s">
        <v>18</v>
      </c>
      <c r="E5" s="28">
        <v>32</v>
      </c>
      <c r="F5" s="2">
        <f>E5*6</f>
        <v>192</v>
      </c>
      <c r="G5" s="32" t="s">
        <v>16</v>
      </c>
      <c r="H5" s="38">
        <f>F5*20</f>
        <v>3840</v>
      </c>
      <c r="I5" s="40">
        <f>F5/C6</f>
        <v>0.33192151439190937</v>
      </c>
      <c r="J5" s="86">
        <f>(B5-(H5+H6))/20</f>
        <v>111.65</v>
      </c>
      <c r="K5" s="104" t="s">
        <v>44</v>
      </c>
    </row>
    <row r="6" spans="1:11" ht="31.5" customHeight="1">
      <c r="A6" s="102"/>
      <c r="B6" s="29"/>
      <c r="C6" s="29">
        <f>B5/20</f>
        <v>578.45</v>
      </c>
      <c r="D6" s="29" t="s">
        <v>19</v>
      </c>
      <c r="E6" s="29">
        <v>1374</v>
      </c>
      <c r="F6" s="5">
        <f>E6</f>
        <v>1374</v>
      </c>
      <c r="G6" s="34">
        <v>1</v>
      </c>
      <c r="H6" s="39">
        <f>F6*4</f>
        <v>5496</v>
      </c>
      <c r="I6" s="40">
        <f>F6/C5</f>
        <v>0.45876460767946575</v>
      </c>
      <c r="J6" s="87"/>
      <c r="K6" s="105"/>
    </row>
    <row r="7" spans="1:11" ht="15" customHeight="1">
      <c r="A7" s="102"/>
      <c r="B7" s="29"/>
      <c r="C7" s="29"/>
      <c r="D7" s="29" t="s">
        <v>20</v>
      </c>
      <c r="E7" s="29">
        <v>150</v>
      </c>
      <c r="F7" s="5">
        <v>150</v>
      </c>
      <c r="G7" s="33" t="s">
        <v>29</v>
      </c>
      <c r="H7" s="39">
        <f>F7*50</f>
        <v>7500</v>
      </c>
      <c r="I7" s="40">
        <f>H7/B5</f>
        <v>0.648284207796698</v>
      </c>
      <c r="J7" s="37">
        <f>(B5-H7)/50</f>
        <v>81.38</v>
      </c>
      <c r="K7" s="46"/>
    </row>
    <row r="8" spans="1:11" ht="15" customHeight="1">
      <c r="A8" s="102"/>
      <c r="B8" s="30"/>
      <c r="C8" s="30"/>
      <c r="D8" s="30" t="s">
        <v>21</v>
      </c>
      <c r="E8" s="30">
        <v>170</v>
      </c>
      <c r="F8" s="31">
        <v>170</v>
      </c>
      <c r="G8" s="35" t="s">
        <v>30</v>
      </c>
      <c r="H8" s="41">
        <f>F8*100</f>
        <v>17000</v>
      </c>
      <c r="I8" s="40">
        <f>H8/B5</f>
        <v>1.4694442043391822</v>
      </c>
      <c r="J8" s="43">
        <f>(B5-H8)/100</f>
        <v>-54.31</v>
      </c>
      <c r="K8" s="46"/>
    </row>
    <row r="9" spans="1:11" ht="36" customHeight="1" thickBot="1">
      <c r="A9" s="103"/>
      <c r="B9" s="6"/>
      <c r="C9" s="6"/>
      <c r="D9" s="51" t="s">
        <v>41</v>
      </c>
      <c r="E9" s="6">
        <v>18</v>
      </c>
      <c r="F9" s="6">
        <f>E9</f>
        <v>18</v>
      </c>
      <c r="G9" s="36" t="s">
        <v>31</v>
      </c>
      <c r="H9" s="42">
        <f>F9*500</f>
        <v>9000</v>
      </c>
      <c r="I9" s="45">
        <f>H9/B5</f>
        <v>0.7779410493560377</v>
      </c>
      <c r="J9" s="44">
        <f>(B5-H9)/500</f>
        <v>5.138</v>
      </c>
      <c r="K9" s="47"/>
    </row>
    <row r="10" spans="1:11" ht="16.5" customHeight="1" thickBot="1">
      <c r="A10" s="80" t="s">
        <v>43</v>
      </c>
      <c r="B10" s="28">
        <v>16750</v>
      </c>
      <c r="C10" s="28">
        <f>B10/4</f>
        <v>4187.5</v>
      </c>
      <c r="D10" s="28" t="s">
        <v>18</v>
      </c>
      <c r="E10" s="28"/>
      <c r="F10" s="2">
        <f>E10*6</f>
        <v>0</v>
      </c>
      <c r="G10" s="32" t="s">
        <v>16</v>
      </c>
      <c r="H10" s="38">
        <f>F10*20</f>
        <v>0</v>
      </c>
      <c r="I10" s="40"/>
      <c r="J10" s="86">
        <f>(B10-(H10+H11))/20</f>
        <v>619.5</v>
      </c>
      <c r="K10" s="104" t="s">
        <v>45</v>
      </c>
    </row>
    <row r="11" spans="1:11" ht="16.5" customHeight="1">
      <c r="A11" s="80"/>
      <c r="B11" s="29"/>
      <c r="C11" s="29">
        <v>1270</v>
      </c>
      <c r="D11" s="29" t="s">
        <v>19</v>
      </c>
      <c r="E11" s="29">
        <v>1090</v>
      </c>
      <c r="F11" s="2">
        <v>1090</v>
      </c>
      <c r="G11" s="34">
        <v>1</v>
      </c>
      <c r="H11" s="39">
        <f>F11*4</f>
        <v>4360</v>
      </c>
      <c r="I11" s="40">
        <f>F11/C10</f>
        <v>0.26029850746268657</v>
      </c>
      <c r="J11" s="87"/>
      <c r="K11" s="105"/>
    </row>
    <row r="12" spans="1:11" ht="13.5" customHeight="1">
      <c r="A12" s="80"/>
      <c r="B12" s="29"/>
      <c r="C12" s="29"/>
      <c r="D12" s="29" t="s">
        <v>20</v>
      </c>
      <c r="E12" s="29">
        <v>150</v>
      </c>
      <c r="F12" s="5">
        <v>150</v>
      </c>
      <c r="G12" s="33" t="s">
        <v>29</v>
      </c>
      <c r="H12" s="39">
        <f>F12*50</f>
        <v>7500</v>
      </c>
      <c r="I12" s="40">
        <f>H12/B10</f>
        <v>0.44776119402985076</v>
      </c>
      <c r="J12" s="37">
        <f>(B10-H12)/50</f>
        <v>185</v>
      </c>
      <c r="K12" s="46"/>
    </row>
    <row r="13" spans="1:11" ht="13.5" customHeight="1">
      <c r="A13" s="80"/>
      <c r="B13" s="30"/>
      <c r="C13" s="30"/>
      <c r="D13" s="30" t="s">
        <v>21</v>
      </c>
      <c r="E13" s="30">
        <v>124</v>
      </c>
      <c r="F13" s="31">
        <v>0</v>
      </c>
      <c r="G13" s="35" t="s">
        <v>30</v>
      </c>
      <c r="H13" s="41">
        <f>F13*100</f>
        <v>0</v>
      </c>
      <c r="I13" s="40">
        <f>H13/B10</f>
        <v>0</v>
      </c>
      <c r="J13" s="43">
        <f>(B10-H13)/100</f>
        <v>167.5</v>
      </c>
      <c r="K13" s="46"/>
    </row>
    <row r="14" spans="1:11" ht="36" customHeight="1" thickBot="1">
      <c r="A14" s="81"/>
      <c r="B14" s="6"/>
      <c r="C14" s="6"/>
      <c r="D14" s="51" t="s">
        <v>40</v>
      </c>
      <c r="E14" s="6">
        <v>31</v>
      </c>
      <c r="F14" s="6">
        <f>E14</f>
        <v>31</v>
      </c>
      <c r="G14" s="36" t="s">
        <v>31</v>
      </c>
      <c r="H14" s="42">
        <f>F14*500</f>
        <v>15500</v>
      </c>
      <c r="I14" s="45">
        <f>H14/B10</f>
        <v>0.9253731343283582</v>
      </c>
      <c r="J14" s="44">
        <f>(B10-H14)/500</f>
        <v>2.5</v>
      </c>
      <c r="K14" s="47"/>
    </row>
    <row r="15" spans="1:11" ht="16.5" customHeight="1">
      <c r="A15" s="80" t="s">
        <v>39</v>
      </c>
      <c r="B15" s="28">
        <v>13374</v>
      </c>
      <c r="C15" s="28">
        <f>B15/4</f>
        <v>3343.5</v>
      </c>
      <c r="D15" s="28" t="s">
        <v>18</v>
      </c>
      <c r="E15" s="28">
        <v>10</v>
      </c>
      <c r="F15" s="2">
        <v>31</v>
      </c>
      <c r="G15" s="32" t="s">
        <v>16</v>
      </c>
      <c r="H15" s="38">
        <f>F15*20</f>
        <v>620</v>
      </c>
      <c r="I15" s="38"/>
      <c r="J15" s="86">
        <f>(B15-(H15+H16))/20</f>
        <v>430.3</v>
      </c>
      <c r="K15" s="82" t="s">
        <v>46</v>
      </c>
    </row>
    <row r="16" spans="1:11" ht="19.5" customHeight="1">
      <c r="A16" s="80"/>
      <c r="B16" s="29"/>
      <c r="C16" s="29"/>
      <c r="D16" s="29" t="s">
        <v>19</v>
      </c>
      <c r="E16" s="29">
        <v>1037</v>
      </c>
      <c r="F16" s="5">
        <v>1037</v>
      </c>
      <c r="G16" s="34">
        <v>1</v>
      </c>
      <c r="H16" s="39">
        <f>F16*4</f>
        <v>4148</v>
      </c>
      <c r="I16" s="40">
        <f>F16/C15</f>
        <v>0.310154030207866</v>
      </c>
      <c r="J16" s="87"/>
      <c r="K16" s="83"/>
    </row>
    <row r="17" spans="1:11" ht="15" customHeight="1">
      <c r="A17" s="80"/>
      <c r="B17" s="29"/>
      <c r="C17" s="29"/>
      <c r="D17" s="29" t="s">
        <v>20</v>
      </c>
      <c r="E17" s="29">
        <v>710</v>
      </c>
      <c r="F17" s="5">
        <f>E17</f>
        <v>710</v>
      </c>
      <c r="G17" s="33" t="s">
        <v>29</v>
      </c>
      <c r="H17" s="39">
        <f>F17*50</f>
        <v>35500</v>
      </c>
      <c r="I17" s="40">
        <f>H17/B15</f>
        <v>2.654404067593839</v>
      </c>
      <c r="J17" s="37">
        <f>(B15-H17)/50</f>
        <v>-442.52</v>
      </c>
      <c r="K17" s="83"/>
    </row>
    <row r="18" spans="1:11" ht="15" customHeight="1">
      <c r="A18" s="80"/>
      <c r="B18" s="30"/>
      <c r="C18" s="30"/>
      <c r="D18" s="30" t="s">
        <v>21</v>
      </c>
      <c r="E18" s="30">
        <v>705</v>
      </c>
      <c r="F18" s="31">
        <f>E18</f>
        <v>705</v>
      </c>
      <c r="G18" s="35" t="s">
        <v>30</v>
      </c>
      <c r="H18" s="41">
        <f>F18*100</f>
        <v>70500</v>
      </c>
      <c r="I18" s="40">
        <f>H18/B15</f>
        <v>5.271422162404666</v>
      </c>
      <c r="J18" s="43">
        <f>(B15-H18)/100</f>
        <v>-571.26</v>
      </c>
      <c r="K18" s="83"/>
    </row>
    <row r="19" spans="1:11" ht="51" customHeight="1" thickBot="1">
      <c r="A19" s="81"/>
      <c r="B19" s="6"/>
      <c r="C19" s="6"/>
      <c r="D19" s="6" t="s">
        <v>22</v>
      </c>
      <c r="E19" s="6">
        <v>51</v>
      </c>
      <c r="F19" s="6">
        <f>E19</f>
        <v>51</v>
      </c>
      <c r="G19" s="36" t="s">
        <v>31</v>
      </c>
      <c r="H19" s="42">
        <f>F19*500</f>
        <v>25500</v>
      </c>
      <c r="I19" s="45">
        <f>H19/B15</f>
        <v>1.9066846119336025</v>
      </c>
      <c r="J19" s="44">
        <f>(B15-H19)/500</f>
        <v>-24.252</v>
      </c>
      <c r="K19" s="84"/>
    </row>
    <row r="20" ht="27" customHeight="1">
      <c r="I20" s="59"/>
    </row>
    <row r="21" spans="2:4" ht="57.75" customHeight="1">
      <c r="B21" s="85" t="s">
        <v>47</v>
      </c>
      <c r="C21" s="85"/>
      <c r="D21" s="62"/>
    </row>
    <row r="22" ht="13.5"/>
    <row r="23" ht="13.5"/>
    <row r="24" ht="13.5"/>
  </sheetData>
  <sheetProtection/>
  <mergeCells count="21">
    <mergeCell ref="C1:C4"/>
    <mergeCell ref="G3:G4"/>
    <mergeCell ref="H3:H4"/>
    <mergeCell ref="I3:I4"/>
    <mergeCell ref="K1:K4"/>
    <mergeCell ref="A5:A9"/>
    <mergeCell ref="K10:K11"/>
    <mergeCell ref="A10:A14"/>
    <mergeCell ref="J5:J6"/>
    <mergeCell ref="K5:K6"/>
    <mergeCell ref="B1:B4"/>
    <mergeCell ref="K15:K19"/>
    <mergeCell ref="B21:C21"/>
    <mergeCell ref="J10:J11"/>
    <mergeCell ref="J1:J4"/>
    <mergeCell ref="D1:D4"/>
    <mergeCell ref="A15:A19"/>
    <mergeCell ref="J15:J16"/>
    <mergeCell ref="E1:E4"/>
    <mergeCell ref="F1:F4"/>
    <mergeCell ref="G1:I2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UNHCR_WASH</dc:creator>
  <cp:keywords/>
  <dc:description/>
  <cp:lastModifiedBy>claudia perlongo</cp:lastModifiedBy>
  <cp:lastPrinted>2011-08-28T09:23:34Z</cp:lastPrinted>
  <dcterms:created xsi:type="dcterms:W3CDTF">2011-08-27T16:22:47Z</dcterms:created>
  <dcterms:modified xsi:type="dcterms:W3CDTF">2012-01-16T14:32:13Z</dcterms:modified>
  <cp:category/>
  <cp:version/>
  <cp:contentType/>
  <cp:contentStatus/>
</cp:coreProperties>
</file>